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fileSharing readOnlyRecommended="1"/>
  <workbookPr filterPrivacy="1" defaultThemeVersion="124226"/>
  <xr:revisionPtr revIDLastSave="0" documentId="13_ncr:1_{FB0B7B17-B97E-429F-9662-70997A75A067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Rate Case Constants" sheetId="37" r:id="rId1"/>
    <sheet name="INPUT" sheetId="5" r:id="rId2"/>
    <sheet name="SCHEDULES===&gt;" sheetId="38" r:id="rId3"/>
    <sheet name="Rate RS-VFD" sheetId="4" r:id="rId4"/>
    <sheet name="Rate RTOD Energy" sheetId="33" r:id="rId5"/>
    <sheet name="Rate RTOD Demand" sheetId="32" r:id="rId6"/>
    <sheet name="Rate AES Single Phase" sheetId="28" r:id="rId7"/>
    <sheet name="Rate AES Three Phase" sheetId="40" r:id="rId8"/>
    <sheet name="Rate GS Single Phase" sheetId="27" r:id="rId9"/>
    <sheet name="Rate GS Three Phase" sheetId="39" r:id="rId10"/>
    <sheet name="Rate PS Secondary" sheetId="15" r:id="rId11"/>
    <sheet name="Rate PS Primary" sheetId="24" r:id="rId12"/>
    <sheet name="Rate TOD Secondary" sheetId="25" r:id="rId13"/>
    <sheet name="Rate TOD Primary" sheetId="19" r:id="rId14"/>
    <sheet name="Rate RTS" sheetId="26" r:id="rId15"/>
    <sheet name="Rate FLS Transmission" sheetId="31" r:id="rId16"/>
    <sheet name="Rate FLS Primary" sheetId="41" r:id="rId17"/>
    <sheet name="Rate LS-RLS" sheetId="2" r:id="rId18"/>
    <sheet name="Rate LE" sheetId="35" r:id="rId19"/>
    <sheet name="Rate TE" sheetId="34" r:id="rId20"/>
    <sheet name="Rate OSL - Secondary" sheetId="45" r:id="rId21"/>
    <sheet name="Rate OSL - Primary" sheetId="47" r:id="rId22"/>
    <sheet name="Rate EVC-L2" sheetId="44" r:id="rId23"/>
    <sheet name="Rate PSA" sheetId="36" r:id="rId24"/>
  </sheets>
  <definedNames>
    <definedName name="_xlnm._FilterDatabase" localSheetId="1" hidden="1">INPUT!$X$2:$X$88</definedName>
    <definedName name="_xlnm._FilterDatabase" localSheetId="17" hidden="1">'Rate LS-RLS'!$N$20:$R$209</definedName>
    <definedName name="_xlnm.Print_Area" localSheetId="1">INPUT!$A$1:$V$85</definedName>
    <definedName name="_xlnm.Print_Area" localSheetId="6">'Rate AES Single Phase'!$A$1:$P$40</definedName>
    <definedName name="_xlnm.Print_Area" localSheetId="7">'Rate AES Three Phase'!$A$1:$P$40</definedName>
    <definedName name="_xlnm.Print_Area" localSheetId="22">'Rate EVC-L2'!$A$1:$P$41</definedName>
    <definedName name="_xlnm.Print_Area" localSheetId="16">'Rate FLS Primary'!$A$1:$T$45</definedName>
    <definedName name="_xlnm.Print_Area" localSheetId="15">'Rate FLS Transmission'!$A$1:$T$45</definedName>
    <definedName name="_xlnm.Print_Area" localSheetId="8">'Rate GS Single Phase'!$A$1:$P$40</definedName>
    <definedName name="_xlnm.Print_Area" localSheetId="9">'Rate GS Three Phase'!$A$1:$P$40</definedName>
    <definedName name="_xlnm.Print_Area" localSheetId="18">'Rate LE'!$A$1:$O$41</definedName>
    <definedName name="_xlnm.Print_Area" localSheetId="17">'Rate LS-RLS'!$A$1:$O$203</definedName>
    <definedName name="_xlnm.Print_Area" localSheetId="21">'Rate OSL - Primary'!$A$1:$T$50</definedName>
    <definedName name="_xlnm.Print_Area" localSheetId="20">'Rate OSL - Secondary'!$A$1:$T$50</definedName>
    <definedName name="_xlnm.Print_Area" localSheetId="11">'Rate PS Primary'!$A$1:$T$45</definedName>
    <definedName name="_xlnm.Print_Area" localSheetId="10">'Rate PS Secondary'!$A$1:$T$45</definedName>
    <definedName name="_xlnm.Print_Area" localSheetId="23">'Rate PSA'!$A$1:$F$37</definedName>
    <definedName name="_xlnm.Print_Area" localSheetId="3">'Rate RS-VFD'!$A$1:$P$40</definedName>
    <definedName name="_xlnm.Print_Area" localSheetId="5">'Rate RTOD Demand'!$A$1:$T$45</definedName>
    <definedName name="_xlnm.Print_Area" localSheetId="4">'Rate RTOD Energy'!$A$1:$P$40</definedName>
    <definedName name="_xlnm.Print_Area" localSheetId="14">'Rate RTS'!$A$1:$T$45</definedName>
    <definedName name="_xlnm.Print_Area" localSheetId="19">'Rate TE'!$A$1:$O$41</definedName>
    <definedName name="_xlnm.Print_Area" localSheetId="13">'Rate TOD Primary'!$A$1:$T$45</definedName>
    <definedName name="_xlnm.Print_Area" localSheetId="12">'Rate TOD Secondary'!$A$1:$T$45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1" i="47" l="1"/>
  <c r="AF41" i="47"/>
  <c r="Y41" i="47"/>
  <c r="W41" i="47"/>
  <c r="E41" i="47"/>
  <c r="AL41" i="47" s="1"/>
  <c r="R41" i="47" s="1"/>
  <c r="E36" i="47"/>
  <c r="E31" i="47"/>
  <c r="E26" i="47"/>
  <c r="AF21" i="47"/>
  <c r="W21" i="47"/>
  <c r="E21" i="47"/>
  <c r="AH41" i="45"/>
  <c r="AF41" i="45"/>
  <c r="Y41" i="45"/>
  <c r="W41" i="45"/>
  <c r="E41" i="45"/>
  <c r="AL41" i="45" s="1"/>
  <c r="R41" i="45" s="1"/>
  <c r="E36" i="45"/>
  <c r="E31" i="45"/>
  <c r="E26" i="45"/>
  <c r="AF21" i="45"/>
  <c r="W21" i="45"/>
  <c r="E21" i="45"/>
  <c r="L41" i="47" l="1"/>
  <c r="M41" i="47"/>
  <c r="AK41" i="47"/>
  <c r="I41" i="47" s="1"/>
  <c r="N41" i="47"/>
  <c r="X41" i="47"/>
  <c r="AA41" i="47" s="1"/>
  <c r="G41" i="47" s="1"/>
  <c r="O41" i="47" s="1"/>
  <c r="AG41" i="47"/>
  <c r="AJ41" i="47" s="1"/>
  <c r="L41" i="45"/>
  <c r="M41" i="45"/>
  <c r="AK41" i="45"/>
  <c r="I41" i="45" s="1"/>
  <c r="N41" i="45"/>
  <c r="X41" i="45"/>
  <c r="AA41" i="45" s="1"/>
  <c r="G41" i="45" s="1"/>
  <c r="AG41" i="45"/>
  <c r="AJ41" i="45" s="1"/>
  <c r="AI37" i="41"/>
  <c r="AJ37" i="41"/>
  <c r="AI38" i="41"/>
  <c r="AJ38" i="41"/>
  <c r="AJ36" i="41"/>
  <c r="AI36" i="41"/>
  <c r="AI33" i="41"/>
  <c r="AJ33" i="41"/>
  <c r="AI34" i="41"/>
  <c r="AJ34" i="41"/>
  <c r="AJ32" i="41"/>
  <c r="AI32" i="41"/>
  <c r="AI29" i="41"/>
  <c r="AJ29" i="41"/>
  <c r="AI30" i="41"/>
  <c r="AJ30" i="41"/>
  <c r="AJ28" i="41"/>
  <c r="AI28" i="41"/>
  <c r="AI25" i="41"/>
  <c r="AJ25" i="41"/>
  <c r="AI26" i="41"/>
  <c r="AJ26" i="41"/>
  <c r="AJ24" i="41"/>
  <c r="AI24" i="41"/>
  <c r="AI21" i="41"/>
  <c r="AJ21" i="41"/>
  <c r="AI22" i="41"/>
  <c r="AJ22" i="41"/>
  <c r="AJ20" i="41"/>
  <c r="AI20" i="41"/>
  <c r="Y37" i="41"/>
  <c r="Z37" i="41"/>
  <c r="Y38" i="41"/>
  <c r="Z38" i="41"/>
  <c r="Z36" i="41"/>
  <c r="Y36" i="41"/>
  <c r="Y33" i="41"/>
  <c r="Z33" i="41"/>
  <c r="Y34" i="41"/>
  <c r="Z34" i="41"/>
  <c r="Z32" i="41"/>
  <c r="Y32" i="41"/>
  <c r="Y29" i="41"/>
  <c r="Z29" i="41"/>
  <c r="Y30" i="41"/>
  <c r="Z30" i="41"/>
  <c r="Z28" i="41"/>
  <c r="Y28" i="41"/>
  <c r="Y25" i="41"/>
  <c r="Z25" i="41"/>
  <c r="Y26" i="41"/>
  <c r="Z26" i="41"/>
  <c r="Z24" i="41"/>
  <c r="Z22" i="41"/>
  <c r="Y24" i="41"/>
  <c r="Y22" i="41"/>
  <c r="Y21" i="41"/>
  <c r="Z21" i="41"/>
  <c r="Z20" i="41"/>
  <c r="Y20" i="41"/>
  <c r="F96" i="5"/>
  <c r="E96" i="5"/>
  <c r="E98" i="5"/>
  <c r="H41" i="47" l="1"/>
  <c r="O41" i="45"/>
  <c r="H41" i="45"/>
  <c r="Z19" i="44"/>
  <c r="Z18" i="44"/>
  <c r="V19" i="44"/>
  <c r="V18" i="44"/>
  <c r="J41" i="47" l="1"/>
  <c r="K41" i="47" s="1"/>
  <c r="P41" i="47"/>
  <c r="J41" i="45"/>
  <c r="K41" i="45" s="1"/>
  <c r="P41" i="45"/>
  <c r="W39" i="33"/>
  <c r="V39" i="33"/>
  <c r="B67" i="5"/>
  <c r="B66" i="5"/>
  <c r="Q41" i="47" l="1"/>
  <c r="S41" i="47"/>
  <c r="T41" i="47" s="1"/>
  <c r="S41" i="45"/>
  <c r="T41" i="45" s="1"/>
  <c r="Q41" i="45"/>
  <c r="AB39" i="33"/>
  <c r="F110" i="5"/>
  <c r="F106" i="5"/>
  <c r="F107" i="5"/>
  <c r="F108" i="5"/>
  <c r="F105" i="5"/>
  <c r="F102" i="5"/>
  <c r="E106" i="5"/>
  <c r="E107" i="5"/>
  <c r="E108" i="5"/>
  <c r="E105" i="5"/>
  <c r="D110" i="5"/>
  <c r="D106" i="5"/>
  <c r="D107" i="5"/>
  <c r="D108" i="5"/>
  <c r="D105" i="5"/>
  <c r="D102" i="5"/>
  <c r="C110" i="5"/>
  <c r="C108" i="5"/>
  <c r="C107" i="5"/>
  <c r="C106" i="5"/>
  <c r="C105" i="5"/>
  <c r="C104" i="5"/>
  <c r="C103" i="5"/>
  <c r="C102" i="5"/>
  <c r="A42" i="41" l="1"/>
  <c r="A47" i="47" l="1"/>
  <c r="A46" i="47"/>
  <c r="A46" i="45"/>
  <c r="A38" i="34"/>
  <c r="A38" i="35"/>
  <c r="A41" i="41"/>
  <c r="A41" i="31"/>
  <c r="A41" i="26"/>
  <c r="A41" i="19"/>
  <c r="A41" i="25"/>
  <c r="A41" i="24"/>
  <c r="A41" i="15"/>
  <c r="A38" i="39"/>
  <c r="A38" i="27"/>
  <c r="A38" i="40"/>
  <c r="A38" i="28"/>
  <c r="A41" i="32"/>
  <c r="A38" i="33"/>
  <c r="A38" i="4"/>
  <c r="I108" i="5" l="1"/>
  <c r="A42" i="31" s="1"/>
  <c r="I107" i="5"/>
  <c r="A42" i="26" s="1"/>
  <c r="I106" i="5"/>
  <c r="A42" i="19" s="1"/>
  <c r="I105" i="5"/>
  <c r="A42" i="25" s="1"/>
  <c r="I104" i="5"/>
  <c r="A42" i="24" s="1"/>
  <c r="I103" i="5"/>
  <c r="A42" i="15" s="1"/>
  <c r="I102" i="5"/>
  <c r="A42" i="32" s="1"/>
  <c r="I110" i="5"/>
  <c r="A47" i="45" s="1"/>
  <c r="E93" i="5" l="1"/>
  <c r="F93" i="5"/>
  <c r="E94" i="5"/>
  <c r="F94" i="5"/>
  <c r="E95" i="5"/>
  <c r="F95" i="5"/>
  <c r="E97" i="5"/>
  <c r="F92" i="5"/>
  <c r="E92" i="5"/>
  <c r="E91" i="5"/>
  <c r="AC18" i="44" l="1"/>
  <c r="AC23" i="44" s="1"/>
  <c r="Q69" i="5"/>
  <c r="AC18" i="28" s="1"/>
  <c r="Q67" i="5"/>
  <c r="AC18" i="39" s="1"/>
  <c r="O69" i="5"/>
  <c r="O67" i="5"/>
  <c r="V12" i="27" s="1"/>
  <c r="AC18" i="27" l="1"/>
  <c r="AC18" i="40"/>
  <c r="V12" i="39"/>
  <c r="AC35" i="44"/>
  <c r="I64" i="5"/>
  <c r="V11" i="4" s="1"/>
  <c r="H64" i="5"/>
  <c r="V10" i="4" s="1"/>
  <c r="H21" i="4" s="1"/>
  <c r="O17" i="36" l="1"/>
  <c r="K81" i="5"/>
  <c r="J81" i="5"/>
  <c r="I81" i="5"/>
  <c r="H81" i="5"/>
  <c r="K79" i="5"/>
  <c r="J79" i="5"/>
  <c r="I79" i="5"/>
  <c r="H79" i="5"/>
  <c r="AB156" i="2"/>
  <c r="AB100" i="2"/>
  <c r="AB73" i="2"/>
  <c r="V31" i="44" l="1"/>
  <c r="V25" i="44"/>
  <c r="V33" i="44"/>
  <c r="V27" i="44"/>
  <c r="V35" i="44"/>
  <c r="V29" i="44"/>
  <c r="L32" i="5"/>
  <c r="F32" i="5"/>
  <c r="E32" i="5"/>
  <c r="D32" i="5" l="1"/>
  <c r="C32" i="5"/>
  <c r="B32" i="5"/>
  <c r="T50" i="2" l="1"/>
  <c r="C50" i="2" s="1"/>
  <c r="U50" i="2"/>
  <c r="D50" i="2" s="1"/>
  <c r="V50" i="2"/>
  <c r="T32" i="2"/>
  <c r="C32" i="2" s="1"/>
  <c r="U32" i="2"/>
  <c r="V32" i="2"/>
  <c r="V197" i="2"/>
  <c r="B197" i="2" s="1"/>
  <c r="V198" i="2"/>
  <c r="B198" i="2" s="1"/>
  <c r="T197" i="2"/>
  <c r="C197" i="2" s="1"/>
  <c r="U197" i="2"/>
  <c r="D197" i="2" s="1"/>
  <c r="T198" i="2"/>
  <c r="C198" i="2" s="1"/>
  <c r="U198" i="2"/>
  <c r="D198" i="2" s="1"/>
  <c r="AB50" i="2" l="1"/>
  <c r="M50" i="2" s="1"/>
  <c r="B50" i="2"/>
  <c r="AB32" i="2"/>
  <c r="M32" i="2" s="1"/>
  <c r="D32" i="2"/>
  <c r="AB197" i="2"/>
  <c r="M197" i="2" s="1"/>
  <c r="AB198" i="2"/>
  <c r="M198" i="2" s="1"/>
  <c r="K18" i="44"/>
  <c r="F18" i="44"/>
  <c r="O18" i="47"/>
  <c r="J18" i="47"/>
  <c r="O18" i="45"/>
  <c r="J18" i="45"/>
  <c r="J18" i="34"/>
  <c r="F18" i="34"/>
  <c r="J18" i="35"/>
  <c r="F18" i="35"/>
  <c r="J154" i="2"/>
  <c r="F154" i="2"/>
  <c r="J98" i="2"/>
  <c r="F98" i="2"/>
  <c r="J71" i="2"/>
  <c r="F71" i="2"/>
  <c r="J17" i="2"/>
  <c r="F17" i="2"/>
  <c r="O18" i="41"/>
  <c r="J18" i="41"/>
  <c r="O18" i="31"/>
  <c r="J18" i="31"/>
  <c r="O18" i="26"/>
  <c r="J18" i="26"/>
  <c r="O18" i="19"/>
  <c r="J18" i="19"/>
  <c r="O18" i="25"/>
  <c r="J18" i="25"/>
  <c r="O18" i="24"/>
  <c r="J18" i="24"/>
  <c r="O18" i="15"/>
  <c r="J18" i="15"/>
  <c r="K18" i="39"/>
  <c r="F18" i="39"/>
  <c r="K18" i="27"/>
  <c r="F18" i="27"/>
  <c r="K18" i="40"/>
  <c r="F18" i="40"/>
  <c r="K18" i="28"/>
  <c r="F18" i="28"/>
  <c r="O18" i="32"/>
  <c r="J18" i="32"/>
  <c r="K18" i="33"/>
  <c r="F18" i="33"/>
  <c r="K18" i="4"/>
  <c r="F18" i="4"/>
  <c r="P18" i="44" l="1"/>
  <c r="O18" i="44"/>
  <c r="M18" i="44"/>
  <c r="L18" i="44"/>
  <c r="AC21" i="44"/>
  <c r="N21" i="44" s="1"/>
  <c r="G18" i="44"/>
  <c r="AL17" i="47"/>
  <c r="T18" i="47"/>
  <c r="S18" i="47"/>
  <c r="Q18" i="47"/>
  <c r="P18" i="47"/>
  <c r="K18" i="47"/>
  <c r="AL17" i="45"/>
  <c r="T18" i="45"/>
  <c r="S18" i="45"/>
  <c r="Q18" i="45"/>
  <c r="P18" i="45"/>
  <c r="K18" i="45"/>
  <c r="AL31" i="47" l="1"/>
  <c r="R31" i="47" s="1"/>
  <c r="AL36" i="47"/>
  <c r="R36" i="47" s="1"/>
  <c r="AL21" i="47"/>
  <c r="R21" i="47" s="1"/>
  <c r="AL26" i="47"/>
  <c r="R26" i="47" s="1"/>
  <c r="AL31" i="45"/>
  <c r="R31" i="45" s="1"/>
  <c r="AL36" i="45"/>
  <c r="R36" i="45" s="1"/>
  <c r="AL21" i="45"/>
  <c r="R21" i="45" s="1"/>
  <c r="AL26" i="45"/>
  <c r="R26" i="45" s="1"/>
  <c r="AL22" i="45"/>
  <c r="R22" i="45" s="1"/>
  <c r="AC27" i="44"/>
  <c r="N27" i="44" s="1"/>
  <c r="N35" i="44"/>
  <c r="AL23" i="45"/>
  <c r="R23" i="45" s="1"/>
  <c r="AC33" i="44"/>
  <c r="N33" i="44" s="1"/>
  <c r="AC25" i="44"/>
  <c r="N25" i="44" s="1"/>
  <c r="AC31" i="44"/>
  <c r="N31" i="44" s="1"/>
  <c r="N23" i="44"/>
  <c r="AC29" i="44"/>
  <c r="N29" i="44" s="1"/>
  <c r="AL22" i="47"/>
  <c r="R22" i="47" s="1"/>
  <c r="AL23" i="47"/>
  <c r="R23" i="47" s="1"/>
  <c r="AB18" i="34"/>
  <c r="AB35" i="34" s="1"/>
  <c r="M35" i="34" s="1"/>
  <c r="O18" i="34"/>
  <c r="N18" i="34"/>
  <c r="L18" i="34"/>
  <c r="K18" i="34"/>
  <c r="G18" i="34"/>
  <c r="K18" i="35"/>
  <c r="O18" i="35"/>
  <c r="N18" i="35"/>
  <c r="L18" i="35"/>
  <c r="AB18" i="35"/>
  <c r="AB23" i="35" s="1"/>
  <c r="M23" i="35" s="1"/>
  <c r="G18" i="35"/>
  <c r="O154" i="2"/>
  <c r="N154" i="2"/>
  <c r="L154" i="2"/>
  <c r="K154" i="2"/>
  <c r="G154" i="2"/>
  <c r="O98" i="2"/>
  <c r="N98" i="2"/>
  <c r="L98" i="2"/>
  <c r="K98" i="2"/>
  <c r="G98" i="2"/>
  <c r="O71" i="2"/>
  <c r="N71" i="2"/>
  <c r="L71" i="2"/>
  <c r="K71" i="2"/>
  <c r="G71" i="2"/>
  <c r="M78" i="2"/>
  <c r="M77" i="2"/>
  <c r="M76" i="2"/>
  <c r="M75" i="2"/>
  <c r="K17" i="2"/>
  <c r="O17" i="2"/>
  <c r="N17" i="2"/>
  <c r="L17" i="2"/>
  <c r="G17" i="2"/>
  <c r="AN17" i="41"/>
  <c r="T18" i="41"/>
  <c r="S18" i="41"/>
  <c r="Q18" i="41"/>
  <c r="P18" i="41"/>
  <c r="K18" i="41"/>
  <c r="AN17" i="31"/>
  <c r="T18" i="31"/>
  <c r="S18" i="31"/>
  <c r="Q18" i="31"/>
  <c r="P18" i="31"/>
  <c r="K18" i="31"/>
  <c r="AN17" i="26"/>
  <c r="T18" i="26"/>
  <c r="S18" i="26"/>
  <c r="Q18" i="26"/>
  <c r="P18" i="26"/>
  <c r="K18" i="26"/>
  <c r="T18" i="19"/>
  <c r="S18" i="19"/>
  <c r="P18" i="19"/>
  <c r="AN17" i="19"/>
  <c r="AN38" i="19" s="1"/>
  <c r="R38" i="19" s="1"/>
  <c r="Q18" i="19"/>
  <c r="K18" i="19"/>
  <c r="T18" i="25"/>
  <c r="Q18" i="25"/>
  <c r="S18" i="25"/>
  <c r="P18" i="25"/>
  <c r="AN17" i="25"/>
  <c r="K18" i="25"/>
  <c r="AN33" i="19" l="1"/>
  <c r="R33" i="19" s="1"/>
  <c r="AN28" i="19"/>
  <c r="R28" i="19" s="1"/>
  <c r="AN38" i="26"/>
  <c r="R38" i="26" s="1"/>
  <c r="AB29" i="35"/>
  <c r="M29" i="35" s="1"/>
  <c r="AB21" i="35"/>
  <c r="M21" i="35" s="1"/>
  <c r="AB21" i="34"/>
  <c r="M21" i="34" s="1"/>
  <c r="AN37" i="19"/>
  <c r="R37" i="19" s="1"/>
  <c r="AN32" i="19"/>
  <c r="R32" i="19" s="1"/>
  <c r="AN26" i="19"/>
  <c r="R26" i="19" s="1"/>
  <c r="AB27" i="35"/>
  <c r="M27" i="35" s="1"/>
  <c r="AB35" i="35"/>
  <c r="M35" i="35" s="1"/>
  <c r="AN36" i="19"/>
  <c r="R36" i="19" s="1"/>
  <c r="AN30" i="19"/>
  <c r="R30" i="19" s="1"/>
  <c r="AN25" i="19"/>
  <c r="R25" i="19" s="1"/>
  <c r="AB33" i="35"/>
  <c r="M33" i="35" s="1"/>
  <c r="AB25" i="35"/>
  <c r="M25" i="35" s="1"/>
  <c r="AN34" i="19"/>
  <c r="R34" i="19" s="1"/>
  <c r="AN29" i="19"/>
  <c r="R29" i="19" s="1"/>
  <c r="AN24" i="19"/>
  <c r="R24" i="19" s="1"/>
  <c r="AB31" i="35"/>
  <c r="M31" i="35" s="1"/>
  <c r="AB25" i="34"/>
  <c r="M25" i="34" s="1"/>
  <c r="AB29" i="34"/>
  <c r="M29" i="34" s="1"/>
  <c r="AB33" i="34"/>
  <c r="M33" i="34" s="1"/>
  <c r="AB23" i="34"/>
  <c r="M23" i="34" s="1"/>
  <c r="AB27" i="34"/>
  <c r="M27" i="34" s="1"/>
  <c r="AB31" i="34"/>
  <c r="M31" i="34" s="1"/>
  <c r="AN24" i="26"/>
  <c r="R24" i="26" s="1"/>
  <c r="AN26" i="26"/>
  <c r="R26" i="26" s="1"/>
  <c r="AN29" i="26"/>
  <c r="R29" i="26" s="1"/>
  <c r="AN32" i="26"/>
  <c r="R32" i="26" s="1"/>
  <c r="AN34" i="26"/>
  <c r="R34" i="26" s="1"/>
  <c r="AN37" i="26"/>
  <c r="R37" i="26" s="1"/>
  <c r="AN25" i="26"/>
  <c r="R25" i="26" s="1"/>
  <c r="AN28" i="26"/>
  <c r="R28" i="26" s="1"/>
  <c r="AN30" i="26"/>
  <c r="R30" i="26" s="1"/>
  <c r="AN33" i="26"/>
  <c r="R33" i="26" s="1"/>
  <c r="AN36" i="26"/>
  <c r="R36" i="26" s="1"/>
  <c r="AL17" i="24"/>
  <c r="AL20" i="24" s="1"/>
  <c r="R20" i="24" s="1"/>
  <c r="AL17" i="15"/>
  <c r="AL38" i="15" s="1"/>
  <c r="R38" i="15" s="1"/>
  <c r="T18" i="24"/>
  <c r="S18" i="24"/>
  <c r="Q18" i="24"/>
  <c r="P18" i="24"/>
  <c r="K18" i="24"/>
  <c r="T18" i="15"/>
  <c r="S18" i="15"/>
  <c r="Q18" i="15"/>
  <c r="P18" i="15"/>
  <c r="K18" i="15"/>
  <c r="AD18" i="39"/>
  <c r="AD35" i="39" s="1"/>
  <c r="N35" i="39" s="1"/>
  <c r="P18" i="39"/>
  <c r="O18" i="39"/>
  <c r="M18" i="39"/>
  <c r="L18" i="39"/>
  <c r="G18" i="39"/>
  <c r="AD18" i="27"/>
  <c r="AD35" i="27" s="1"/>
  <c r="N35" i="27" s="1"/>
  <c r="P18" i="27"/>
  <c r="O18" i="27"/>
  <c r="M18" i="27"/>
  <c r="L18" i="27"/>
  <c r="G18" i="27"/>
  <c r="AD18" i="40"/>
  <c r="AD35" i="40" s="1"/>
  <c r="N35" i="40" s="1"/>
  <c r="P18" i="40"/>
  <c r="O18" i="40"/>
  <c r="M18" i="40"/>
  <c r="L18" i="40"/>
  <c r="G18" i="40"/>
  <c r="P18" i="28"/>
  <c r="O18" i="28"/>
  <c r="M18" i="28"/>
  <c r="L18" i="28"/>
  <c r="G18" i="28"/>
  <c r="AD18" i="28"/>
  <c r="AD35" i="28" s="1"/>
  <c r="N35" i="28" s="1"/>
  <c r="AK17" i="32"/>
  <c r="AL25" i="15" l="1"/>
  <c r="R25" i="15" s="1"/>
  <c r="AL33" i="15"/>
  <c r="R33" i="15" s="1"/>
  <c r="AL36" i="15"/>
  <c r="R36" i="15" s="1"/>
  <c r="AL30" i="15"/>
  <c r="R30" i="15" s="1"/>
  <c r="AL37" i="15"/>
  <c r="R37" i="15" s="1"/>
  <c r="AL32" i="15"/>
  <c r="R32" i="15" s="1"/>
  <c r="AL34" i="15"/>
  <c r="R34" i="15" s="1"/>
  <c r="AL28" i="15"/>
  <c r="R28" i="15" s="1"/>
  <c r="AL22" i="15"/>
  <c r="R22" i="15" s="1"/>
  <c r="AL29" i="15"/>
  <c r="R29" i="15" s="1"/>
  <c r="AD21" i="39"/>
  <c r="N21" i="39" s="1"/>
  <c r="AL20" i="15"/>
  <c r="R20" i="15" s="1"/>
  <c r="AD33" i="28"/>
  <c r="N33" i="28" s="1"/>
  <c r="AD25" i="28"/>
  <c r="N25" i="28" s="1"/>
  <c r="AD21" i="40"/>
  <c r="N21" i="40" s="1"/>
  <c r="AD21" i="27"/>
  <c r="N21" i="27" s="1"/>
  <c r="AL26" i="15"/>
  <c r="R26" i="15" s="1"/>
  <c r="AL21" i="15"/>
  <c r="R21" i="15" s="1"/>
  <c r="AD31" i="28"/>
  <c r="N31" i="28" s="1"/>
  <c r="AD23" i="28"/>
  <c r="N23" i="28" s="1"/>
  <c r="AD29" i="28"/>
  <c r="N29" i="28" s="1"/>
  <c r="AD21" i="28"/>
  <c r="N21" i="28" s="1"/>
  <c r="AL24" i="15"/>
  <c r="R24" i="15" s="1"/>
  <c r="AD27" i="28"/>
  <c r="N27" i="28" s="1"/>
  <c r="AL21" i="24"/>
  <c r="R21" i="24" s="1"/>
  <c r="AL24" i="24"/>
  <c r="R24" i="24" s="1"/>
  <c r="AL26" i="24"/>
  <c r="R26" i="24" s="1"/>
  <c r="AL22" i="24"/>
  <c r="R22" i="24" s="1"/>
  <c r="AL25" i="24"/>
  <c r="R25" i="24" s="1"/>
  <c r="AD25" i="39"/>
  <c r="N25" i="39" s="1"/>
  <c r="AD29" i="39"/>
  <c r="N29" i="39" s="1"/>
  <c r="AD33" i="39"/>
  <c r="N33" i="39" s="1"/>
  <c r="AD23" i="39"/>
  <c r="N23" i="39" s="1"/>
  <c r="AD27" i="39"/>
  <c r="N27" i="39" s="1"/>
  <c r="AD31" i="39"/>
  <c r="N31" i="39" s="1"/>
  <c r="AD25" i="27"/>
  <c r="N25" i="27" s="1"/>
  <c r="AD29" i="27"/>
  <c r="N29" i="27" s="1"/>
  <c r="AD33" i="27"/>
  <c r="N33" i="27" s="1"/>
  <c r="AD23" i="27"/>
  <c r="N23" i="27" s="1"/>
  <c r="AD27" i="27"/>
  <c r="N27" i="27" s="1"/>
  <c r="AD31" i="27"/>
  <c r="N31" i="27" s="1"/>
  <c r="AD25" i="40"/>
  <c r="N25" i="40" s="1"/>
  <c r="AD29" i="40"/>
  <c r="N29" i="40" s="1"/>
  <c r="AD33" i="40"/>
  <c r="N33" i="40" s="1"/>
  <c r="AD23" i="40"/>
  <c r="N23" i="40" s="1"/>
  <c r="AD27" i="40"/>
  <c r="N27" i="40" s="1"/>
  <c r="AD31" i="40"/>
  <c r="N31" i="40" s="1"/>
  <c r="S18" i="32"/>
  <c r="P18" i="32"/>
  <c r="T18" i="32"/>
  <c r="Q18" i="32"/>
  <c r="K18" i="32"/>
  <c r="P18" i="33"/>
  <c r="O18" i="33"/>
  <c r="M18" i="33"/>
  <c r="L18" i="33"/>
  <c r="G18" i="33"/>
  <c r="AF18" i="33"/>
  <c r="AF25" i="33" s="1"/>
  <c r="N25" i="33" s="1"/>
  <c r="AF31" i="33" l="1"/>
  <c r="N31" i="33" s="1"/>
  <c r="AF23" i="33"/>
  <c r="N23" i="33" s="1"/>
  <c r="AF21" i="33"/>
  <c r="N21" i="33" s="1"/>
  <c r="AF27" i="33"/>
  <c r="N27" i="33" s="1"/>
  <c r="AF35" i="33"/>
  <c r="N35" i="33" s="1"/>
  <c r="AF29" i="33"/>
  <c r="N29" i="33" s="1"/>
  <c r="AF33" i="33"/>
  <c r="N33" i="33" s="1"/>
  <c r="K65" i="5"/>
  <c r="K66" i="5"/>
  <c r="K67" i="5"/>
  <c r="K68" i="5"/>
  <c r="K69" i="5"/>
  <c r="K70" i="5"/>
  <c r="AK17" i="15" s="1"/>
  <c r="K71" i="5"/>
  <c r="AK17" i="24" s="1"/>
  <c r="K72" i="5"/>
  <c r="AM17" i="25" s="1"/>
  <c r="K73" i="5"/>
  <c r="AM17" i="19" s="1"/>
  <c r="K74" i="5"/>
  <c r="AM17" i="26" s="1"/>
  <c r="K75" i="5"/>
  <c r="K76" i="5"/>
  <c r="AA19" i="2" s="1"/>
  <c r="K77" i="5"/>
  <c r="AA18" i="35" s="1"/>
  <c r="K78" i="5"/>
  <c r="AA18" i="34" s="1"/>
  <c r="K80" i="5"/>
  <c r="K82" i="5"/>
  <c r="AB18" i="44" s="1"/>
  <c r="K64" i="5"/>
  <c r="AB18" i="4" s="1"/>
  <c r="F83" i="5"/>
  <c r="AK17" i="45" l="1"/>
  <c r="AK17" i="47"/>
  <c r="AK36" i="47" s="1"/>
  <c r="I36" i="47" s="1"/>
  <c r="AA100" i="2"/>
  <c r="AA73" i="2"/>
  <c r="AA156" i="2"/>
  <c r="AB23" i="4"/>
  <c r="E23" i="4" s="1"/>
  <c r="AB21" i="4"/>
  <c r="AA32" i="2"/>
  <c r="E32" i="2" s="1"/>
  <c r="AA50" i="2"/>
  <c r="E50" i="2" s="1"/>
  <c r="AA197" i="2"/>
  <c r="E197" i="2" s="1"/>
  <c r="AA198" i="2"/>
  <c r="E198" i="2" s="1"/>
  <c r="AC33" i="39"/>
  <c r="E33" i="39" s="1"/>
  <c r="AC35" i="39"/>
  <c r="E35" i="39" s="1"/>
  <c r="AC21" i="39"/>
  <c r="E21" i="39" s="1"/>
  <c r="AC27" i="39"/>
  <c r="E27" i="39" s="1"/>
  <c r="AC31" i="39"/>
  <c r="E31" i="39" s="1"/>
  <c r="AC25" i="39"/>
  <c r="E25" i="39" s="1"/>
  <c r="AC29" i="39"/>
  <c r="E29" i="39" s="1"/>
  <c r="AC23" i="39"/>
  <c r="E23" i="39" s="1"/>
  <c r="AC33" i="27"/>
  <c r="E33" i="27" s="1"/>
  <c r="AC35" i="27"/>
  <c r="E35" i="27" s="1"/>
  <c r="AC21" i="27"/>
  <c r="E21" i="27" s="1"/>
  <c r="AC29" i="27"/>
  <c r="E29" i="27" s="1"/>
  <c r="AC25" i="27"/>
  <c r="E25" i="27" s="1"/>
  <c r="AC23" i="27"/>
  <c r="E23" i="27" s="1"/>
  <c r="AC27" i="27"/>
  <c r="E27" i="27" s="1"/>
  <c r="AC31" i="27"/>
  <c r="E31" i="27" s="1"/>
  <c r="AC33" i="40"/>
  <c r="E33" i="40" s="1"/>
  <c r="AC35" i="40"/>
  <c r="E35" i="40" s="1"/>
  <c r="AC21" i="40"/>
  <c r="E21" i="40" s="1"/>
  <c r="AC27" i="40"/>
  <c r="E27" i="40" s="1"/>
  <c r="AC31" i="40"/>
  <c r="E31" i="40" s="1"/>
  <c r="AC25" i="40"/>
  <c r="E25" i="40" s="1"/>
  <c r="AC29" i="40"/>
  <c r="E29" i="40" s="1"/>
  <c r="AC23" i="40"/>
  <c r="E23" i="40" s="1"/>
  <c r="AC35" i="28"/>
  <c r="E35" i="28" s="1"/>
  <c r="AC25" i="28"/>
  <c r="E25" i="28" s="1"/>
  <c r="AC29" i="28"/>
  <c r="E29" i="28" s="1"/>
  <c r="AC33" i="28"/>
  <c r="E33" i="28" s="1"/>
  <c r="AC21" i="28"/>
  <c r="E21" i="28" s="1"/>
  <c r="AC23" i="28"/>
  <c r="E23" i="28" s="1"/>
  <c r="AC27" i="28"/>
  <c r="E27" i="28" s="1"/>
  <c r="AC31" i="28"/>
  <c r="E31" i="28" s="1"/>
  <c r="AB23" i="44"/>
  <c r="E23" i="44" s="1"/>
  <c r="AB31" i="44"/>
  <c r="E31" i="44" s="1"/>
  <c r="AB25" i="44"/>
  <c r="E25" i="44" s="1"/>
  <c r="AB33" i="44"/>
  <c r="E33" i="44" s="1"/>
  <c r="AB35" i="44"/>
  <c r="E35" i="44" s="1"/>
  <c r="AB27" i="44"/>
  <c r="E27" i="44" s="1"/>
  <c r="AB21" i="44"/>
  <c r="E21" i="44" s="1"/>
  <c r="AB29" i="44"/>
  <c r="E29" i="44" s="1"/>
  <c r="AK23" i="45"/>
  <c r="I23" i="45" s="1"/>
  <c r="AK22" i="45"/>
  <c r="I22" i="45" s="1"/>
  <c r="AA35" i="34"/>
  <c r="E35" i="34" s="1"/>
  <c r="AA33" i="34"/>
  <c r="E33" i="34" s="1"/>
  <c r="AA21" i="34"/>
  <c r="E21" i="34" s="1"/>
  <c r="AA29" i="34"/>
  <c r="E29" i="34" s="1"/>
  <c r="AA25" i="34"/>
  <c r="E25" i="34" s="1"/>
  <c r="AA27" i="34"/>
  <c r="E27" i="34" s="1"/>
  <c r="AA31" i="34"/>
  <c r="E31" i="34" s="1"/>
  <c r="AA23" i="34"/>
  <c r="E23" i="34" s="1"/>
  <c r="AA21" i="35"/>
  <c r="E21" i="35" s="1"/>
  <c r="AA25" i="35"/>
  <c r="E25" i="35" s="1"/>
  <c r="AA33" i="35"/>
  <c r="E33" i="35" s="1"/>
  <c r="AA35" i="35"/>
  <c r="E35" i="35" s="1"/>
  <c r="AA27" i="35"/>
  <c r="E27" i="35" s="1"/>
  <c r="AA29" i="35"/>
  <c r="E29" i="35" s="1"/>
  <c r="AA23" i="35"/>
  <c r="E23" i="35" s="1"/>
  <c r="AA31" i="35"/>
  <c r="E31" i="35" s="1"/>
  <c r="AM17" i="31"/>
  <c r="AM17" i="41"/>
  <c r="AM34" i="26"/>
  <c r="I34" i="26" s="1"/>
  <c r="AM38" i="26"/>
  <c r="I38" i="26" s="1"/>
  <c r="AM26" i="26"/>
  <c r="I26" i="26" s="1"/>
  <c r="AM28" i="26"/>
  <c r="I28" i="26" s="1"/>
  <c r="AM24" i="26"/>
  <c r="I24" i="26" s="1"/>
  <c r="AM37" i="26"/>
  <c r="I37" i="26" s="1"/>
  <c r="AM32" i="26"/>
  <c r="I32" i="26" s="1"/>
  <c r="AM30" i="26"/>
  <c r="I30" i="26" s="1"/>
  <c r="AM29" i="26"/>
  <c r="I29" i="26" s="1"/>
  <c r="AM33" i="26"/>
  <c r="I33" i="26" s="1"/>
  <c r="AM25" i="26"/>
  <c r="I25" i="26" s="1"/>
  <c r="AM36" i="26"/>
  <c r="I36" i="26" s="1"/>
  <c r="AM25" i="19"/>
  <c r="I25" i="19" s="1"/>
  <c r="AM30" i="19"/>
  <c r="I30" i="19" s="1"/>
  <c r="AM36" i="19"/>
  <c r="I36" i="19" s="1"/>
  <c r="AM38" i="19"/>
  <c r="I38" i="19" s="1"/>
  <c r="AM26" i="19"/>
  <c r="I26" i="19" s="1"/>
  <c r="AM32" i="19"/>
  <c r="I32" i="19" s="1"/>
  <c r="AM37" i="19"/>
  <c r="I37" i="19" s="1"/>
  <c r="AM28" i="19"/>
  <c r="I28" i="19" s="1"/>
  <c r="AM33" i="19"/>
  <c r="I33" i="19" s="1"/>
  <c r="AM24" i="19"/>
  <c r="I24" i="19" s="1"/>
  <c r="AM29" i="19"/>
  <c r="I29" i="19" s="1"/>
  <c r="AM34" i="19"/>
  <c r="I34" i="19" s="1"/>
  <c r="AK20" i="24"/>
  <c r="I20" i="24" s="1"/>
  <c r="AK26" i="24"/>
  <c r="I26" i="24" s="1"/>
  <c r="AK22" i="24"/>
  <c r="I22" i="24" s="1"/>
  <c r="AK24" i="24"/>
  <c r="I24" i="24" s="1"/>
  <c r="AK25" i="24"/>
  <c r="I25" i="24" s="1"/>
  <c r="AK21" i="24"/>
  <c r="I21" i="24" s="1"/>
  <c r="AK38" i="15"/>
  <c r="I38" i="15" s="1"/>
  <c r="AK25" i="15"/>
  <c r="I25" i="15" s="1"/>
  <c r="AK36" i="15"/>
  <c r="I36" i="15" s="1"/>
  <c r="AK20" i="15"/>
  <c r="I20" i="15" s="1"/>
  <c r="AK29" i="15"/>
  <c r="I29" i="15" s="1"/>
  <c r="AK30" i="15"/>
  <c r="I30" i="15" s="1"/>
  <c r="AK24" i="15"/>
  <c r="I24" i="15" s="1"/>
  <c r="AK34" i="15"/>
  <c r="I34" i="15" s="1"/>
  <c r="AK28" i="15"/>
  <c r="I28" i="15" s="1"/>
  <c r="AK26" i="15"/>
  <c r="I26" i="15" s="1"/>
  <c r="AK22" i="15"/>
  <c r="I22" i="15" s="1"/>
  <c r="AK21" i="15"/>
  <c r="I21" i="15" s="1"/>
  <c r="AK37" i="15"/>
  <c r="I37" i="15" s="1"/>
  <c r="AK33" i="15"/>
  <c r="I33" i="15" s="1"/>
  <c r="AK32" i="15"/>
  <c r="I32" i="15" s="1"/>
  <c r="AE18" i="33"/>
  <c r="AE23" i="33" s="1"/>
  <c r="E23" i="33" s="1"/>
  <c r="AJ17" i="32"/>
  <c r="P18" i="4"/>
  <c r="O18" i="4"/>
  <c r="M18" i="4"/>
  <c r="L18" i="4"/>
  <c r="G18" i="4"/>
  <c r="AC18" i="4"/>
  <c r="AK26" i="47" l="1"/>
  <c r="I26" i="47" s="1"/>
  <c r="AK31" i="47"/>
  <c r="I31" i="47" s="1"/>
  <c r="AK22" i="47"/>
  <c r="I22" i="47" s="1"/>
  <c r="AK21" i="47"/>
  <c r="I21" i="47" s="1"/>
  <c r="AK23" i="47"/>
  <c r="I23" i="47" s="1"/>
  <c r="AK31" i="45"/>
  <c r="I31" i="45" s="1"/>
  <c r="AK36" i="45"/>
  <c r="I36" i="45" s="1"/>
  <c r="AK21" i="45"/>
  <c r="I21" i="45" s="1"/>
  <c r="AK26" i="45"/>
  <c r="I26" i="45" s="1"/>
  <c r="AC23" i="4"/>
  <c r="N23" i="4" s="1"/>
  <c r="AC21" i="4"/>
  <c r="N21" i="4" s="1"/>
  <c r="F198" i="2"/>
  <c r="G198" i="2" s="1"/>
  <c r="F197" i="2"/>
  <c r="G197" i="2" s="1"/>
  <c r="AE31" i="33"/>
  <c r="E31" i="33" s="1"/>
  <c r="AE35" i="33"/>
  <c r="E35" i="33" s="1"/>
  <c r="AE27" i="33"/>
  <c r="E27" i="33" s="1"/>
  <c r="AE25" i="33"/>
  <c r="E25" i="33" s="1"/>
  <c r="AE21" i="33"/>
  <c r="E21" i="33" s="1"/>
  <c r="AE33" i="33"/>
  <c r="E33" i="33" s="1"/>
  <c r="AE29" i="33"/>
  <c r="E29" i="33" s="1"/>
  <c r="AB35" i="4"/>
  <c r="E35" i="4" s="1"/>
  <c r="AB29" i="4"/>
  <c r="E29" i="4" s="1"/>
  <c r="E21" i="4"/>
  <c r="AC29" i="4"/>
  <c r="N29" i="4" s="1"/>
  <c r="AC35" i="4"/>
  <c r="N35" i="4" s="1"/>
  <c r="AB33" i="4"/>
  <c r="E33" i="4" s="1"/>
  <c r="AB25" i="4"/>
  <c r="E25" i="4" s="1"/>
  <c r="AC33" i="4"/>
  <c r="N33" i="4" s="1"/>
  <c r="AC25" i="4"/>
  <c r="N25" i="4" s="1"/>
  <c r="AB31" i="4"/>
  <c r="E31" i="4" s="1"/>
  <c r="AC31" i="4"/>
  <c r="N31" i="4" s="1"/>
  <c r="S4" i="5" l="1"/>
  <c r="R4" i="5"/>
  <c r="Q4" i="5"/>
  <c r="O4" i="5"/>
  <c r="N4" i="5"/>
  <c r="M4" i="5"/>
  <c r="K4" i="5"/>
  <c r="L4" i="5"/>
  <c r="J4" i="5"/>
  <c r="I4" i="5"/>
  <c r="H4" i="5"/>
  <c r="G4" i="5"/>
  <c r="F4" i="5"/>
  <c r="E4" i="5"/>
  <c r="D4" i="5"/>
  <c r="C4" i="5"/>
  <c r="B4" i="5"/>
  <c r="A1" i="4" l="1"/>
  <c r="V186" i="2" l="1"/>
  <c r="U186" i="2"/>
  <c r="D186" i="2" s="1"/>
  <c r="T186" i="2"/>
  <c r="C186" i="2" s="1"/>
  <c r="V185" i="2"/>
  <c r="U185" i="2"/>
  <c r="D185" i="2" s="1"/>
  <c r="T185" i="2"/>
  <c r="C185" i="2" s="1"/>
  <c r="V181" i="2"/>
  <c r="U181" i="2"/>
  <c r="D181" i="2" s="1"/>
  <c r="T181" i="2"/>
  <c r="C181" i="2" s="1"/>
  <c r="V180" i="2"/>
  <c r="U180" i="2"/>
  <c r="D180" i="2" s="1"/>
  <c r="T180" i="2"/>
  <c r="C180" i="2" s="1"/>
  <c r="V179" i="2"/>
  <c r="U179" i="2"/>
  <c r="D179" i="2" s="1"/>
  <c r="T179" i="2"/>
  <c r="C179" i="2" s="1"/>
  <c r="V178" i="2"/>
  <c r="U178" i="2"/>
  <c r="D178" i="2" s="1"/>
  <c r="T178" i="2"/>
  <c r="C178" i="2" s="1"/>
  <c r="V125" i="2"/>
  <c r="U125" i="2"/>
  <c r="D125" i="2" s="1"/>
  <c r="T125" i="2"/>
  <c r="C125" i="2" s="1"/>
  <c r="V117" i="2"/>
  <c r="U117" i="2"/>
  <c r="D117" i="2" s="1"/>
  <c r="T117" i="2"/>
  <c r="C117" i="2" s="1"/>
  <c r="V116" i="2"/>
  <c r="U116" i="2"/>
  <c r="D116" i="2" s="1"/>
  <c r="T116" i="2"/>
  <c r="C116" i="2" s="1"/>
  <c r="V115" i="2"/>
  <c r="U115" i="2"/>
  <c r="D115" i="2" s="1"/>
  <c r="T115" i="2"/>
  <c r="C115" i="2" s="1"/>
  <c r="V114" i="2"/>
  <c r="U114" i="2"/>
  <c r="D114" i="2" s="1"/>
  <c r="T114" i="2"/>
  <c r="C114" i="2" s="1"/>
  <c r="V111" i="2"/>
  <c r="U111" i="2"/>
  <c r="D111" i="2" s="1"/>
  <c r="T111" i="2"/>
  <c r="C111" i="2" s="1"/>
  <c r="V110" i="2"/>
  <c r="U110" i="2"/>
  <c r="D110" i="2" s="1"/>
  <c r="T110" i="2"/>
  <c r="C110" i="2" s="1"/>
  <c r="V109" i="2"/>
  <c r="U109" i="2"/>
  <c r="D109" i="2" s="1"/>
  <c r="T109" i="2"/>
  <c r="C109" i="2" s="1"/>
  <c r="V108" i="2"/>
  <c r="U108" i="2"/>
  <c r="D108" i="2" s="1"/>
  <c r="T108" i="2"/>
  <c r="C108" i="2" s="1"/>
  <c r="V107" i="2"/>
  <c r="U107" i="2"/>
  <c r="D107" i="2" s="1"/>
  <c r="T107" i="2"/>
  <c r="C107" i="2" s="1"/>
  <c r="V106" i="2"/>
  <c r="U106" i="2"/>
  <c r="D106" i="2" s="1"/>
  <c r="T106" i="2"/>
  <c r="C106" i="2" s="1"/>
  <c r="V105" i="2"/>
  <c r="U105" i="2"/>
  <c r="D105" i="2" s="1"/>
  <c r="T105" i="2"/>
  <c r="C105" i="2" s="1"/>
  <c r="V104" i="2"/>
  <c r="U104" i="2"/>
  <c r="D104" i="2" s="1"/>
  <c r="T104" i="2"/>
  <c r="C104" i="2" s="1"/>
  <c r="V29" i="2"/>
  <c r="U29" i="2"/>
  <c r="D29" i="2" s="1"/>
  <c r="T29" i="2"/>
  <c r="C29" i="2" s="1"/>
  <c r="V28" i="2"/>
  <c r="U28" i="2"/>
  <c r="D28" i="2" s="1"/>
  <c r="T28" i="2"/>
  <c r="C28" i="2" s="1"/>
  <c r="V27" i="2"/>
  <c r="U27" i="2"/>
  <c r="D27" i="2" s="1"/>
  <c r="T27" i="2"/>
  <c r="C27" i="2" s="1"/>
  <c r="V26" i="2"/>
  <c r="U26" i="2"/>
  <c r="D26" i="2" s="1"/>
  <c r="T26" i="2"/>
  <c r="C26" i="2" s="1"/>
  <c r="V25" i="2"/>
  <c r="U25" i="2"/>
  <c r="D25" i="2" s="1"/>
  <c r="T25" i="2"/>
  <c r="C25" i="2" s="1"/>
  <c r="V24" i="2"/>
  <c r="U24" i="2"/>
  <c r="D24" i="2" s="1"/>
  <c r="T24" i="2"/>
  <c r="C24" i="2" s="1"/>
  <c r="V23" i="2"/>
  <c r="U23" i="2"/>
  <c r="D23" i="2" s="1"/>
  <c r="T23" i="2"/>
  <c r="C23" i="2" s="1"/>
  <c r="V22" i="2"/>
  <c r="U22" i="2"/>
  <c r="D22" i="2" s="1"/>
  <c r="T22" i="2"/>
  <c r="C22" i="2" s="1"/>
  <c r="V21" i="2"/>
  <c r="U21" i="2"/>
  <c r="D21" i="2" s="1"/>
  <c r="T21" i="2"/>
  <c r="C21" i="2" s="1"/>
  <c r="AA178" i="2" l="1"/>
  <c r="E178" i="2" s="1"/>
  <c r="AB178" i="2"/>
  <c r="M178" i="2" s="1"/>
  <c r="AA185" i="2"/>
  <c r="E185" i="2" s="1"/>
  <c r="F185" i="2" s="1"/>
  <c r="AB185" i="2"/>
  <c r="M185" i="2" s="1"/>
  <c r="AA181" i="2"/>
  <c r="E181" i="2" s="1"/>
  <c r="F181" i="2" s="1"/>
  <c r="AB181" i="2"/>
  <c r="M181" i="2" s="1"/>
  <c r="AA180" i="2"/>
  <c r="E180" i="2" s="1"/>
  <c r="AB180" i="2"/>
  <c r="M180" i="2" s="1"/>
  <c r="AA179" i="2"/>
  <c r="E179" i="2" s="1"/>
  <c r="AB179" i="2"/>
  <c r="M179" i="2" s="1"/>
  <c r="AA186" i="2"/>
  <c r="E186" i="2" s="1"/>
  <c r="AB186" i="2"/>
  <c r="M186" i="2" s="1"/>
  <c r="AB105" i="2"/>
  <c r="M105" i="2" s="1"/>
  <c r="AA105" i="2"/>
  <c r="E105" i="2" s="1"/>
  <c r="F105" i="2" s="1"/>
  <c r="AA104" i="2"/>
  <c r="E104" i="2" s="1"/>
  <c r="F104" i="2" s="1"/>
  <c r="AB104" i="2"/>
  <c r="M104" i="2" s="1"/>
  <c r="AA125" i="2"/>
  <c r="E125" i="2" s="1"/>
  <c r="F125" i="2" s="1"/>
  <c r="G125" i="2" s="1"/>
  <c r="AB125" i="2"/>
  <c r="M125" i="2" s="1"/>
  <c r="AB107" i="2"/>
  <c r="M107" i="2" s="1"/>
  <c r="AA107" i="2"/>
  <c r="E107" i="2" s="1"/>
  <c r="F107" i="2" s="1"/>
  <c r="AA111" i="2"/>
  <c r="E111" i="2" s="1"/>
  <c r="F111" i="2" s="1"/>
  <c r="AB111" i="2"/>
  <c r="M111" i="2" s="1"/>
  <c r="AA117" i="2"/>
  <c r="E117" i="2" s="1"/>
  <c r="F117" i="2" s="1"/>
  <c r="AB117" i="2"/>
  <c r="M117" i="2" s="1"/>
  <c r="AA109" i="2"/>
  <c r="E109" i="2" s="1"/>
  <c r="AB109" i="2"/>
  <c r="M109" i="2" s="1"/>
  <c r="AA115" i="2"/>
  <c r="E115" i="2" s="1"/>
  <c r="AB115" i="2"/>
  <c r="M115" i="2" s="1"/>
  <c r="AA108" i="2"/>
  <c r="E108" i="2" s="1"/>
  <c r="F108" i="2" s="1"/>
  <c r="AB108" i="2"/>
  <c r="M108" i="2" s="1"/>
  <c r="AA114" i="2"/>
  <c r="E114" i="2" s="1"/>
  <c r="F114" i="2" s="1"/>
  <c r="AB114" i="2"/>
  <c r="M114" i="2" s="1"/>
  <c r="AA106" i="2"/>
  <c r="E106" i="2" s="1"/>
  <c r="F106" i="2" s="1"/>
  <c r="AB106" i="2"/>
  <c r="M106" i="2" s="1"/>
  <c r="AA110" i="2"/>
  <c r="E110" i="2" s="1"/>
  <c r="F110" i="2" s="1"/>
  <c r="AB110" i="2"/>
  <c r="M110" i="2" s="1"/>
  <c r="AA116" i="2"/>
  <c r="E116" i="2" s="1"/>
  <c r="F116" i="2" s="1"/>
  <c r="AB116" i="2"/>
  <c r="M116" i="2" s="1"/>
  <c r="AA23" i="2"/>
  <c r="E23" i="2" s="1"/>
  <c r="F23" i="2" s="1"/>
  <c r="G23" i="2" s="1"/>
  <c r="AB23" i="2"/>
  <c r="M23" i="2" s="1"/>
  <c r="AA27" i="2"/>
  <c r="E27" i="2" s="1"/>
  <c r="F27" i="2" s="1"/>
  <c r="AB27" i="2"/>
  <c r="M27" i="2" s="1"/>
  <c r="AA22" i="2"/>
  <c r="E22" i="2" s="1"/>
  <c r="F22" i="2" s="1"/>
  <c r="AB22" i="2"/>
  <c r="M22" i="2" s="1"/>
  <c r="AA26" i="2"/>
  <c r="E26" i="2" s="1"/>
  <c r="AB26" i="2"/>
  <c r="M26" i="2" s="1"/>
  <c r="AB21" i="2"/>
  <c r="M21" i="2" s="1"/>
  <c r="AA21" i="2"/>
  <c r="E21" i="2" s="1"/>
  <c r="F21" i="2" s="1"/>
  <c r="AA25" i="2"/>
  <c r="E25" i="2" s="1"/>
  <c r="AB25" i="2"/>
  <c r="M25" i="2" s="1"/>
  <c r="AA29" i="2"/>
  <c r="E29" i="2" s="1"/>
  <c r="F29" i="2" s="1"/>
  <c r="AB29" i="2"/>
  <c r="M29" i="2" s="1"/>
  <c r="AA24" i="2"/>
  <c r="E24" i="2" s="1"/>
  <c r="AB24" i="2"/>
  <c r="M24" i="2" s="1"/>
  <c r="AA28" i="2"/>
  <c r="E28" i="2" s="1"/>
  <c r="AB28" i="2"/>
  <c r="M28" i="2" s="1"/>
  <c r="E20" i="25"/>
  <c r="AN20" i="25" l="1"/>
  <c r="R20" i="25" s="1"/>
  <c r="AM20" i="25"/>
  <c r="I20" i="25" s="1"/>
  <c r="F115" i="2"/>
  <c r="G115" i="2" s="1"/>
  <c r="F186" i="2"/>
  <c r="G186" i="2" s="1"/>
  <c r="F24" i="2"/>
  <c r="G24" i="2" s="1"/>
  <c r="G116" i="2"/>
  <c r="G106" i="2"/>
  <c r="G21" i="2"/>
  <c r="G111" i="2"/>
  <c r="F178" i="2"/>
  <c r="G178" i="2" s="1"/>
  <c r="F109" i="2"/>
  <c r="G109" i="2" s="1"/>
  <c r="F26" i="2"/>
  <c r="G26" i="2" s="1"/>
  <c r="F179" i="2"/>
  <c r="G179" i="2" s="1"/>
  <c r="F28" i="2"/>
  <c r="G28" i="2" s="1"/>
  <c r="F25" i="2"/>
  <c r="G25" i="2" s="1"/>
  <c r="G117" i="2"/>
  <c r="G104" i="2"/>
  <c r="G27" i="2"/>
  <c r="G108" i="2"/>
  <c r="G105" i="2"/>
  <c r="G185" i="2"/>
  <c r="F180" i="2"/>
  <c r="G180" i="2" s="1"/>
  <c r="G22" i="2"/>
  <c r="G110" i="2"/>
  <c r="G114" i="2"/>
  <c r="G107" i="2"/>
  <c r="G181" i="2"/>
  <c r="G29" i="2"/>
  <c r="H32" i="5" l="1"/>
  <c r="AH18" i="47" l="1"/>
  <c r="AH17" i="47"/>
  <c r="AG17" i="47"/>
  <c r="Y18" i="47"/>
  <c r="Y17" i="47"/>
  <c r="X17" i="47"/>
  <c r="W20" i="47"/>
  <c r="W36" i="47" s="1"/>
  <c r="AG31" i="47" l="1"/>
  <c r="AG36" i="47"/>
  <c r="X31" i="47"/>
  <c r="AA31" i="47" s="1"/>
  <c r="G31" i="47" s="1"/>
  <c r="X36" i="47"/>
  <c r="AA36" i="47" s="1"/>
  <c r="G36" i="47" s="1"/>
  <c r="AH31" i="47"/>
  <c r="AH36" i="47"/>
  <c r="Y36" i="47"/>
  <c r="W26" i="47"/>
  <c r="W31" i="47"/>
  <c r="Y31" i="47"/>
  <c r="X21" i="47"/>
  <c r="X26" i="47"/>
  <c r="AH21" i="47"/>
  <c r="AH26" i="47"/>
  <c r="AG21" i="47"/>
  <c r="AG26" i="47"/>
  <c r="Y26" i="47"/>
  <c r="Y21" i="47"/>
  <c r="AH40" i="47"/>
  <c r="AH32" i="47"/>
  <c r="AH28" i="47"/>
  <c r="AH20" i="47"/>
  <c r="AH37" i="47"/>
  <c r="AH33" i="47"/>
  <c r="AH25" i="47"/>
  <c r="AH42" i="47"/>
  <c r="AH38" i="47"/>
  <c r="AH30" i="47"/>
  <c r="AH22" i="47"/>
  <c r="AH43" i="47"/>
  <c r="AH35" i="47"/>
  <c r="AH27" i="47"/>
  <c r="AH23" i="47"/>
  <c r="Y37" i="47"/>
  <c r="Y33" i="47"/>
  <c r="Y25" i="47"/>
  <c r="Y42" i="47"/>
  <c r="Y38" i="47"/>
  <c r="Y30" i="47"/>
  <c r="Y22" i="47"/>
  <c r="Y43" i="47"/>
  <c r="Y35" i="47"/>
  <c r="Y27" i="47"/>
  <c r="Y23" i="47"/>
  <c r="Y40" i="47"/>
  <c r="Y32" i="47"/>
  <c r="Y28" i="47"/>
  <c r="Y20" i="47"/>
  <c r="A50" i="47"/>
  <c r="W43" i="47"/>
  <c r="E43" i="47"/>
  <c r="W42" i="47"/>
  <c r="E42" i="47"/>
  <c r="E40" i="47"/>
  <c r="E38" i="47"/>
  <c r="W37" i="47"/>
  <c r="E37" i="47"/>
  <c r="E35" i="47"/>
  <c r="E33" i="47"/>
  <c r="E32" i="47"/>
  <c r="W30" i="47"/>
  <c r="E30" i="47"/>
  <c r="E28" i="47"/>
  <c r="E27" i="47"/>
  <c r="E25" i="47"/>
  <c r="W23" i="47"/>
  <c r="E23" i="47"/>
  <c r="AG23" i="47" s="1"/>
  <c r="E22" i="47"/>
  <c r="E20" i="47"/>
  <c r="T9" i="47"/>
  <c r="A9" i="47"/>
  <c r="A8" i="47"/>
  <c r="T7" i="47"/>
  <c r="A7" i="47"/>
  <c r="A4" i="47"/>
  <c r="A3" i="47"/>
  <c r="A2" i="47"/>
  <c r="A1" i="47"/>
  <c r="E20" i="45"/>
  <c r="AA21" i="47" l="1"/>
  <c r="G21" i="47" s="1"/>
  <c r="AJ21" i="47"/>
  <c r="AA26" i="47"/>
  <c r="G26" i="47" s="1"/>
  <c r="H21" i="47"/>
  <c r="AL20" i="47"/>
  <c r="R20" i="47" s="1"/>
  <c r="AK20" i="47"/>
  <c r="I20" i="47" s="1"/>
  <c r="AL20" i="45"/>
  <c r="R20" i="45" s="1"/>
  <c r="AK20" i="45"/>
  <c r="I20" i="45" s="1"/>
  <c r="AL40" i="47"/>
  <c r="R40" i="47" s="1"/>
  <c r="AK40" i="47"/>
  <c r="I40" i="47" s="1"/>
  <c r="AL42" i="47"/>
  <c r="R42" i="47" s="1"/>
  <c r="AK42" i="47"/>
  <c r="I42" i="47" s="1"/>
  <c r="AL43" i="47"/>
  <c r="R43" i="47" s="1"/>
  <c r="AK43" i="47"/>
  <c r="I43" i="47" s="1"/>
  <c r="AL37" i="47"/>
  <c r="R37" i="47" s="1"/>
  <c r="AK37" i="47"/>
  <c r="I37" i="47" s="1"/>
  <c r="AG38" i="47"/>
  <c r="AL38" i="47"/>
  <c r="R38" i="47" s="1"/>
  <c r="AK38" i="47"/>
  <c r="I38" i="47" s="1"/>
  <c r="AL35" i="47"/>
  <c r="R35" i="47" s="1"/>
  <c r="AK35" i="47"/>
  <c r="I35" i="47" s="1"/>
  <c r="AG32" i="47"/>
  <c r="AL32" i="47"/>
  <c r="R32" i="47" s="1"/>
  <c r="AK32" i="47"/>
  <c r="I32" i="47" s="1"/>
  <c r="AG30" i="47"/>
  <c r="AL30" i="47"/>
  <c r="R30" i="47" s="1"/>
  <c r="AK30" i="47"/>
  <c r="I30" i="47" s="1"/>
  <c r="AL33" i="47"/>
  <c r="R33" i="47" s="1"/>
  <c r="AK33" i="47"/>
  <c r="I33" i="47" s="1"/>
  <c r="AL27" i="47"/>
  <c r="R27" i="47" s="1"/>
  <c r="AK27" i="47"/>
  <c r="I27" i="47" s="1"/>
  <c r="AL28" i="47"/>
  <c r="R28" i="47" s="1"/>
  <c r="AK28" i="47"/>
  <c r="I28" i="47" s="1"/>
  <c r="AG25" i="47"/>
  <c r="AL25" i="47"/>
  <c r="R25" i="47" s="1"/>
  <c r="AK25" i="47"/>
  <c r="I25" i="47" s="1"/>
  <c r="AG37" i="47"/>
  <c r="X40" i="47"/>
  <c r="X33" i="47"/>
  <c r="X27" i="47"/>
  <c r="X20" i="47"/>
  <c r="X42" i="47"/>
  <c r="W38" i="47"/>
  <c r="W32" i="47"/>
  <c r="W25" i="47"/>
  <c r="X23" i="47"/>
  <c r="W27" i="47"/>
  <c r="X30" i="47"/>
  <c r="W33" i="47"/>
  <c r="X37" i="47"/>
  <c r="W40" i="47"/>
  <c r="X43" i="47"/>
  <c r="AA20" i="47"/>
  <c r="G20" i="47" s="1"/>
  <c r="W22" i="47"/>
  <c r="AG22" i="47"/>
  <c r="W28" i="47"/>
  <c r="AG28" i="47"/>
  <c r="W35" i="47"/>
  <c r="AG35" i="47"/>
  <c r="AG40" i="47"/>
  <c r="AG33" i="47"/>
  <c r="AG27" i="47"/>
  <c r="AG20" i="47"/>
  <c r="AG42" i="47"/>
  <c r="X22" i="47"/>
  <c r="X25" i="47"/>
  <c r="X28" i="47"/>
  <c r="X32" i="47"/>
  <c r="X35" i="47"/>
  <c r="X38" i="47"/>
  <c r="AG43" i="47"/>
  <c r="J21" i="47" l="1"/>
  <c r="K21" i="47" s="1"/>
  <c r="AA37" i="47"/>
  <c r="G37" i="47" s="1"/>
  <c r="AA32" i="47"/>
  <c r="G32" i="47" s="1"/>
  <c r="AA40" i="47"/>
  <c r="G40" i="47" s="1"/>
  <c r="AA23" i="47"/>
  <c r="G23" i="47" s="1"/>
  <c r="AA42" i="47"/>
  <c r="G42" i="47" s="1"/>
  <c r="AA43" i="47"/>
  <c r="G43" i="47" s="1"/>
  <c r="AA30" i="47"/>
  <c r="G30" i="47" s="1"/>
  <c r="AA38" i="47"/>
  <c r="G38" i="47" s="1"/>
  <c r="AA28" i="47"/>
  <c r="G28" i="47" s="1"/>
  <c r="AA27" i="47"/>
  <c r="G27" i="47" s="1"/>
  <c r="AA35" i="47"/>
  <c r="G35" i="47" s="1"/>
  <c r="AA22" i="47"/>
  <c r="G22" i="47" s="1"/>
  <c r="AA33" i="47"/>
  <c r="G33" i="47" s="1"/>
  <c r="AA25" i="47"/>
  <c r="G25" i="47" s="1"/>
  <c r="AH18" i="45" l="1"/>
  <c r="AH17" i="45"/>
  <c r="AG17" i="45"/>
  <c r="AG36" i="45" s="1"/>
  <c r="AH31" i="45" l="1"/>
  <c r="AH36" i="45"/>
  <c r="AG26" i="45"/>
  <c r="AG31" i="45"/>
  <c r="AH21" i="45"/>
  <c r="AH26" i="45"/>
  <c r="AG20" i="45"/>
  <c r="AG21" i="45"/>
  <c r="AH42" i="45"/>
  <c r="AH37" i="45"/>
  <c r="AH32" i="45"/>
  <c r="AH27" i="45"/>
  <c r="AH22" i="45"/>
  <c r="AH43" i="45"/>
  <c r="AH38" i="45"/>
  <c r="AH33" i="45"/>
  <c r="AH28" i="45"/>
  <c r="AH23" i="45"/>
  <c r="AH30" i="45"/>
  <c r="AH20" i="45"/>
  <c r="AH40" i="45"/>
  <c r="AH35" i="45"/>
  <c r="AH25" i="45"/>
  <c r="Y18" i="45"/>
  <c r="Y17" i="45"/>
  <c r="X17" i="45"/>
  <c r="W20" i="45"/>
  <c r="Y31" i="45" l="1"/>
  <c r="Y36" i="45"/>
  <c r="X31" i="45"/>
  <c r="X36" i="45"/>
  <c r="AA36" i="45" s="1"/>
  <c r="G36" i="45" s="1"/>
  <c r="W31" i="45"/>
  <c r="W36" i="45"/>
  <c r="AA31" i="45"/>
  <c r="G31" i="45" s="1"/>
  <c r="Y21" i="45"/>
  <c r="Y26" i="45"/>
  <c r="X21" i="45"/>
  <c r="X26" i="45"/>
  <c r="AA26" i="45" s="1"/>
  <c r="G26" i="45" s="1"/>
  <c r="W40" i="45"/>
  <c r="W26" i="45"/>
  <c r="AJ21" i="45"/>
  <c r="H21" i="45"/>
  <c r="Y22" i="45"/>
  <c r="Y42" i="45"/>
  <c r="Y32" i="45"/>
  <c r="Y23" i="45"/>
  <c r="Y43" i="45"/>
  <c r="Y33" i="45"/>
  <c r="Y40" i="45"/>
  <c r="Y30" i="45"/>
  <c r="Y20" i="45"/>
  <c r="Y37" i="45"/>
  <c r="Y27" i="45"/>
  <c r="Y38" i="45"/>
  <c r="Y28" i="45"/>
  <c r="Y25" i="45"/>
  <c r="Y35" i="45"/>
  <c r="W30" i="45"/>
  <c r="W37" i="45"/>
  <c r="W43" i="45"/>
  <c r="W23" i="45"/>
  <c r="W42" i="45"/>
  <c r="W38" i="45"/>
  <c r="W35" i="45"/>
  <c r="W32" i="45"/>
  <c r="W28" i="45"/>
  <c r="W25" i="45"/>
  <c r="W22" i="45"/>
  <c r="W27" i="45"/>
  <c r="W33" i="45"/>
  <c r="AA21" i="45" l="1"/>
  <c r="G21" i="45" s="1"/>
  <c r="J21" i="45" s="1"/>
  <c r="K21" i="45" s="1"/>
  <c r="Z88" i="5"/>
  <c r="Z87" i="5"/>
  <c r="Z86" i="5"/>
  <c r="Z85" i="5"/>
  <c r="Z59" i="5"/>
  <c r="Z52" i="5"/>
  <c r="Z51" i="5"/>
  <c r="Z45" i="5"/>
  <c r="Z40" i="5"/>
  <c r="Z36" i="5"/>
  <c r="Z35" i="5"/>
  <c r="Z34" i="5"/>
  <c r="Z33" i="5"/>
  <c r="Z32" i="5"/>
  <c r="Z31" i="5"/>
  <c r="Z25" i="5"/>
  <c r="Z24" i="5"/>
  <c r="Z23" i="5"/>
  <c r="Z22" i="5"/>
  <c r="H82" i="5" l="1"/>
  <c r="V10" i="44" s="1"/>
  <c r="I82" i="5"/>
  <c r="V11" i="44" s="1"/>
  <c r="J82" i="5"/>
  <c r="V12" i="44" s="1"/>
  <c r="B25" i="2" l="1"/>
  <c r="B27" i="2"/>
  <c r="B29" i="2"/>
  <c r="B28" i="2"/>
  <c r="B26" i="2"/>
  <c r="E83" i="5"/>
  <c r="E25" i="26" l="1"/>
  <c r="V18" i="33" l="1"/>
  <c r="B83" i="5" l="1"/>
  <c r="D83" i="5"/>
  <c r="G83" i="5"/>
  <c r="K83" i="5" s="1"/>
  <c r="J80" i="5" l="1"/>
  <c r="I80" i="5"/>
  <c r="H80" i="5"/>
  <c r="R32" i="5"/>
  <c r="AF20" i="47" s="1"/>
  <c r="AF36" i="47" s="1"/>
  <c r="AJ36" i="47" s="1"/>
  <c r="S32" i="5"/>
  <c r="AF20" i="45" s="1"/>
  <c r="AF36" i="45" s="1"/>
  <c r="AJ36" i="45" s="1"/>
  <c r="Q32" i="5"/>
  <c r="N32" i="5"/>
  <c r="O32" i="5"/>
  <c r="M32" i="5"/>
  <c r="K32" i="5"/>
  <c r="I32" i="5"/>
  <c r="H36" i="47" l="1"/>
  <c r="AF26" i="47"/>
  <c r="AJ26" i="47" s="1"/>
  <c r="AF31" i="47"/>
  <c r="AJ31" i="47" s="1"/>
  <c r="H26" i="47"/>
  <c r="H36" i="45"/>
  <c r="AF26" i="45"/>
  <c r="AJ26" i="45" s="1"/>
  <c r="AF31" i="45"/>
  <c r="AJ31" i="45" s="1"/>
  <c r="C83" i="5"/>
  <c r="H83" i="5" s="1"/>
  <c r="X10" i="47"/>
  <c r="X10" i="45"/>
  <c r="X11" i="47"/>
  <c r="X11" i="45"/>
  <c r="AF43" i="45"/>
  <c r="AF37" i="45"/>
  <c r="AF35" i="45"/>
  <c r="AF40" i="45"/>
  <c r="AF32" i="45"/>
  <c r="AF27" i="45"/>
  <c r="AF23" i="45"/>
  <c r="AF42" i="45"/>
  <c r="AF28" i="45"/>
  <c r="AF33" i="45"/>
  <c r="AF22" i="45"/>
  <c r="AF38" i="45"/>
  <c r="AF25" i="45"/>
  <c r="AF30" i="45"/>
  <c r="X12" i="47"/>
  <c r="X12" i="45"/>
  <c r="AF32" i="47"/>
  <c r="AJ32" i="47" s="1"/>
  <c r="AF23" i="47"/>
  <c r="AJ23" i="47" s="1"/>
  <c r="AF28" i="47"/>
  <c r="AJ28" i="47" s="1"/>
  <c r="AF27" i="47"/>
  <c r="AJ27" i="47" s="1"/>
  <c r="AF25" i="47"/>
  <c r="AJ25" i="47" s="1"/>
  <c r="AF43" i="47"/>
  <c r="AJ43" i="47" s="1"/>
  <c r="AF22" i="47"/>
  <c r="AJ22" i="47" s="1"/>
  <c r="AF37" i="47"/>
  <c r="AJ37" i="47" s="1"/>
  <c r="AF42" i="47"/>
  <c r="AJ42" i="47" s="1"/>
  <c r="AF40" i="47"/>
  <c r="AJ40" i="47" s="1"/>
  <c r="AF38" i="47"/>
  <c r="AJ38" i="47" s="1"/>
  <c r="AF30" i="47"/>
  <c r="AJ30" i="47" s="1"/>
  <c r="AF35" i="47"/>
  <c r="AJ35" i="47" s="1"/>
  <c r="AF33" i="47"/>
  <c r="AJ33" i="47" s="1"/>
  <c r="AJ20" i="47"/>
  <c r="I83" i="5"/>
  <c r="J83" i="5"/>
  <c r="L31" i="47" l="1"/>
  <c r="L36" i="47"/>
  <c r="P36" i="47"/>
  <c r="J36" i="47"/>
  <c r="K36" i="47" s="1"/>
  <c r="N31" i="47"/>
  <c r="N36" i="47"/>
  <c r="M31" i="47"/>
  <c r="M36" i="47"/>
  <c r="H31" i="47"/>
  <c r="N21" i="47"/>
  <c r="N26" i="47"/>
  <c r="M21" i="47"/>
  <c r="M26" i="47"/>
  <c r="J26" i="47"/>
  <c r="K26" i="47" s="1"/>
  <c r="L21" i="47"/>
  <c r="L26" i="47"/>
  <c r="H26" i="45"/>
  <c r="L31" i="45"/>
  <c r="L36" i="45"/>
  <c r="O36" i="45" s="1"/>
  <c r="N31" i="45"/>
  <c r="N36" i="45"/>
  <c r="M31" i="45"/>
  <c r="M36" i="45"/>
  <c r="J36" i="45"/>
  <c r="K36" i="45" s="1"/>
  <c r="H31" i="45"/>
  <c r="N21" i="45"/>
  <c r="N26" i="45"/>
  <c r="M21" i="45"/>
  <c r="M26" i="45"/>
  <c r="J26" i="45"/>
  <c r="K26" i="45" s="1"/>
  <c r="L21" i="45"/>
  <c r="L26" i="45"/>
  <c r="H20" i="47"/>
  <c r="J20" i="47" s="1"/>
  <c r="K20" i="47" s="1"/>
  <c r="H38" i="47"/>
  <c r="J38" i="47" s="1"/>
  <c r="H22" i="47"/>
  <c r="J22" i="47" s="1"/>
  <c r="H28" i="47"/>
  <c r="J28" i="47" s="1"/>
  <c r="N38" i="47"/>
  <c r="N40" i="47"/>
  <c r="N33" i="47"/>
  <c r="N25" i="47"/>
  <c r="N23" i="47"/>
  <c r="N20" i="47"/>
  <c r="N30" i="47"/>
  <c r="N42" i="47"/>
  <c r="N35" i="47"/>
  <c r="N22" i="47"/>
  <c r="N27" i="47"/>
  <c r="N43" i="47"/>
  <c r="N32" i="47"/>
  <c r="N37" i="47"/>
  <c r="N28" i="47"/>
  <c r="M42" i="47"/>
  <c r="M20" i="47"/>
  <c r="M27" i="47"/>
  <c r="M28" i="47"/>
  <c r="M43" i="47"/>
  <c r="M37" i="47"/>
  <c r="M40" i="47"/>
  <c r="M33" i="47"/>
  <c r="M22" i="47"/>
  <c r="M35" i="47"/>
  <c r="M30" i="47"/>
  <c r="M23" i="47"/>
  <c r="M25" i="47"/>
  <c r="M32" i="47"/>
  <c r="M38" i="47"/>
  <c r="H33" i="47"/>
  <c r="J33" i="47" s="1"/>
  <c r="H40" i="47"/>
  <c r="J40" i="47" s="1"/>
  <c r="H43" i="47"/>
  <c r="J43" i="47" s="1"/>
  <c r="H23" i="47"/>
  <c r="J23" i="47" s="1"/>
  <c r="H35" i="47"/>
  <c r="J35" i="47" s="1"/>
  <c r="H25" i="47"/>
  <c r="J25" i="47" s="1"/>
  <c r="H32" i="47"/>
  <c r="J32" i="47" s="1"/>
  <c r="H42" i="47"/>
  <c r="J42" i="47" s="1"/>
  <c r="H30" i="47"/>
  <c r="J30" i="47" s="1"/>
  <c r="H37" i="47"/>
  <c r="J37" i="47" s="1"/>
  <c r="H27" i="47"/>
  <c r="J27" i="47" s="1"/>
  <c r="L40" i="47"/>
  <c r="L20" i="47"/>
  <c r="L33" i="47"/>
  <c r="L35" i="47"/>
  <c r="L32" i="47"/>
  <c r="L30" i="47"/>
  <c r="L28" i="47"/>
  <c r="L37" i="47"/>
  <c r="L22" i="47"/>
  <c r="L25" i="47"/>
  <c r="L38" i="47"/>
  <c r="L27" i="47"/>
  <c r="L23" i="47"/>
  <c r="L42" i="47"/>
  <c r="L43" i="47"/>
  <c r="J32" i="5"/>
  <c r="G32" i="5"/>
  <c r="S36" i="47" l="1"/>
  <c r="O36" i="47"/>
  <c r="Q36" i="47" s="1"/>
  <c r="O31" i="47"/>
  <c r="O26" i="47"/>
  <c r="J31" i="47"/>
  <c r="K31" i="47" s="1"/>
  <c r="P31" i="47"/>
  <c r="O21" i="47"/>
  <c r="Q21" i="47" s="1"/>
  <c r="P21" i="47"/>
  <c r="P26" i="47"/>
  <c r="S21" i="47"/>
  <c r="P36" i="45"/>
  <c r="O31" i="45"/>
  <c r="O26" i="45"/>
  <c r="O21" i="45"/>
  <c r="J31" i="45"/>
  <c r="K31" i="45" s="1"/>
  <c r="P31" i="45"/>
  <c r="P21" i="45"/>
  <c r="Q21" i="45" s="1"/>
  <c r="P26" i="45"/>
  <c r="O37" i="47"/>
  <c r="O23" i="47"/>
  <c r="O35" i="47"/>
  <c r="O42" i="47"/>
  <c r="O25" i="47"/>
  <c r="O27" i="47"/>
  <c r="O43" i="47"/>
  <c r="O28" i="47"/>
  <c r="O33" i="47"/>
  <c r="O30" i="47"/>
  <c r="O20" i="47"/>
  <c r="O22" i="47"/>
  <c r="O32" i="47"/>
  <c r="O40" i="47"/>
  <c r="O38" i="47"/>
  <c r="P20" i="47"/>
  <c r="S20" i="47" s="1"/>
  <c r="P30" i="47"/>
  <c r="K30" i="47"/>
  <c r="P42" i="47"/>
  <c r="K42" i="47"/>
  <c r="P32" i="47"/>
  <c r="S32" i="47" s="1"/>
  <c r="K32" i="47"/>
  <c r="P23" i="47"/>
  <c r="K23" i="47"/>
  <c r="P22" i="47"/>
  <c r="S22" i="47" s="1"/>
  <c r="K22" i="47"/>
  <c r="P37" i="47"/>
  <c r="K37" i="47"/>
  <c r="K43" i="47"/>
  <c r="P43" i="47"/>
  <c r="S43" i="47" s="1"/>
  <c r="K33" i="47"/>
  <c r="P33" i="47"/>
  <c r="K27" i="47"/>
  <c r="P27" i="47"/>
  <c r="P35" i="47"/>
  <c r="K35" i="47"/>
  <c r="K40" i="47"/>
  <c r="P40" i="47"/>
  <c r="S40" i="47" s="1"/>
  <c r="P28" i="47"/>
  <c r="K28" i="47"/>
  <c r="K25" i="47"/>
  <c r="P25" i="47"/>
  <c r="K38" i="47"/>
  <c r="P38" i="47"/>
  <c r="A50" i="45"/>
  <c r="E43" i="45"/>
  <c r="E42" i="45"/>
  <c r="E40" i="45"/>
  <c r="E38" i="45"/>
  <c r="E37" i="45"/>
  <c r="E35" i="45"/>
  <c r="E33" i="45"/>
  <c r="E32" i="45"/>
  <c r="E30" i="45"/>
  <c r="E28" i="45"/>
  <c r="E27" i="45"/>
  <c r="E25" i="45"/>
  <c r="E23" i="45"/>
  <c r="E22" i="45"/>
  <c r="T9" i="45"/>
  <c r="A9" i="45"/>
  <c r="A8" i="45"/>
  <c r="T7" i="45"/>
  <c r="A7" i="45"/>
  <c r="A4" i="45"/>
  <c r="A3" i="45"/>
  <c r="A2" i="45"/>
  <c r="A1" i="45"/>
  <c r="T21" i="47" l="1"/>
  <c r="T36" i="47"/>
  <c r="S31" i="47"/>
  <c r="T31" i="47" s="1"/>
  <c r="Q31" i="47"/>
  <c r="S26" i="47"/>
  <c r="T26" i="47" s="1"/>
  <c r="Q26" i="47"/>
  <c r="S21" i="45"/>
  <c r="T21" i="45" s="1"/>
  <c r="Q36" i="45"/>
  <c r="S36" i="45"/>
  <c r="T36" i="45" s="1"/>
  <c r="S31" i="45"/>
  <c r="T31" i="45" s="1"/>
  <c r="Q31" i="45"/>
  <c r="S26" i="45"/>
  <c r="T26" i="45" s="1"/>
  <c r="Q26" i="45"/>
  <c r="AL42" i="45"/>
  <c r="R42" i="45" s="1"/>
  <c r="AK42" i="45"/>
  <c r="I42" i="45" s="1"/>
  <c r="AL40" i="45"/>
  <c r="R40" i="45" s="1"/>
  <c r="AK40" i="45"/>
  <c r="I40" i="45" s="1"/>
  <c r="AL43" i="45"/>
  <c r="R43" i="45" s="1"/>
  <c r="AK43" i="45"/>
  <c r="I43" i="45" s="1"/>
  <c r="AL37" i="45"/>
  <c r="R37" i="45" s="1"/>
  <c r="AK37" i="45"/>
  <c r="I37" i="45" s="1"/>
  <c r="AL35" i="45"/>
  <c r="R35" i="45" s="1"/>
  <c r="AK35" i="45"/>
  <c r="I35" i="45" s="1"/>
  <c r="AL38" i="45"/>
  <c r="R38" i="45" s="1"/>
  <c r="AK38" i="45"/>
  <c r="I38" i="45" s="1"/>
  <c r="AL33" i="45"/>
  <c r="R33" i="45" s="1"/>
  <c r="AK33" i="45"/>
  <c r="I33" i="45" s="1"/>
  <c r="AL30" i="45"/>
  <c r="R30" i="45" s="1"/>
  <c r="AK30" i="45"/>
  <c r="I30" i="45" s="1"/>
  <c r="AL32" i="45"/>
  <c r="R32" i="45" s="1"/>
  <c r="AK32" i="45"/>
  <c r="I32" i="45" s="1"/>
  <c r="AL27" i="45"/>
  <c r="R27" i="45" s="1"/>
  <c r="AK27" i="45"/>
  <c r="I27" i="45" s="1"/>
  <c r="AL28" i="45"/>
  <c r="R28" i="45" s="1"/>
  <c r="AK28" i="45"/>
  <c r="I28" i="45" s="1"/>
  <c r="AL25" i="45"/>
  <c r="R25" i="45" s="1"/>
  <c r="AK25" i="45"/>
  <c r="I25" i="45" s="1"/>
  <c r="T22" i="47"/>
  <c r="T32" i="47"/>
  <c r="T20" i="47"/>
  <c r="Q20" i="47"/>
  <c r="Q28" i="47"/>
  <c r="S28" i="47"/>
  <c r="T28" i="47" s="1"/>
  <c r="Q35" i="47"/>
  <c r="S35" i="47"/>
  <c r="T35" i="47" s="1"/>
  <c r="Q30" i="47"/>
  <c r="S30" i="47"/>
  <c r="T30" i="47" s="1"/>
  <c r="Q25" i="47"/>
  <c r="S25" i="47"/>
  <c r="T25" i="47" s="1"/>
  <c r="T40" i="47"/>
  <c r="Q27" i="47"/>
  <c r="S27" i="47"/>
  <c r="T27" i="47" s="1"/>
  <c r="Q33" i="47"/>
  <c r="S33" i="47"/>
  <c r="T33" i="47" s="1"/>
  <c r="Q37" i="47"/>
  <c r="S37" i="47"/>
  <c r="T37" i="47" s="1"/>
  <c r="Q23" i="47"/>
  <c r="S23" i="47"/>
  <c r="T23" i="47" s="1"/>
  <c r="Q42" i="47"/>
  <c r="S42" i="47"/>
  <c r="T42" i="47" s="1"/>
  <c r="Q38" i="47"/>
  <c r="S38" i="47"/>
  <c r="T38" i="47" s="1"/>
  <c r="T43" i="47"/>
  <c r="Q22" i="47"/>
  <c r="Q40" i="47"/>
  <c r="Q43" i="47"/>
  <c r="Q32" i="47"/>
  <c r="X23" i="45"/>
  <c r="AA23" i="45" s="1"/>
  <c r="G23" i="45" s="1"/>
  <c r="AG23" i="45"/>
  <c r="AJ23" i="45" s="1"/>
  <c r="H23" i="45" s="1"/>
  <c r="AG30" i="45"/>
  <c r="AJ30" i="45" s="1"/>
  <c r="H30" i="45" s="1"/>
  <c r="X30" i="45"/>
  <c r="AA30" i="45" s="1"/>
  <c r="G30" i="45" s="1"/>
  <c r="X37" i="45"/>
  <c r="AA37" i="45" s="1"/>
  <c r="G37" i="45" s="1"/>
  <c r="AG37" i="45"/>
  <c r="AJ37" i="45" s="1"/>
  <c r="H37" i="45" s="1"/>
  <c r="X43" i="45"/>
  <c r="AA43" i="45" s="1"/>
  <c r="G43" i="45" s="1"/>
  <c r="AG43" i="45"/>
  <c r="AJ43" i="45" s="1"/>
  <c r="H43" i="45" s="1"/>
  <c r="X25" i="45"/>
  <c r="AA25" i="45" s="1"/>
  <c r="G25" i="45" s="1"/>
  <c r="AG25" i="45"/>
  <c r="AJ25" i="45" s="1"/>
  <c r="H25" i="45" s="1"/>
  <c r="X32" i="45"/>
  <c r="AA32" i="45" s="1"/>
  <c r="G32" i="45" s="1"/>
  <c r="AG32" i="45"/>
  <c r="AJ32" i="45" s="1"/>
  <c r="H32" i="45" s="1"/>
  <c r="X38" i="45"/>
  <c r="AA38" i="45" s="1"/>
  <c r="G38" i="45" s="1"/>
  <c r="AG38" i="45"/>
  <c r="AJ38" i="45" s="1"/>
  <c r="H38" i="45" s="1"/>
  <c r="X20" i="45"/>
  <c r="AA20" i="45" s="1"/>
  <c r="G20" i="45" s="1"/>
  <c r="AJ20" i="45"/>
  <c r="H20" i="45" s="1"/>
  <c r="AG27" i="45"/>
  <c r="AJ27" i="45" s="1"/>
  <c r="H27" i="45" s="1"/>
  <c r="X27" i="45"/>
  <c r="AA27" i="45" s="1"/>
  <c r="G27" i="45" s="1"/>
  <c r="X33" i="45"/>
  <c r="AA33" i="45" s="1"/>
  <c r="G33" i="45" s="1"/>
  <c r="AG33" i="45"/>
  <c r="AJ33" i="45" s="1"/>
  <c r="H33" i="45" s="1"/>
  <c r="X40" i="45"/>
  <c r="AA40" i="45" s="1"/>
  <c r="G40" i="45" s="1"/>
  <c r="AG40" i="45"/>
  <c r="AJ40" i="45" s="1"/>
  <c r="H40" i="45" s="1"/>
  <c r="AG22" i="45"/>
  <c r="AJ22" i="45" s="1"/>
  <c r="H22" i="45" s="1"/>
  <c r="X22" i="45"/>
  <c r="AA22" i="45" s="1"/>
  <c r="G22" i="45" s="1"/>
  <c r="X28" i="45"/>
  <c r="AA28" i="45" s="1"/>
  <c r="G28" i="45" s="1"/>
  <c r="AG28" i="45"/>
  <c r="AJ28" i="45" s="1"/>
  <c r="H28" i="45" s="1"/>
  <c r="AG35" i="45"/>
  <c r="AJ35" i="45" s="1"/>
  <c r="H35" i="45" s="1"/>
  <c r="X35" i="45"/>
  <c r="AA35" i="45" s="1"/>
  <c r="G35" i="45" s="1"/>
  <c r="X42" i="45"/>
  <c r="AA42" i="45" s="1"/>
  <c r="G42" i="45" s="1"/>
  <c r="AG42" i="45"/>
  <c r="AJ42" i="45" s="1"/>
  <c r="H42" i="45" s="1"/>
  <c r="J22" i="45" l="1"/>
  <c r="J30" i="45"/>
  <c r="J42" i="45"/>
  <c r="J28" i="45"/>
  <c r="J40" i="45"/>
  <c r="J38" i="45"/>
  <c r="J25" i="45"/>
  <c r="J37" i="45"/>
  <c r="J23" i="45"/>
  <c r="J35" i="45"/>
  <c r="J33" i="45"/>
  <c r="J20" i="45"/>
  <c r="K20" i="45" s="1"/>
  <c r="J32" i="45"/>
  <c r="J43" i="45"/>
  <c r="J27" i="45"/>
  <c r="K23" i="45" l="1"/>
  <c r="K42" i="45"/>
  <c r="K38" i="45"/>
  <c r="K37" i="45"/>
  <c r="K30" i="45"/>
  <c r="K33" i="45" l="1"/>
  <c r="K43" i="45"/>
  <c r="K40" i="45"/>
  <c r="K32" i="45"/>
  <c r="K22" i="45"/>
  <c r="K35" i="45"/>
  <c r="K27" i="45"/>
  <c r="K25" i="45"/>
  <c r="K28" i="45"/>
  <c r="Y21" i="44" l="1"/>
  <c r="Y35" i="44" s="1"/>
  <c r="U21" i="44"/>
  <c r="U23" i="44" s="1"/>
  <c r="A41" i="44"/>
  <c r="P9" i="44"/>
  <c r="A9" i="44"/>
  <c r="A8" i="44"/>
  <c r="P7" i="44"/>
  <c r="A7" i="44"/>
  <c r="A4" i="44"/>
  <c r="A3" i="44"/>
  <c r="A2" i="44"/>
  <c r="A1" i="44"/>
  <c r="Z35" i="44" l="1"/>
  <c r="AA35" i="44" s="1"/>
  <c r="Z27" i="44"/>
  <c r="Z33" i="44"/>
  <c r="Z25" i="44"/>
  <c r="Z31" i="44"/>
  <c r="Z29" i="44"/>
  <c r="Y29" i="44"/>
  <c r="Y23" i="44"/>
  <c r="Y31" i="44"/>
  <c r="Y25" i="44"/>
  <c r="Y33" i="44"/>
  <c r="Y27" i="44"/>
  <c r="Z23" i="44"/>
  <c r="Z21" i="44"/>
  <c r="AA21" i="44" s="1"/>
  <c r="V21" i="44"/>
  <c r="W21" i="44" s="1"/>
  <c r="C21" i="44" s="1"/>
  <c r="U27" i="44"/>
  <c r="U31" i="44"/>
  <c r="U35" i="44"/>
  <c r="W35" i="44" s="1"/>
  <c r="C35" i="44" s="1"/>
  <c r="V23" i="44"/>
  <c r="W23" i="44" s="1"/>
  <c r="C23" i="44" s="1"/>
  <c r="U29" i="44"/>
  <c r="U33" i="44"/>
  <c r="U25" i="44"/>
  <c r="D21" i="44" l="1"/>
  <c r="F21" i="44" s="1"/>
  <c r="G21" i="44" s="1"/>
  <c r="AA29" i="44"/>
  <c r="AA25" i="44"/>
  <c r="W27" i="44"/>
  <c r="C27" i="44" s="1"/>
  <c r="AA33" i="44"/>
  <c r="AA31" i="44"/>
  <c r="W25" i="44"/>
  <c r="C25" i="44" s="1"/>
  <c r="W31" i="44"/>
  <c r="C31" i="44" s="1"/>
  <c r="AA23" i="44"/>
  <c r="AA27" i="44"/>
  <c r="W33" i="44"/>
  <c r="C33" i="44" s="1"/>
  <c r="D35" i="44"/>
  <c r="F35" i="44" s="1"/>
  <c r="W29" i="44"/>
  <c r="C29" i="44" s="1"/>
  <c r="D25" i="44" l="1"/>
  <c r="D27" i="44"/>
  <c r="D31" i="44"/>
  <c r="F31" i="44" s="1"/>
  <c r="G31" i="44" s="1"/>
  <c r="D29" i="44"/>
  <c r="D23" i="44"/>
  <c r="D33" i="44"/>
  <c r="G35" i="44"/>
  <c r="F33" i="44" l="1"/>
  <c r="G33" i="44" s="1"/>
  <c r="F27" i="44"/>
  <c r="G27" i="44" s="1"/>
  <c r="F23" i="44"/>
  <c r="G23" i="44" s="1"/>
  <c r="F25" i="44"/>
  <c r="G25" i="44" s="1"/>
  <c r="F29" i="44"/>
  <c r="G29" i="44" s="1"/>
  <c r="A40" i="39" l="1"/>
  <c r="A202" i="2" l="1"/>
  <c r="A138" i="2"/>
  <c r="B22" i="2" l="1"/>
  <c r="B21" i="2"/>
  <c r="A54" i="2"/>
  <c r="B23" i="2" l="1"/>
  <c r="B24" i="2"/>
  <c r="AK17" i="31" l="1"/>
  <c r="AK20" i="31" s="1"/>
  <c r="E25" i="19"/>
  <c r="AC39" i="33"/>
  <c r="J64" i="5" l="1"/>
  <c r="V12" i="4" s="1"/>
  <c r="I33" i="44" l="1"/>
  <c r="I25" i="44"/>
  <c r="I29" i="44"/>
  <c r="I35" i="44"/>
  <c r="I21" i="44"/>
  <c r="I23" i="44"/>
  <c r="I31" i="44"/>
  <c r="I27" i="44"/>
  <c r="J23" i="44"/>
  <c r="J21" i="44"/>
  <c r="J25" i="44"/>
  <c r="J27" i="44"/>
  <c r="J33" i="44"/>
  <c r="J35" i="44"/>
  <c r="J31" i="44"/>
  <c r="J29" i="44"/>
  <c r="A27" i="4"/>
  <c r="AB27" i="4" l="1"/>
  <c r="E27" i="4" s="1"/>
  <c r="AC27" i="4"/>
  <c r="N27" i="4" s="1"/>
  <c r="H25" i="44" l="1"/>
  <c r="K25" i="44" s="1"/>
  <c r="H31" i="44"/>
  <c r="K31" i="44" s="1"/>
  <c r="H35" i="44"/>
  <c r="K35" i="44" s="1"/>
  <c r="H21" i="44"/>
  <c r="K21" i="44" s="1"/>
  <c r="H33" i="44"/>
  <c r="K33" i="44" s="1"/>
  <c r="H23" i="44"/>
  <c r="K23" i="44" s="1"/>
  <c r="H29" i="44"/>
  <c r="K29" i="44" s="1"/>
  <c r="H27" i="44"/>
  <c r="K27" i="44" s="1"/>
  <c r="O9" i="34"/>
  <c r="L21" i="44" l="1"/>
  <c r="L35" i="44"/>
  <c r="O35" i="44" s="1"/>
  <c r="P35" i="44" s="1"/>
  <c r="L23" i="44"/>
  <c r="O23" i="44" s="1"/>
  <c r="P23" i="44" s="1"/>
  <c r="L31" i="44"/>
  <c r="O31" i="44" s="1"/>
  <c r="P31" i="44" s="1"/>
  <c r="L27" i="44"/>
  <c r="O27" i="44" s="1"/>
  <c r="P27" i="44" s="1"/>
  <c r="L29" i="44"/>
  <c r="O29" i="44" s="1"/>
  <c r="P29" i="44" s="1"/>
  <c r="L33" i="44"/>
  <c r="O33" i="44" s="1"/>
  <c r="L25" i="44"/>
  <c r="O25" i="44" s="1"/>
  <c r="F9" i="36"/>
  <c r="O9" i="35"/>
  <c r="O9" i="2"/>
  <c r="O147" i="2" s="1"/>
  <c r="T9" i="41"/>
  <c r="T9" i="31"/>
  <c r="T9" i="26"/>
  <c r="T9" i="19"/>
  <c r="T9" i="25"/>
  <c r="T9" i="24"/>
  <c r="T9" i="15"/>
  <c r="P9" i="39"/>
  <c r="P9" i="27"/>
  <c r="P9" i="40"/>
  <c r="P9" i="28"/>
  <c r="T9" i="32"/>
  <c r="P9" i="33"/>
  <c r="P9" i="4"/>
  <c r="O21" i="44" l="1"/>
  <c r="P21" i="44" s="1"/>
  <c r="M21" i="44"/>
  <c r="P25" i="44"/>
  <c r="P33" i="44"/>
  <c r="M25" i="44"/>
  <c r="M33" i="44"/>
  <c r="M29" i="44"/>
  <c r="M31" i="44"/>
  <c r="M27" i="44"/>
  <c r="M23" i="44"/>
  <c r="M35" i="44"/>
  <c r="AG20" i="41"/>
  <c r="W20" i="41"/>
  <c r="W28" i="41" s="1"/>
  <c r="AK17" i="41"/>
  <c r="AK25" i="41" s="1"/>
  <c r="AJ17" i="41"/>
  <c r="AI17" i="41"/>
  <c r="AH17" i="41"/>
  <c r="AA17" i="41"/>
  <c r="AA34" i="41" s="1"/>
  <c r="Z17" i="41"/>
  <c r="Y17" i="41"/>
  <c r="X17" i="41"/>
  <c r="A45" i="41"/>
  <c r="E38" i="41"/>
  <c r="E37" i="41"/>
  <c r="E36" i="41"/>
  <c r="E34" i="41"/>
  <c r="E33" i="41"/>
  <c r="E32" i="41"/>
  <c r="E30" i="41"/>
  <c r="E29" i="41"/>
  <c r="E28" i="41"/>
  <c r="E26" i="41"/>
  <c r="E25" i="41"/>
  <c r="E24" i="41"/>
  <c r="E22" i="41"/>
  <c r="E21" i="41"/>
  <c r="E20" i="41"/>
  <c r="A9" i="41"/>
  <c r="A8" i="41"/>
  <c r="T7" i="41"/>
  <c r="A7" i="41"/>
  <c r="A4" i="41"/>
  <c r="A3" i="41"/>
  <c r="A2" i="41"/>
  <c r="A1" i="41"/>
  <c r="AN21" i="41" l="1"/>
  <c r="R21" i="41" s="1"/>
  <c r="AM21" i="41"/>
  <c r="I21" i="41" s="1"/>
  <c r="AN26" i="41"/>
  <c r="R26" i="41" s="1"/>
  <c r="AM26" i="41"/>
  <c r="I26" i="41" s="1"/>
  <c r="AN32" i="41"/>
  <c r="R32" i="41" s="1"/>
  <c r="AM32" i="41"/>
  <c r="I32" i="41" s="1"/>
  <c r="AN37" i="41"/>
  <c r="R37" i="41" s="1"/>
  <c r="AM37" i="41"/>
  <c r="I37" i="41" s="1"/>
  <c r="AN22" i="41"/>
  <c r="R22" i="41" s="1"/>
  <c r="AM22" i="41"/>
  <c r="I22" i="41" s="1"/>
  <c r="AN28" i="41"/>
  <c r="R28" i="41" s="1"/>
  <c r="AM28" i="41"/>
  <c r="I28" i="41" s="1"/>
  <c r="AN33" i="41"/>
  <c r="R33" i="41" s="1"/>
  <c r="AM33" i="41"/>
  <c r="I33" i="41" s="1"/>
  <c r="AN38" i="41"/>
  <c r="R38" i="41" s="1"/>
  <c r="AM38" i="41"/>
  <c r="I38" i="41" s="1"/>
  <c r="AN24" i="41"/>
  <c r="R24" i="41" s="1"/>
  <c r="AM24" i="41"/>
  <c r="I24" i="41" s="1"/>
  <c r="AN29" i="41"/>
  <c r="R29" i="41" s="1"/>
  <c r="AM29" i="41"/>
  <c r="I29" i="41" s="1"/>
  <c r="AN34" i="41"/>
  <c r="R34" i="41" s="1"/>
  <c r="AM34" i="41"/>
  <c r="I34" i="41" s="1"/>
  <c r="AN20" i="41"/>
  <c r="R20" i="41" s="1"/>
  <c r="AM20" i="41"/>
  <c r="I20" i="41" s="1"/>
  <c r="AN25" i="41"/>
  <c r="R25" i="41" s="1"/>
  <c r="AM25" i="41"/>
  <c r="I25" i="41" s="1"/>
  <c r="AN30" i="41"/>
  <c r="R30" i="41" s="1"/>
  <c r="AM30" i="41"/>
  <c r="I30" i="41" s="1"/>
  <c r="AN36" i="41"/>
  <c r="R36" i="41" s="1"/>
  <c r="AM36" i="41"/>
  <c r="I36" i="41" s="1"/>
  <c r="X37" i="41"/>
  <c r="AA29" i="41"/>
  <c r="X26" i="41"/>
  <c r="X21" i="41"/>
  <c r="X32" i="41"/>
  <c r="W37" i="41"/>
  <c r="W32" i="41"/>
  <c r="W26" i="41"/>
  <c r="W21" i="41"/>
  <c r="W36" i="41"/>
  <c r="W30" i="41"/>
  <c r="W25" i="41"/>
  <c r="W34" i="41"/>
  <c r="W29" i="41"/>
  <c r="W24" i="41"/>
  <c r="W33" i="41"/>
  <c r="AA37" i="41"/>
  <c r="AA32" i="41"/>
  <c r="AA26" i="41"/>
  <c r="AA21" i="41"/>
  <c r="AA36" i="41"/>
  <c r="AA30" i="41"/>
  <c r="AA25" i="41"/>
  <c r="AA38" i="41"/>
  <c r="AA33" i="41"/>
  <c r="AA28" i="41"/>
  <c r="AA22" i="41"/>
  <c r="AK34" i="41"/>
  <c r="AK29" i="41"/>
  <c r="AK24" i="41"/>
  <c r="AK38" i="41"/>
  <c r="AK33" i="41"/>
  <c r="AK28" i="41"/>
  <c r="AK22" i="41"/>
  <c r="AK37" i="41"/>
  <c r="AK32" i="41"/>
  <c r="AK26" i="41"/>
  <c r="AK21" i="41"/>
  <c r="AK20" i="41"/>
  <c r="AK30" i="41"/>
  <c r="W38" i="41"/>
  <c r="X36" i="41"/>
  <c r="X30" i="41"/>
  <c r="X25" i="41"/>
  <c r="X34" i="41"/>
  <c r="X29" i="41"/>
  <c r="X24" i="41"/>
  <c r="X38" i="41"/>
  <c r="X33" i="41"/>
  <c r="X28" i="41"/>
  <c r="X22" i="41"/>
  <c r="X20" i="41"/>
  <c r="AH38" i="41"/>
  <c r="AH33" i="41"/>
  <c r="AH28" i="41"/>
  <c r="AH22" i="41"/>
  <c r="AH37" i="41"/>
  <c r="AH32" i="41"/>
  <c r="AH26" i="41"/>
  <c r="AH21" i="41"/>
  <c r="AH34" i="41"/>
  <c r="AH29" i="41"/>
  <c r="AH24" i="41"/>
  <c r="AH20" i="41"/>
  <c r="AH36" i="41"/>
  <c r="AH30" i="41"/>
  <c r="AH25" i="41"/>
  <c r="AA20" i="41"/>
  <c r="W22" i="41"/>
  <c r="AA24" i="41"/>
  <c r="AK36" i="41"/>
  <c r="AG34" i="41"/>
  <c r="AG29" i="41"/>
  <c r="AG24" i="41"/>
  <c r="AG38" i="41"/>
  <c r="AG33" i="41"/>
  <c r="AG28" i="41"/>
  <c r="AG22" i="41"/>
  <c r="AG37" i="41"/>
  <c r="AG32" i="41"/>
  <c r="AG26" i="41"/>
  <c r="AG21" i="41"/>
  <c r="AG36" i="41"/>
  <c r="AG30" i="41"/>
  <c r="AG25" i="41"/>
  <c r="AL20" i="41" l="1"/>
  <c r="H20" i="41" s="1"/>
  <c r="AL22" i="41"/>
  <c r="H22" i="41" s="1"/>
  <c r="AL24" i="41"/>
  <c r="H24" i="41" s="1"/>
  <c r="AB29" i="41"/>
  <c r="G29" i="41" s="1"/>
  <c r="AL25" i="41"/>
  <c r="H25" i="41" s="1"/>
  <c r="AL26" i="41"/>
  <c r="H26" i="41" s="1"/>
  <c r="AL38" i="41"/>
  <c r="H38" i="41" s="1"/>
  <c r="AB20" i="41"/>
  <c r="G20" i="41" s="1"/>
  <c r="AB28" i="41"/>
  <c r="G28" i="41" s="1"/>
  <c r="AB30" i="41"/>
  <c r="G30" i="41" s="1"/>
  <c r="AB32" i="41"/>
  <c r="G32" i="41" s="1"/>
  <c r="AL30" i="41"/>
  <c r="AL32" i="41"/>
  <c r="AL28" i="41"/>
  <c r="AL29" i="41"/>
  <c r="AB33" i="41"/>
  <c r="G33" i="41" s="1"/>
  <c r="AB34" i="41"/>
  <c r="G34" i="41" s="1"/>
  <c r="AB36" i="41"/>
  <c r="G36" i="41" s="1"/>
  <c r="AB37" i="41"/>
  <c r="G37" i="41" s="1"/>
  <c r="AL36" i="41"/>
  <c r="AL37" i="41"/>
  <c r="AL33" i="41"/>
  <c r="AL34" i="41"/>
  <c r="AB22" i="41"/>
  <c r="G22" i="41" s="1"/>
  <c r="AB38" i="41"/>
  <c r="G38" i="41" s="1"/>
  <c r="AB21" i="41"/>
  <c r="G21" i="41" s="1"/>
  <c r="AL21" i="41"/>
  <c r="AB24" i="41"/>
  <c r="G24" i="41" s="1"/>
  <c r="AB25" i="41"/>
  <c r="G25" i="41" s="1"/>
  <c r="AB26" i="41"/>
  <c r="G26" i="41" s="1"/>
  <c r="J38" i="41" l="1"/>
  <c r="J24" i="41"/>
  <c r="K24" i="41" s="1"/>
  <c r="J26" i="41"/>
  <c r="K26" i="41" s="1"/>
  <c r="J22" i="41"/>
  <c r="K22" i="41" s="1"/>
  <c r="J25" i="41"/>
  <c r="K25" i="41" s="1"/>
  <c r="J20" i="41"/>
  <c r="K20" i="41" s="1"/>
  <c r="H36" i="41"/>
  <c r="J36" i="41" s="1"/>
  <c r="H30" i="41"/>
  <c r="J30" i="41" s="1"/>
  <c r="H34" i="41"/>
  <c r="J34" i="41" s="1"/>
  <c r="H29" i="41"/>
  <c r="J29" i="41" s="1"/>
  <c r="K38" i="41"/>
  <c r="H21" i="41"/>
  <c r="J21" i="41" s="1"/>
  <c r="H33" i="41"/>
  <c r="J33" i="41" s="1"/>
  <c r="H28" i="41"/>
  <c r="J28" i="41" s="1"/>
  <c r="H37" i="41"/>
  <c r="J37" i="41" s="1"/>
  <c r="H32" i="41"/>
  <c r="J32" i="41" s="1"/>
  <c r="K32" i="41" l="1"/>
  <c r="K28" i="41"/>
  <c r="K34" i="41"/>
  <c r="K21" i="41"/>
  <c r="K29" i="41"/>
  <c r="K36" i="41"/>
  <c r="K30" i="41"/>
  <c r="K37" i="41"/>
  <c r="K33" i="41"/>
  <c r="A82" i="2" l="1"/>
  <c r="A41" i="34" l="1"/>
  <c r="A39" i="35"/>
  <c r="A45" i="31"/>
  <c r="A45" i="26"/>
  <c r="A40" i="27"/>
  <c r="A40" i="40"/>
  <c r="A40" i="28"/>
  <c r="A45" i="32"/>
  <c r="A40" i="33"/>
  <c r="A40" i="4"/>
  <c r="AF20" i="24" l="1"/>
  <c r="AF38" i="24" s="1"/>
  <c r="W20" i="24"/>
  <c r="AG20" i="25"/>
  <c r="W20" i="25"/>
  <c r="AG20" i="26"/>
  <c r="W20" i="26"/>
  <c r="AG20" i="31"/>
  <c r="W20" i="31"/>
  <c r="AF24" i="24" l="1"/>
  <c r="AF29" i="24"/>
  <c r="AF34" i="24"/>
  <c r="AF36" i="24"/>
  <c r="AF21" i="24"/>
  <c r="AF26" i="24"/>
  <c r="AF32" i="24"/>
  <c r="AF37" i="24"/>
  <c r="AF25" i="24"/>
  <c r="AF30" i="24"/>
  <c r="AF22" i="24"/>
  <c r="AF28" i="24"/>
  <c r="AF33" i="24"/>
  <c r="AA18" i="40" l="1"/>
  <c r="AA33" i="40" s="1"/>
  <c r="Z21" i="40"/>
  <c r="U21" i="40"/>
  <c r="U33" i="40" s="1"/>
  <c r="V18" i="40"/>
  <c r="V23" i="40" s="1"/>
  <c r="A9" i="40"/>
  <c r="A8" i="40"/>
  <c r="P7" i="40"/>
  <c r="A7" i="40"/>
  <c r="A4" i="40"/>
  <c r="A3" i="40"/>
  <c r="A2" i="40"/>
  <c r="A1" i="40"/>
  <c r="AA18" i="39"/>
  <c r="Z21" i="39"/>
  <c r="U21" i="39"/>
  <c r="V18" i="39"/>
  <c r="J78" i="5"/>
  <c r="U11" i="34" s="1"/>
  <c r="I78" i="5"/>
  <c r="H78" i="5"/>
  <c r="U10" i="34" s="1"/>
  <c r="J77" i="5"/>
  <c r="U11" i="35" s="1"/>
  <c r="I77" i="5"/>
  <c r="H77" i="5"/>
  <c r="U10" i="35" s="1"/>
  <c r="V33" i="40" l="1"/>
  <c r="V27" i="40"/>
  <c r="AA35" i="40"/>
  <c r="AA31" i="40"/>
  <c r="AA23" i="40"/>
  <c r="AA27" i="40"/>
  <c r="U23" i="40"/>
  <c r="W23" i="40" s="1"/>
  <c r="C23" i="40" s="1"/>
  <c r="U27" i="40"/>
  <c r="U31" i="40"/>
  <c r="U35" i="40"/>
  <c r="V31" i="40"/>
  <c r="V35" i="40"/>
  <c r="W33" i="40"/>
  <c r="C33" i="40" s="1"/>
  <c r="Z25" i="40"/>
  <c r="AA21" i="40"/>
  <c r="AB21" i="40" s="1"/>
  <c r="U25" i="40"/>
  <c r="AA25" i="40"/>
  <c r="U29" i="40"/>
  <c r="AA29" i="40"/>
  <c r="Z29" i="40"/>
  <c r="Z33" i="40"/>
  <c r="AB33" i="40" s="1"/>
  <c r="V21" i="40"/>
  <c r="W21" i="40" s="1"/>
  <c r="C21" i="40" s="1"/>
  <c r="Z23" i="40"/>
  <c r="V25" i="40"/>
  <c r="Z27" i="40"/>
  <c r="V29" i="40"/>
  <c r="Z31" i="40"/>
  <c r="Z35" i="40"/>
  <c r="AB23" i="40" l="1"/>
  <c r="W27" i="40"/>
  <c r="C27" i="40" s="1"/>
  <c r="W31" i="40"/>
  <c r="C31" i="40" s="1"/>
  <c r="W29" i="40"/>
  <c r="C29" i="40" s="1"/>
  <c r="AB31" i="40"/>
  <c r="D31" i="40" s="1"/>
  <c r="W35" i="40"/>
  <c r="C35" i="40" s="1"/>
  <c r="AB35" i="40"/>
  <c r="D35" i="40" s="1"/>
  <c r="AB27" i="40"/>
  <c r="D27" i="40" s="1"/>
  <c r="F27" i="40" s="1"/>
  <c r="AB29" i="40"/>
  <c r="D29" i="40" s="1"/>
  <c r="W25" i="40"/>
  <c r="C25" i="40" s="1"/>
  <c r="D33" i="40"/>
  <c r="F33" i="40" s="1"/>
  <c r="AB25" i="40"/>
  <c r="D21" i="40"/>
  <c r="F21" i="40" s="1"/>
  <c r="G21" i="40" s="1"/>
  <c r="F35" i="40" l="1"/>
  <c r="G35" i="40" s="1"/>
  <c r="F29" i="40"/>
  <c r="G29" i="40" s="1"/>
  <c r="F31" i="40"/>
  <c r="G31" i="40" s="1"/>
  <c r="D23" i="40"/>
  <c r="G27" i="40"/>
  <c r="D25" i="40"/>
  <c r="F25" i="40" s="1"/>
  <c r="G33" i="40"/>
  <c r="F23" i="40" l="1"/>
  <c r="G23" i="40" s="1"/>
  <c r="G25" i="40"/>
  <c r="AA35" i="39" l="1"/>
  <c r="V35" i="39"/>
  <c r="U35" i="39"/>
  <c r="V33" i="39"/>
  <c r="AA31" i="39"/>
  <c r="V31" i="39"/>
  <c r="U31" i="39"/>
  <c r="V29" i="39"/>
  <c r="AA27" i="39"/>
  <c r="V27" i="39"/>
  <c r="U27" i="39"/>
  <c r="V25" i="39"/>
  <c r="AA23" i="39"/>
  <c r="V23" i="39"/>
  <c r="U23" i="39"/>
  <c r="V21" i="39"/>
  <c r="W21" i="39" s="1"/>
  <c r="C21" i="39" s="1"/>
  <c r="U33" i="39"/>
  <c r="AA33" i="39"/>
  <c r="A9" i="39"/>
  <c r="A8" i="39"/>
  <c r="P7" i="39"/>
  <c r="A7" i="39"/>
  <c r="A4" i="39"/>
  <c r="A3" i="39"/>
  <c r="A2" i="39"/>
  <c r="A1" i="39"/>
  <c r="N69" i="5"/>
  <c r="V11" i="28" s="1"/>
  <c r="M69" i="5"/>
  <c r="V10" i="28" s="1"/>
  <c r="N67" i="5"/>
  <c r="M67" i="5"/>
  <c r="V10" i="27" l="1"/>
  <c r="V10" i="39"/>
  <c r="V11" i="27"/>
  <c r="V11" i="39"/>
  <c r="V10" i="40"/>
  <c r="V11" i="40"/>
  <c r="W33" i="39"/>
  <c r="C33" i="39" s="1"/>
  <c r="W27" i="39"/>
  <c r="C27" i="39" s="1"/>
  <c r="W31" i="39"/>
  <c r="C31" i="39" s="1"/>
  <c r="W35" i="39"/>
  <c r="C35" i="39" s="1"/>
  <c r="W23" i="39"/>
  <c r="C23" i="39" s="1"/>
  <c r="Z25" i="39"/>
  <c r="Z29" i="39"/>
  <c r="Z33" i="39"/>
  <c r="AB33" i="39" s="1"/>
  <c r="AA21" i="39"/>
  <c r="AB21" i="39" s="1"/>
  <c r="U25" i="39"/>
  <c r="W25" i="39" s="1"/>
  <c r="C25" i="39" s="1"/>
  <c r="AA25" i="39"/>
  <c r="U29" i="39"/>
  <c r="W29" i="39" s="1"/>
  <c r="C29" i="39" s="1"/>
  <c r="AA29" i="39"/>
  <c r="Z23" i="39"/>
  <c r="AB23" i="39" s="1"/>
  <c r="Z27" i="39"/>
  <c r="AB27" i="39" s="1"/>
  <c r="Z31" i="39"/>
  <c r="AB31" i="39" s="1"/>
  <c r="Z35" i="39"/>
  <c r="AB35" i="39" s="1"/>
  <c r="D35" i="39" s="1"/>
  <c r="J65" i="5"/>
  <c r="I65" i="5"/>
  <c r="H65" i="5"/>
  <c r="V10" i="33" l="1"/>
  <c r="H21" i="33" s="1"/>
  <c r="X10" i="32"/>
  <c r="V11" i="33"/>
  <c r="X11" i="32"/>
  <c r="X12" i="32"/>
  <c r="V12" i="33"/>
  <c r="J21" i="33" s="1"/>
  <c r="F35" i="39"/>
  <c r="G35" i="39" s="1"/>
  <c r="H25" i="40"/>
  <c r="H31" i="40"/>
  <c r="H23" i="40"/>
  <c r="H29" i="40"/>
  <c r="H21" i="40"/>
  <c r="H27" i="40"/>
  <c r="H35" i="40"/>
  <c r="H33" i="40"/>
  <c r="I29" i="40"/>
  <c r="I25" i="40"/>
  <c r="I33" i="40"/>
  <c r="I31" i="40"/>
  <c r="I23" i="40"/>
  <c r="I35" i="40"/>
  <c r="I21" i="40"/>
  <c r="I27" i="40"/>
  <c r="D21" i="39"/>
  <c r="F21" i="39" s="1"/>
  <c r="G21" i="39" s="1"/>
  <c r="D27" i="39"/>
  <c r="F27" i="39" s="1"/>
  <c r="AB29" i="39"/>
  <c r="D31" i="39"/>
  <c r="F31" i="39" s="1"/>
  <c r="D23" i="39"/>
  <c r="F23" i="39" s="1"/>
  <c r="D33" i="39"/>
  <c r="F33" i="39" s="1"/>
  <c r="AB25" i="39"/>
  <c r="F17" i="36"/>
  <c r="E17" i="36"/>
  <c r="A9" i="2"/>
  <c r="A8" i="2"/>
  <c r="O7" i="2"/>
  <c r="O145" i="2" s="1"/>
  <c r="A7" i="2"/>
  <c r="A4" i="2"/>
  <c r="A3" i="2"/>
  <c r="A2" i="2"/>
  <c r="A57" i="2" s="1"/>
  <c r="A1" i="2"/>
  <c r="A56" i="2" s="1"/>
  <c r="A86" i="2" l="1"/>
  <c r="A62" i="2"/>
  <c r="A89" i="2"/>
  <c r="O64" i="2"/>
  <c r="O91" i="2"/>
  <c r="A91" i="2"/>
  <c r="A83" i="2"/>
  <c r="A84" i="2"/>
  <c r="O89" i="2"/>
  <c r="A58" i="2"/>
  <c r="A85" i="2"/>
  <c r="A90" i="2"/>
  <c r="A145" i="2"/>
  <c r="G33" i="39"/>
  <c r="G27" i="39"/>
  <c r="D25" i="39"/>
  <c r="F25" i="39" s="1"/>
  <c r="G31" i="39"/>
  <c r="D29" i="39"/>
  <c r="F29" i="39" s="1"/>
  <c r="G23" i="39"/>
  <c r="A140" i="2"/>
  <c r="O62" i="2"/>
  <c r="A139" i="2"/>
  <c r="A141" i="2"/>
  <c r="A146" i="2"/>
  <c r="A59" i="2"/>
  <c r="A142" i="2"/>
  <c r="A147" i="2"/>
  <c r="A63" i="2"/>
  <c r="A64" i="2"/>
  <c r="F7" i="36"/>
  <c r="A9" i="36"/>
  <c r="A8" i="36"/>
  <c r="A7" i="36"/>
  <c r="A4" i="36"/>
  <c r="A3" i="36"/>
  <c r="A2" i="36"/>
  <c r="A1" i="36"/>
  <c r="A9" i="34"/>
  <c r="A8" i="34"/>
  <c r="O7" i="34"/>
  <c r="A7" i="34"/>
  <c r="A4" i="34"/>
  <c r="A3" i="34"/>
  <c r="A2" i="34"/>
  <c r="A1" i="34"/>
  <c r="A9" i="35"/>
  <c r="A8" i="35"/>
  <c r="O7" i="35"/>
  <c r="A7" i="35"/>
  <c r="A4" i="35"/>
  <c r="A3" i="35"/>
  <c r="A2" i="35"/>
  <c r="A1" i="35"/>
  <c r="A9" i="31"/>
  <c r="A8" i="31"/>
  <c r="T7" i="31"/>
  <c r="A7" i="31"/>
  <c r="A4" i="31"/>
  <c r="A3" i="31"/>
  <c r="A2" i="31"/>
  <c r="A1" i="31"/>
  <c r="E38" i="26"/>
  <c r="E37" i="26"/>
  <c r="E36" i="26"/>
  <c r="E34" i="26"/>
  <c r="E33" i="26"/>
  <c r="E32" i="26"/>
  <c r="E30" i="26"/>
  <c r="E29" i="26"/>
  <c r="E28" i="26"/>
  <c r="E26" i="26"/>
  <c r="E24" i="26"/>
  <c r="E22" i="26"/>
  <c r="E21" i="26"/>
  <c r="E20" i="26"/>
  <c r="A9" i="26"/>
  <c r="A8" i="26"/>
  <c r="T7" i="26"/>
  <c r="A7" i="26"/>
  <c r="A4" i="26"/>
  <c r="A3" i="26"/>
  <c r="A2" i="26"/>
  <c r="A1" i="26"/>
  <c r="E38" i="19"/>
  <c r="E37" i="19"/>
  <c r="E36" i="19"/>
  <c r="E34" i="19"/>
  <c r="E33" i="19"/>
  <c r="E32" i="19"/>
  <c r="E30" i="19"/>
  <c r="E29" i="19"/>
  <c r="E28" i="19"/>
  <c r="E26" i="19"/>
  <c r="E24" i="19"/>
  <c r="E22" i="19"/>
  <c r="E21" i="19"/>
  <c r="E20" i="19"/>
  <c r="A9" i="19"/>
  <c r="A8" i="19"/>
  <c r="T7" i="19"/>
  <c r="A7" i="19"/>
  <c r="A4" i="19"/>
  <c r="A3" i="19"/>
  <c r="A2" i="19"/>
  <c r="A1" i="19"/>
  <c r="E38" i="25"/>
  <c r="E37" i="25"/>
  <c r="E36" i="25"/>
  <c r="E34" i="25"/>
  <c r="E33" i="25"/>
  <c r="E32" i="25"/>
  <c r="E30" i="25"/>
  <c r="E29" i="25"/>
  <c r="E28" i="25"/>
  <c r="E26" i="25"/>
  <c r="E25" i="25"/>
  <c r="E24" i="25"/>
  <c r="E22" i="25"/>
  <c r="E21" i="25"/>
  <c r="A9" i="25"/>
  <c r="A8" i="25"/>
  <c r="T7" i="25"/>
  <c r="A7" i="25"/>
  <c r="A4" i="25"/>
  <c r="A3" i="25"/>
  <c r="A2" i="25"/>
  <c r="A1" i="25"/>
  <c r="E38" i="24"/>
  <c r="E37" i="24"/>
  <c r="E36" i="24"/>
  <c r="E34" i="24"/>
  <c r="E33" i="24"/>
  <c r="E32" i="24"/>
  <c r="E30" i="24"/>
  <c r="E29" i="24"/>
  <c r="E28" i="24"/>
  <c r="E26" i="24"/>
  <c r="E25" i="24"/>
  <c r="E24" i="24"/>
  <c r="E22" i="24"/>
  <c r="E21" i="24"/>
  <c r="E20" i="24"/>
  <c r="A9" i="24"/>
  <c r="A8" i="24"/>
  <c r="T7" i="24"/>
  <c r="A7" i="24"/>
  <c r="A4" i="24"/>
  <c r="A3" i="24"/>
  <c r="A2" i="24"/>
  <c r="A1" i="24"/>
  <c r="E38" i="15"/>
  <c r="E37" i="15"/>
  <c r="E36" i="15"/>
  <c r="E34" i="15"/>
  <c r="E33" i="15"/>
  <c r="E32" i="15"/>
  <c r="E30" i="15"/>
  <c r="E29" i="15"/>
  <c r="E28" i="15"/>
  <c r="E26" i="15"/>
  <c r="E25" i="15"/>
  <c r="E24" i="15"/>
  <c r="E22" i="15"/>
  <c r="E21" i="15"/>
  <c r="E20" i="15"/>
  <c r="A9" i="15"/>
  <c r="A8" i="15"/>
  <c r="T7" i="15"/>
  <c r="A7" i="15"/>
  <c r="A4" i="15"/>
  <c r="A3" i="15"/>
  <c r="A2" i="15"/>
  <c r="A1" i="15"/>
  <c r="A9" i="27"/>
  <c r="A8" i="27"/>
  <c r="P7" i="27"/>
  <c r="A7" i="27"/>
  <c r="A4" i="27"/>
  <c r="A3" i="27"/>
  <c r="A2" i="27"/>
  <c r="A1" i="27"/>
  <c r="A9" i="28"/>
  <c r="A8" i="28"/>
  <c r="P7" i="28"/>
  <c r="A7" i="28"/>
  <c r="A4" i="28"/>
  <c r="A3" i="28"/>
  <c r="A2" i="28"/>
  <c r="A1" i="28"/>
  <c r="E26" i="32"/>
  <c r="A9" i="32"/>
  <c r="A8" i="32"/>
  <c r="T7" i="32"/>
  <c r="A7" i="32"/>
  <c r="A4" i="32"/>
  <c r="A3" i="32"/>
  <c r="A2" i="32"/>
  <c r="A1" i="32"/>
  <c r="A9" i="33"/>
  <c r="A8" i="33"/>
  <c r="P7" i="33"/>
  <c r="A7" i="33"/>
  <c r="A4" i="33"/>
  <c r="A3" i="33"/>
  <c r="A2" i="33"/>
  <c r="A1" i="33"/>
  <c r="P7" i="4"/>
  <c r="A9" i="4"/>
  <c r="A8" i="4"/>
  <c r="A7" i="4"/>
  <c r="A4" i="4"/>
  <c r="A3" i="4"/>
  <c r="A2" i="4"/>
  <c r="J9" i="37"/>
  <c r="AN20" i="26" l="1"/>
  <c r="R20" i="26" s="1"/>
  <c r="AM20" i="26"/>
  <c r="I20" i="26" s="1"/>
  <c r="AN21" i="26"/>
  <c r="R21" i="26" s="1"/>
  <c r="AM21" i="26"/>
  <c r="I21" i="26" s="1"/>
  <c r="AN22" i="26"/>
  <c r="R22" i="26" s="1"/>
  <c r="AM22" i="26"/>
  <c r="I22" i="26" s="1"/>
  <c r="AN22" i="19"/>
  <c r="R22" i="19" s="1"/>
  <c r="AM22" i="19"/>
  <c r="I22" i="19" s="1"/>
  <c r="AN21" i="19"/>
  <c r="R21" i="19" s="1"/>
  <c r="AM21" i="19"/>
  <c r="I21" i="19" s="1"/>
  <c r="AN20" i="19"/>
  <c r="R20" i="19" s="1"/>
  <c r="AM20" i="19"/>
  <c r="I20" i="19" s="1"/>
  <c r="AL38" i="24"/>
  <c r="R38" i="24" s="1"/>
  <c r="AK38" i="24"/>
  <c r="I38" i="24" s="1"/>
  <c r="AL36" i="24"/>
  <c r="R36" i="24" s="1"/>
  <c r="AK36" i="24"/>
  <c r="I36" i="24" s="1"/>
  <c r="AL37" i="24"/>
  <c r="R37" i="24" s="1"/>
  <c r="AK37" i="24"/>
  <c r="I37" i="24" s="1"/>
  <c r="AL34" i="24"/>
  <c r="R34" i="24" s="1"/>
  <c r="AK34" i="24"/>
  <c r="I34" i="24" s="1"/>
  <c r="AL33" i="24"/>
  <c r="R33" i="24" s="1"/>
  <c r="AK33" i="24"/>
  <c r="I33" i="24" s="1"/>
  <c r="AL32" i="24"/>
  <c r="R32" i="24" s="1"/>
  <c r="AK32" i="24"/>
  <c r="I32" i="24" s="1"/>
  <c r="AL29" i="24"/>
  <c r="R29" i="24" s="1"/>
  <c r="AK29" i="24"/>
  <c r="I29" i="24" s="1"/>
  <c r="AL28" i="24"/>
  <c r="R28" i="24" s="1"/>
  <c r="AK28" i="24"/>
  <c r="I28" i="24" s="1"/>
  <c r="AL30" i="24"/>
  <c r="R30" i="24" s="1"/>
  <c r="AK30" i="24"/>
  <c r="I30" i="24" s="1"/>
  <c r="AN25" i="25"/>
  <c r="R25" i="25" s="1"/>
  <c r="AM25" i="25"/>
  <c r="I25" i="25" s="1"/>
  <c r="AN30" i="25"/>
  <c r="R30" i="25" s="1"/>
  <c r="AM30" i="25"/>
  <c r="I30" i="25" s="1"/>
  <c r="AN36" i="25"/>
  <c r="R36" i="25" s="1"/>
  <c r="AM36" i="25"/>
  <c r="I36" i="25" s="1"/>
  <c r="AN21" i="25"/>
  <c r="R21" i="25" s="1"/>
  <c r="AM21" i="25"/>
  <c r="I21" i="25" s="1"/>
  <c r="AN26" i="25"/>
  <c r="R26" i="25" s="1"/>
  <c r="AM26" i="25"/>
  <c r="I26" i="25" s="1"/>
  <c r="AN32" i="25"/>
  <c r="R32" i="25" s="1"/>
  <c r="AM32" i="25"/>
  <c r="I32" i="25" s="1"/>
  <c r="AN37" i="25"/>
  <c r="R37" i="25" s="1"/>
  <c r="AM37" i="25"/>
  <c r="I37" i="25" s="1"/>
  <c r="AN22" i="25"/>
  <c r="R22" i="25" s="1"/>
  <c r="AM22" i="25"/>
  <c r="I22" i="25" s="1"/>
  <c r="AN28" i="25"/>
  <c r="R28" i="25" s="1"/>
  <c r="AM28" i="25"/>
  <c r="I28" i="25" s="1"/>
  <c r="AN33" i="25"/>
  <c r="R33" i="25" s="1"/>
  <c r="AM33" i="25"/>
  <c r="I33" i="25" s="1"/>
  <c r="AN38" i="25"/>
  <c r="R38" i="25" s="1"/>
  <c r="AM38" i="25"/>
  <c r="I38" i="25" s="1"/>
  <c r="AN24" i="25"/>
  <c r="R24" i="25" s="1"/>
  <c r="AM24" i="25"/>
  <c r="I24" i="25" s="1"/>
  <c r="AN29" i="25"/>
  <c r="R29" i="25" s="1"/>
  <c r="AM29" i="25"/>
  <c r="I29" i="25" s="1"/>
  <c r="AN34" i="25"/>
  <c r="R34" i="25" s="1"/>
  <c r="AM34" i="25"/>
  <c r="I34" i="25" s="1"/>
  <c r="AK26" i="32"/>
  <c r="R26" i="32" s="1"/>
  <c r="AJ26" i="32"/>
  <c r="I26" i="32" s="1"/>
  <c r="G25" i="39"/>
  <c r="G29" i="39"/>
  <c r="J10" i="37"/>
  <c r="J11" i="37" l="1"/>
  <c r="J12" i="37" l="1"/>
  <c r="J13" i="37" l="1"/>
  <c r="J14" i="37" l="1"/>
  <c r="J15" i="37" l="1"/>
  <c r="J16" i="37" l="1"/>
  <c r="J17" i="37" l="1"/>
  <c r="J18" i="37" l="1"/>
  <c r="J19" i="37" l="1"/>
  <c r="J20" i="37" l="1"/>
  <c r="J21" i="37" l="1"/>
  <c r="J22" i="37" l="1"/>
  <c r="AA21" i="33"/>
  <c r="J23" i="37" l="1"/>
  <c r="J24" i="37" l="1"/>
  <c r="J25" i="37" l="1"/>
  <c r="J26" i="37" l="1"/>
  <c r="V12" i="28"/>
  <c r="V12" i="40"/>
  <c r="H76" i="5"/>
  <c r="W32" i="2" l="1"/>
  <c r="H32" i="2" s="1"/>
  <c r="W50" i="2"/>
  <c r="W198" i="2"/>
  <c r="H198" i="2" s="1"/>
  <c r="W197" i="2"/>
  <c r="H197" i="2" s="1"/>
  <c r="W26" i="2"/>
  <c r="W29" i="2"/>
  <c r="W28" i="2"/>
  <c r="W25" i="2"/>
  <c r="W27" i="2"/>
  <c r="J27" i="37"/>
  <c r="H33" i="35"/>
  <c r="W24" i="2"/>
  <c r="W22" i="2"/>
  <c r="W23" i="2"/>
  <c r="W21" i="2"/>
  <c r="J21" i="40"/>
  <c r="K21" i="40" s="1"/>
  <c r="J25" i="40"/>
  <c r="K25" i="40" s="1"/>
  <c r="J35" i="40"/>
  <c r="K35" i="40" s="1"/>
  <c r="J27" i="40"/>
  <c r="K27" i="40" s="1"/>
  <c r="J31" i="40"/>
  <c r="K31" i="40" s="1"/>
  <c r="J29" i="40"/>
  <c r="K29" i="40" s="1"/>
  <c r="J33" i="40"/>
  <c r="K33" i="40" s="1"/>
  <c r="J23" i="40"/>
  <c r="K23" i="40" s="1"/>
  <c r="H33" i="34"/>
  <c r="R10" i="2"/>
  <c r="H35" i="35"/>
  <c r="H23" i="35"/>
  <c r="H27" i="35"/>
  <c r="H31" i="35"/>
  <c r="H21" i="35"/>
  <c r="H25" i="35"/>
  <c r="H29" i="35"/>
  <c r="H50" i="2" l="1"/>
  <c r="L21" i="40"/>
  <c r="H27" i="2"/>
  <c r="H29" i="2"/>
  <c r="H25" i="2"/>
  <c r="H26" i="2"/>
  <c r="H28" i="2"/>
  <c r="J28" i="37"/>
  <c r="H23" i="2"/>
  <c r="H24" i="2"/>
  <c r="H22" i="2"/>
  <c r="H21" i="2"/>
  <c r="L23" i="40"/>
  <c r="O23" i="40" s="1"/>
  <c r="P23" i="40" s="1"/>
  <c r="L35" i="40"/>
  <c r="O35" i="40" s="1"/>
  <c r="L29" i="40"/>
  <c r="O29" i="40" s="1"/>
  <c r="P29" i="40" s="1"/>
  <c r="L25" i="40"/>
  <c r="O25" i="40" s="1"/>
  <c r="P25" i="40" s="1"/>
  <c r="L27" i="40"/>
  <c r="O27" i="40" s="1"/>
  <c r="L33" i="40"/>
  <c r="O33" i="40" s="1"/>
  <c r="P33" i="40" s="1"/>
  <c r="L31" i="40"/>
  <c r="O31" i="40" s="1"/>
  <c r="P31" i="40" s="1"/>
  <c r="H29" i="34"/>
  <c r="H35" i="34"/>
  <c r="H31" i="34"/>
  <c r="H25" i="34"/>
  <c r="H27" i="34"/>
  <c r="H21" i="34"/>
  <c r="H23" i="34"/>
  <c r="I76" i="5"/>
  <c r="J76" i="5"/>
  <c r="B85" i="5"/>
  <c r="J75" i="5"/>
  <c r="I75" i="5"/>
  <c r="H75" i="5"/>
  <c r="J74" i="5"/>
  <c r="X12" i="26" s="1"/>
  <c r="I74" i="5"/>
  <c r="X11" i="26" s="1"/>
  <c r="H74" i="5"/>
  <c r="X10" i="26" s="1"/>
  <c r="J73" i="5"/>
  <c r="X12" i="19" s="1"/>
  <c r="I73" i="5"/>
  <c r="X11" i="19" s="1"/>
  <c r="H73" i="5"/>
  <c r="X10" i="19" s="1"/>
  <c r="J72" i="5"/>
  <c r="Y12" i="25" s="1"/>
  <c r="I72" i="5"/>
  <c r="Y11" i="25" s="1"/>
  <c r="H72" i="5"/>
  <c r="Y10" i="25" s="1"/>
  <c r="L22" i="25" s="1"/>
  <c r="J71" i="5"/>
  <c r="X12" i="24" s="1"/>
  <c r="I71" i="5"/>
  <c r="X11" i="24" s="1"/>
  <c r="H71" i="5"/>
  <c r="X10" i="24" s="1"/>
  <c r="J70" i="5"/>
  <c r="X12" i="15" s="1"/>
  <c r="I70" i="5"/>
  <c r="X11" i="15" s="1"/>
  <c r="M22" i="15" s="1"/>
  <c r="H70" i="5"/>
  <c r="X10" i="15" s="1"/>
  <c r="L22" i="15" s="1"/>
  <c r="J69" i="5"/>
  <c r="I69" i="5"/>
  <c r="H69" i="5"/>
  <c r="J68" i="5"/>
  <c r="J31" i="28" s="1"/>
  <c r="I68" i="5"/>
  <c r="I35" i="28" s="1"/>
  <c r="H68" i="5"/>
  <c r="H33" i="28" s="1"/>
  <c r="J67" i="5"/>
  <c r="I67" i="5"/>
  <c r="H67" i="5"/>
  <c r="J66" i="5"/>
  <c r="I66" i="5"/>
  <c r="H66" i="5"/>
  <c r="X32" i="2" l="1"/>
  <c r="I32" i="2" s="1"/>
  <c r="X50" i="2"/>
  <c r="X198" i="2"/>
  <c r="I198" i="2" s="1"/>
  <c r="X197" i="2"/>
  <c r="I197" i="2" s="1"/>
  <c r="O21" i="40"/>
  <c r="P21" i="40" s="1"/>
  <c r="M21" i="40"/>
  <c r="P27" i="40"/>
  <c r="P35" i="40"/>
  <c r="J85" i="5"/>
  <c r="H27" i="39"/>
  <c r="H31" i="39"/>
  <c r="H33" i="39"/>
  <c r="H21" i="39"/>
  <c r="H29" i="39"/>
  <c r="H23" i="39"/>
  <c r="H35" i="39"/>
  <c r="H25" i="39"/>
  <c r="H25" i="27"/>
  <c r="I27" i="27"/>
  <c r="J25" i="27"/>
  <c r="X28" i="2"/>
  <c r="X25" i="2"/>
  <c r="X27" i="2"/>
  <c r="X29" i="2"/>
  <c r="X26" i="2"/>
  <c r="J29" i="37"/>
  <c r="X22" i="2"/>
  <c r="X23" i="2"/>
  <c r="X21" i="2"/>
  <c r="X24" i="2"/>
  <c r="M31" i="40"/>
  <c r="M29" i="40"/>
  <c r="M33" i="40"/>
  <c r="M25" i="40"/>
  <c r="M23" i="40"/>
  <c r="M35" i="40"/>
  <c r="X12" i="31"/>
  <c r="X12" i="41"/>
  <c r="J31" i="33"/>
  <c r="X10" i="31"/>
  <c r="X10" i="41"/>
  <c r="X11" i="31"/>
  <c r="X11" i="41"/>
  <c r="M27" i="40"/>
  <c r="H86" i="5"/>
  <c r="H85" i="5"/>
  <c r="L38" i="15"/>
  <c r="L28" i="15"/>
  <c r="L32" i="15"/>
  <c r="L29" i="15"/>
  <c r="L26" i="15"/>
  <c r="L24" i="15"/>
  <c r="N37" i="24"/>
  <c r="N32" i="24"/>
  <c r="N26" i="24"/>
  <c r="N21" i="24"/>
  <c r="N38" i="24"/>
  <c r="N33" i="24"/>
  <c r="N28" i="24"/>
  <c r="N22" i="24"/>
  <c r="N34" i="24"/>
  <c r="N24" i="24"/>
  <c r="N36" i="24"/>
  <c r="N25" i="24"/>
  <c r="N30" i="24"/>
  <c r="N20" i="24"/>
  <c r="N29" i="24"/>
  <c r="M34" i="26"/>
  <c r="M29" i="26"/>
  <c r="M24" i="26"/>
  <c r="M36" i="26"/>
  <c r="M30" i="26"/>
  <c r="M25" i="26"/>
  <c r="M37" i="26"/>
  <c r="M32" i="26"/>
  <c r="M26" i="26"/>
  <c r="M21" i="26"/>
  <c r="M38" i="26"/>
  <c r="M33" i="26"/>
  <c r="M28" i="26"/>
  <c r="M22" i="26"/>
  <c r="M20" i="26"/>
  <c r="J29" i="33"/>
  <c r="I85" i="5"/>
  <c r="N34" i="15"/>
  <c r="N36" i="15"/>
  <c r="N32" i="15"/>
  <c r="N25" i="15"/>
  <c r="N21" i="15"/>
  <c r="N38" i="15"/>
  <c r="N28" i="15"/>
  <c r="N37" i="15"/>
  <c r="N30" i="15"/>
  <c r="N22" i="15"/>
  <c r="N26" i="15"/>
  <c r="N20" i="15"/>
  <c r="N33" i="15"/>
  <c r="M20" i="19"/>
  <c r="M37" i="19"/>
  <c r="M32" i="19"/>
  <c r="M26" i="19"/>
  <c r="M34" i="19"/>
  <c r="M38" i="19"/>
  <c r="M33" i="19"/>
  <c r="M28" i="19"/>
  <c r="M24" i="19"/>
  <c r="M21" i="19"/>
  <c r="M36" i="19"/>
  <c r="M30" i="19"/>
  <c r="M29" i="19"/>
  <c r="M22" i="19"/>
  <c r="M25" i="19"/>
  <c r="N36" i="26"/>
  <c r="N30" i="26"/>
  <c r="N25" i="26"/>
  <c r="N20" i="26"/>
  <c r="N37" i="26"/>
  <c r="N32" i="26"/>
  <c r="N26" i="26"/>
  <c r="N21" i="26"/>
  <c r="N38" i="26"/>
  <c r="N33" i="26"/>
  <c r="N28" i="26"/>
  <c r="N22" i="26"/>
  <c r="N34" i="26"/>
  <c r="N29" i="26"/>
  <c r="N24" i="26"/>
  <c r="N24" i="15"/>
  <c r="M34" i="15"/>
  <c r="M24" i="15"/>
  <c r="L34" i="24"/>
  <c r="L29" i="24"/>
  <c r="L24" i="24"/>
  <c r="L36" i="24"/>
  <c r="L30" i="24"/>
  <c r="L25" i="24"/>
  <c r="L20" i="24"/>
  <c r="L32" i="24"/>
  <c r="L21" i="24"/>
  <c r="L38" i="24"/>
  <c r="L28" i="24"/>
  <c r="L37" i="24"/>
  <c r="L26" i="24"/>
  <c r="L33" i="24"/>
  <c r="L22" i="24"/>
  <c r="M22" i="25"/>
  <c r="M37" i="25"/>
  <c r="M32" i="25"/>
  <c r="M26" i="25"/>
  <c r="M20" i="25"/>
  <c r="M38" i="25"/>
  <c r="M33" i="25"/>
  <c r="M28" i="25"/>
  <c r="M29" i="25"/>
  <c r="M21" i="25"/>
  <c r="M36" i="25"/>
  <c r="M25" i="25"/>
  <c r="M34" i="25"/>
  <c r="M24" i="25"/>
  <c r="M30" i="25"/>
  <c r="N21" i="19"/>
  <c r="N38" i="19"/>
  <c r="N33" i="19"/>
  <c r="N28" i="19"/>
  <c r="N22" i="19"/>
  <c r="N36" i="19"/>
  <c r="N34" i="19"/>
  <c r="N29" i="19"/>
  <c r="N24" i="19"/>
  <c r="N20" i="19"/>
  <c r="N37" i="19"/>
  <c r="N30" i="19"/>
  <c r="N32" i="19"/>
  <c r="N26" i="19"/>
  <c r="N25" i="19"/>
  <c r="I29" i="4"/>
  <c r="J25" i="33"/>
  <c r="J33" i="33"/>
  <c r="J29" i="28"/>
  <c r="N29" i="15"/>
  <c r="L33" i="15"/>
  <c r="M38" i="15"/>
  <c r="M36" i="15"/>
  <c r="M32" i="15"/>
  <c r="M25" i="15"/>
  <c r="M21" i="15"/>
  <c r="M26" i="15"/>
  <c r="M37" i="15"/>
  <c r="M30" i="15"/>
  <c r="M20" i="15"/>
  <c r="L22" i="19"/>
  <c r="L36" i="19"/>
  <c r="L30" i="19"/>
  <c r="L25" i="19"/>
  <c r="L20" i="19"/>
  <c r="L37" i="19"/>
  <c r="L32" i="19"/>
  <c r="L26" i="19"/>
  <c r="L38" i="19"/>
  <c r="L33" i="19"/>
  <c r="L28" i="19"/>
  <c r="L24" i="19"/>
  <c r="L34" i="19"/>
  <c r="L29" i="19"/>
  <c r="M33" i="15"/>
  <c r="L21" i="25"/>
  <c r="L36" i="25"/>
  <c r="L30" i="25"/>
  <c r="L25" i="25"/>
  <c r="L37" i="25"/>
  <c r="L32" i="25"/>
  <c r="L26" i="25"/>
  <c r="L20" i="25"/>
  <c r="L33" i="25"/>
  <c r="L34" i="25"/>
  <c r="L24" i="25"/>
  <c r="L29" i="25"/>
  <c r="L38" i="25"/>
  <c r="L28" i="25"/>
  <c r="H35" i="4"/>
  <c r="J27" i="33"/>
  <c r="J35" i="33"/>
  <c r="L37" i="15"/>
  <c r="L30" i="15"/>
  <c r="L20" i="15"/>
  <c r="L25" i="15"/>
  <c r="L36" i="15"/>
  <c r="M36" i="24"/>
  <c r="M30" i="24"/>
  <c r="M25" i="24"/>
  <c r="M20" i="24"/>
  <c r="M37" i="24"/>
  <c r="M32" i="24"/>
  <c r="M26" i="24"/>
  <c r="M21" i="24"/>
  <c r="M38" i="24"/>
  <c r="M28" i="24"/>
  <c r="M29" i="24"/>
  <c r="M34" i="24"/>
  <c r="M24" i="24"/>
  <c r="M33" i="24"/>
  <c r="M22" i="24"/>
  <c r="N38" i="25"/>
  <c r="N33" i="25"/>
  <c r="N28" i="25"/>
  <c r="N22" i="25"/>
  <c r="N34" i="25"/>
  <c r="N29" i="25"/>
  <c r="N24" i="25"/>
  <c r="N21" i="25"/>
  <c r="N36" i="25"/>
  <c r="N25" i="25"/>
  <c r="N32" i="25"/>
  <c r="N20" i="25"/>
  <c r="N30" i="25"/>
  <c r="N37" i="25"/>
  <c r="N26" i="25"/>
  <c r="L38" i="26"/>
  <c r="L33" i="26"/>
  <c r="L28" i="26"/>
  <c r="L22" i="26"/>
  <c r="L34" i="26"/>
  <c r="L29" i="26"/>
  <c r="L24" i="26"/>
  <c r="L36" i="26"/>
  <c r="L30" i="26"/>
  <c r="L25" i="26"/>
  <c r="L20" i="26"/>
  <c r="L37" i="26"/>
  <c r="L32" i="26"/>
  <c r="L26" i="26"/>
  <c r="L21" i="26"/>
  <c r="I86" i="5"/>
  <c r="J27" i="4"/>
  <c r="J23" i="33"/>
  <c r="M28" i="15"/>
  <c r="L21" i="15"/>
  <c r="M29" i="15"/>
  <c r="L34" i="15"/>
  <c r="L21" i="19"/>
  <c r="H25" i="28"/>
  <c r="J21" i="28"/>
  <c r="J35" i="28"/>
  <c r="H23" i="28"/>
  <c r="I25" i="28"/>
  <c r="J27" i="28"/>
  <c r="H31" i="28"/>
  <c r="J33" i="28"/>
  <c r="H21" i="28"/>
  <c r="I23" i="28"/>
  <c r="J25" i="28"/>
  <c r="H29" i="28"/>
  <c r="I31" i="28"/>
  <c r="H35" i="28"/>
  <c r="I27" i="28"/>
  <c r="I33" i="28"/>
  <c r="I21" i="28"/>
  <c r="J23" i="28"/>
  <c r="H27" i="28"/>
  <c r="I29" i="28"/>
  <c r="J86" i="5"/>
  <c r="Z32" i="2" l="1"/>
  <c r="I50" i="2"/>
  <c r="Y50" i="2"/>
  <c r="Z50" i="2"/>
  <c r="Y32" i="2"/>
  <c r="J23" i="27"/>
  <c r="K198" i="2"/>
  <c r="J198" i="2"/>
  <c r="K197" i="2"/>
  <c r="J197" i="2"/>
  <c r="K32" i="2"/>
  <c r="Z197" i="2"/>
  <c r="Y197" i="2"/>
  <c r="Z198" i="2"/>
  <c r="Y198" i="2"/>
  <c r="J88" i="5"/>
  <c r="J29" i="27"/>
  <c r="H27" i="27"/>
  <c r="J33" i="27"/>
  <c r="J35" i="27"/>
  <c r="H31" i="27"/>
  <c r="J31" i="27"/>
  <c r="J21" i="27"/>
  <c r="J27" i="27"/>
  <c r="I29" i="27"/>
  <c r="I31" i="27"/>
  <c r="H21" i="27"/>
  <c r="H35" i="27"/>
  <c r="H33" i="27"/>
  <c r="H23" i="27"/>
  <c r="H29" i="27"/>
  <c r="I25" i="27"/>
  <c r="I35" i="27"/>
  <c r="I33" i="27"/>
  <c r="I23" i="27"/>
  <c r="I21" i="27"/>
  <c r="I27" i="2"/>
  <c r="J27" i="2" s="1"/>
  <c r="Z27" i="2"/>
  <c r="Y27" i="2"/>
  <c r="I23" i="39"/>
  <c r="I27" i="39"/>
  <c r="I33" i="39"/>
  <c r="I35" i="39"/>
  <c r="I29" i="39"/>
  <c r="I25" i="39"/>
  <c r="I31" i="39"/>
  <c r="I21" i="39"/>
  <c r="I26" i="2"/>
  <c r="J26" i="2" s="1"/>
  <c r="Z26" i="2"/>
  <c r="Y26" i="2"/>
  <c r="I25" i="2"/>
  <c r="J25" i="2" s="1"/>
  <c r="Z25" i="2"/>
  <c r="Y25" i="2"/>
  <c r="J31" i="39"/>
  <c r="J35" i="39"/>
  <c r="J27" i="39"/>
  <c r="J33" i="39"/>
  <c r="J23" i="39"/>
  <c r="J29" i="39"/>
  <c r="J21" i="39"/>
  <c r="J25" i="39"/>
  <c r="I29" i="2"/>
  <c r="J29" i="2" s="1"/>
  <c r="Z29" i="2"/>
  <c r="Y29" i="2"/>
  <c r="I28" i="2"/>
  <c r="J28" i="2" s="1"/>
  <c r="Z28" i="2"/>
  <c r="Y28" i="2"/>
  <c r="J30" i="37"/>
  <c r="M30" i="45"/>
  <c r="M23" i="45"/>
  <c r="M37" i="45"/>
  <c r="M35" i="45"/>
  <c r="M27" i="45"/>
  <c r="M20" i="45"/>
  <c r="M28" i="45"/>
  <c r="M33" i="45"/>
  <c r="M22" i="45"/>
  <c r="M42" i="45"/>
  <c r="M32" i="45"/>
  <c r="M43" i="45"/>
  <c r="M38" i="45"/>
  <c r="M25" i="45"/>
  <c r="M40" i="45"/>
  <c r="N27" i="45"/>
  <c r="N33" i="45"/>
  <c r="N40" i="45"/>
  <c r="N20" i="45"/>
  <c r="N42" i="45"/>
  <c r="N22" i="45"/>
  <c r="N28" i="45"/>
  <c r="N38" i="45"/>
  <c r="N23" i="45"/>
  <c r="N30" i="45"/>
  <c r="N37" i="45"/>
  <c r="N35" i="45"/>
  <c r="N32" i="45"/>
  <c r="N43" i="45"/>
  <c r="N25" i="45"/>
  <c r="L37" i="45"/>
  <c r="L23" i="45"/>
  <c r="L43" i="45"/>
  <c r="L22" i="45"/>
  <c r="L20" i="45"/>
  <c r="L30" i="45"/>
  <c r="L42" i="45"/>
  <c r="L27" i="45"/>
  <c r="L33" i="45"/>
  <c r="L40" i="45"/>
  <c r="L35" i="45"/>
  <c r="L28" i="45"/>
  <c r="L25" i="45"/>
  <c r="L32" i="45"/>
  <c r="L38" i="45"/>
  <c r="I23" i="2"/>
  <c r="J23" i="2" s="1"/>
  <c r="Y23" i="2"/>
  <c r="Z23" i="2"/>
  <c r="I24" i="2"/>
  <c r="J24" i="2" s="1"/>
  <c r="Z24" i="2"/>
  <c r="Y24" i="2"/>
  <c r="I22" i="2"/>
  <c r="J22" i="2" s="1"/>
  <c r="Z22" i="2"/>
  <c r="Y22" i="2"/>
  <c r="I21" i="2"/>
  <c r="J21" i="2" s="1"/>
  <c r="Y21" i="2"/>
  <c r="Z21" i="2"/>
  <c r="H33" i="4"/>
  <c r="H29" i="4"/>
  <c r="M38" i="41"/>
  <c r="M37" i="41"/>
  <c r="M36" i="41"/>
  <c r="M29" i="41"/>
  <c r="M20" i="41"/>
  <c r="M33" i="41"/>
  <c r="M32" i="41"/>
  <c r="M30" i="41"/>
  <c r="M24" i="41"/>
  <c r="M28" i="41"/>
  <c r="M26" i="41"/>
  <c r="M25" i="41"/>
  <c r="M22" i="41"/>
  <c r="M21" i="41"/>
  <c r="M34" i="41"/>
  <c r="L20" i="41"/>
  <c r="L36" i="41"/>
  <c r="L25" i="41"/>
  <c r="L30" i="41"/>
  <c r="L38" i="41"/>
  <c r="L26" i="41"/>
  <c r="L37" i="41"/>
  <c r="L28" i="41"/>
  <c r="L21" i="41"/>
  <c r="L34" i="41"/>
  <c r="L33" i="41"/>
  <c r="L29" i="41"/>
  <c r="L32" i="41"/>
  <c r="L24" i="41"/>
  <c r="L22" i="41"/>
  <c r="N34" i="41"/>
  <c r="N21" i="41"/>
  <c r="N38" i="41"/>
  <c r="N24" i="41"/>
  <c r="N30" i="41"/>
  <c r="N22" i="41"/>
  <c r="N37" i="41"/>
  <c r="N36" i="41"/>
  <c r="N33" i="41"/>
  <c r="N29" i="41"/>
  <c r="N32" i="41"/>
  <c r="N28" i="41"/>
  <c r="N20" i="41"/>
  <c r="N26" i="41"/>
  <c r="N25" i="41"/>
  <c r="I21" i="4"/>
  <c r="J35" i="4"/>
  <c r="I35" i="4"/>
  <c r="I27" i="4"/>
  <c r="I88" i="5"/>
  <c r="J29" i="4"/>
  <c r="I23" i="4"/>
  <c r="H23" i="4"/>
  <c r="H27" i="4"/>
  <c r="H25" i="4"/>
  <c r="J21" i="4"/>
  <c r="I21" i="33"/>
  <c r="I29" i="33"/>
  <c r="I27" i="33"/>
  <c r="I31" i="33"/>
  <c r="I23" i="33"/>
  <c r="I33" i="33"/>
  <c r="I25" i="33"/>
  <c r="I35" i="33"/>
  <c r="H35" i="33"/>
  <c r="H27" i="33"/>
  <c r="H31" i="33"/>
  <c r="H23" i="33"/>
  <c r="H33" i="33"/>
  <c r="H29" i="33"/>
  <c r="H25" i="33"/>
  <c r="I33" i="34"/>
  <c r="I23" i="34"/>
  <c r="I25" i="34"/>
  <c r="I27" i="34"/>
  <c r="I29" i="34"/>
  <c r="I31" i="34"/>
  <c r="I35" i="34"/>
  <c r="I21" i="34"/>
  <c r="I33" i="35"/>
  <c r="I31" i="35"/>
  <c r="I35" i="35"/>
  <c r="I21" i="35"/>
  <c r="I27" i="35"/>
  <c r="I23" i="35"/>
  <c r="I25" i="35"/>
  <c r="I29" i="35"/>
  <c r="H31" i="4"/>
  <c r="J25" i="4"/>
  <c r="J33" i="4"/>
  <c r="J31" i="4"/>
  <c r="J23" i="4"/>
  <c r="I31" i="4"/>
  <c r="I25" i="4"/>
  <c r="I33" i="4"/>
  <c r="I87" i="5"/>
  <c r="H88" i="5"/>
  <c r="O28" i="45" l="1"/>
  <c r="O38" i="45"/>
  <c r="O32" i="45"/>
  <c r="O22" i="45"/>
  <c r="K50" i="2"/>
  <c r="L197" i="2"/>
  <c r="N197" i="2"/>
  <c r="O197" i="2" s="1"/>
  <c r="N32" i="2"/>
  <c r="N198" i="2"/>
  <c r="O198" i="2" s="1"/>
  <c r="L198" i="2"/>
  <c r="O33" i="45"/>
  <c r="K21" i="39"/>
  <c r="K35" i="39"/>
  <c r="O27" i="45"/>
  <c r="O35" i="45"/>
  <c r="O43" i="45"/>
  <c r="O22" i="41"/>
  <c r="O33" i="41"/>
  <c r="O37" i="41"/>
  <c r="O25" i="41"/>
  <c r="K31" i="39"/>
  <c r="K33" i="39"/>
  <c r="K25" i="39"/>
  <c r="K27" i="39"/>
  <c r="O30" i="45"/>
  <c r="K29" i="39"/>
  <c r="K23" i="39"/>
  <c r="O29" i="41"/>
  <c r="O24" i="41"/>
  <c r="O34" i="41"/>
  <c r="O26" i="41"/>
  <c r="O36" i="41"/>
  <c r="O42" i="45"/>
  <c r="O32" i="41"/>
  <c r="O21" i="41"/>
  <c r="O38" i="41"/>
  <c r="O20" i="41"/>
  <c r="O40" i="45"/>
  <c r="O23" i="45"/>
  <c r="O28" i="41"/>
  <c r="O30" i="41"/>
  <c r="O25" i="45"/>
  <c r="O20" i="45"/>
  <c r="O37" i="45"/>
  <c r="L21" i="39"/>
  <c r="O21" i="39" s="1"/>
  <c r="P20" i="45"/>
  <c r="P20" i="41"/>
  <c r="K21" i="2"/>
  <c r="L23" i="39"/>
  <c r="O23" i="39" s="1"/>
  <c r="L29" i="39"/>
  <c r="O29" i="39" s="1"/>
  <c r="P29" i="39" s="1"/>
  <c r="L31" i="39"/>
  <c r="O31" i="39" s="1"/>
  <c r="L27" i="39"/>
  <c r="O27" i="39" s="1"/>
  <c r="K27" i="2"/>
  <c r="K28" i="2"/>
  <c r="L33" i="39"/>
  <c r="O33" i="39" s="1"/>
  <c r="K26" i="2"/>
  <c r="L25" i="39"/>
  <c r="O25" i="39" s="1"/>
  <c r="K29" i="2"/>
  <c r="L35" i="39"/>
  <c r="O35" i="39" s="1"/>
  <c r="K25" i="2"/>
  <c r="J31" i="37"/>
  <c r="K24" i="2"/>
  <c r="K22" i="2"/>
  <c r="K23" i="2"/>
  <c r="P30" i="45"/>
  <c r="S30" i="45" s="1"/>
  <c r="P38" i="45"/>
  <c r="S38" i="45" s="1"/>
  <c r="P35" i="45"/>
  <c r="S35" i="45" s="1"/>
  <c r="P42" i="45"/>
  <c r="S42" i="45" s="1"/>
  <c r="P43" i="45"/>
  <c r="S43" i="45" s="1"/>
  <c r="P40" i="45"/>
  <c r="S40" i="45" s="1"/>
  <c r="P23" i="45"/>
  <c r="S23" i="45" s="1"/>
  <c r="P25" i="45"/>
  <c r="S25" i="45" s="1"/>
  <c r="P33" i="45"/>
  <c r="S33" i="45" s="1"/>
  <c r="P37" i="45"/>
  <c r="S37" i="45" s="1"/>
  <c r="P32" i="45"/>
  <c r="S32" i="45" s="1"/>
  <c r="P28" i="45"/>
  <c r="S28" i="45" s="1"/>
  <c r="T28" i="45" s="1"/>
  <c r="P27" i="45"/>
  <c r="S27" i="45" s="1"/>
  <c r="P22" i="45"/>
  <c r="S22" i="45" s="1"/>
  <c r="P29" i="41"/>
  <c r="S29" i="41" s="1"/>
  <c r="P30" i="41"/>
  <c r="S30" i="41" s="1"/>
  <c r="P22" i="41"/>
  <c r="S22" i="41" s="1"/>
  <c r="P37" i="41"/>
  <c r="S37" i="41" s="1"/>
  <c r="P24" i="41"/>
  <c r="S24" i="41" s="1"/>
  <c r="P34" i="41"/>
  <c r="S34" i="41" s="1"/>
  <c r="P26" i="41"/>
  <c r="S26" i="41" s="1"/>
  <c r="P36" i="41"/>
  <c r="S36" i="41" s="1"/>
  <c r="P28" i="41"/>
  <c r="S28" i="41" s="1"/>
  <c r="P33" i="41"/>
  <c r="S33" i="41" s="1"/>
  <c r="P25" i="41"/>
  <c r="S25" i="41" s="1"/>
  <c r="P32" i="41"/>
  <c r="S32" i="41" s="1"/>
  <c r="P21" i="41"/>
  <c r="S21" i="41" s="1"/>
  <c r="P38" i="41"/>
  <c r="S38" i="41" s="1"/>
  <c r="H87" i="5"/>
  <c r="J87" i="5"/>
  <c r="T22" i="45" l="1"/>
  <c r="T36" i="41"/>
  <c r="T25" i="41"/>
  <c r="T43" i="45"/>
  <c r="P27" i="39"/>
  <c r="T29" i="41"/>
  <c r="T35" i="45"/>
  <c r="T30" i="45"/>
  <c r="T33" i="45"/>
  <c r="T37" i="41"/>
  <c r="T32" i="41"/>
  <c r="T26" i="41"/>
  <c r="P35" i="39"/>
  <c r="P23" i="39"/>
  <c r="T37" i="45"/>
  <c r="T30" i="41"/>
  <c r="P31" i="39"/>
  <c r="N50" i="2"/>
  <c r="T34" i="41"/>
  <c r="T33" i="41"/>
  <c r="P33" i="39"/>
  <c r="M21" i="39"/>
  <c r="T38" i="41"/>
  <c r="M23" i="39"/>
  <c r="P21" i="39"/>
  <c r="T24" i="41"/>
  <c r="S20" i="45"/>
  <c r="T20" i="45" s="1"/>
  <c r="Q20" i="45"/>
  <c r="S20" i="41"/>
  <c r="T20" i="41" s="1"/>
  <c r="Q20" i="41"/>
  <c r="T23" i="45"/>
  <c r="T27" i="45"/>
  <c r="T32" i="45"/>
  <c r="T25" i="45"/>
  <c r="T40" i="45"/>
  <c r="T42" i="45"/>
  <c r="T38" i="45"/>
  <c r="L25" i="2"/>
  <c r="N25" i="2"/>
  <c r="O25" i="2" s="1"/>
  <c r="N27" i="2"/>
  <c r="O27" i="2" s="1"/>
  <c r="L27" i="2"/>
  <c r="N23" i="2"/>
  <c r="O23" i="2" s="1"/>
  <c r="L23" i="2"/>
  <c r="L26" i="2"/>
  <c r="N26" i="2"/>
  <c r="O26" i="2" s="1"/>
  <c r="L22" i="2"/>
  <c r="N22" i="2"/>
  <c r="O22" i="2" s="1"/>
  <c r="N24" i="2"/>
  <c r="O24" i="2" s="1"/>
  <c r="L24" i="2"/>
  <c r="L29" i="2"/>
  <c r="N29" i="2"/>
  <c r="O29" i="2" s="1"/>
  <c r="N28" i="2"/>
  <c r="O28" i="2" s="1"/>
  <c r="L28" i="2"/>
  <c r="L21" i="2"/>
  <c r="N21" i="2"/>
  <c r="O21" i="2" s="1"/>
  <c r="T21" i="41"/>
  <c r="T28" i="41"/>
  <c r="T22" i="41"/>
  <c r="P25" i="39"/>
  <c r="M29" i="39"/>
  <c r="L31" i="37"/>
  <c r="F8" i="36" s="1"/>
  <c r="L8" i="37"/>
  <c r="L9" i="37"/>
  <c r="L10" i="37"/>
  <c r="T8" i="32" s="1"/>
  <c r="L11" i="37"/>
  <c r="L12" i="37"/>
  <c r="L13" i="37"/>
  <c r="L14" i="37"/>
  <c r="P8" i="39" s="1"/>
  <c r="L15" i="37"/>
  <c r="L16" i="37"/>
  <c r="L17" i="37"/>
  <c r="L18" i="37"/>
  <c r="T8" i="19" s="1"/>
  <c r="L19" i="37"/>
  <c r="L20" i="37"/>
  <c r="L21" i="37"/>
  <c r="L22" i="37"/>
  <c r="O8" i="2" s="1"/>
  <c r="L23" i="37"/>
  <c r="L24" i="37"/>
  <c r="L25" i="37"/>
  <c r="L26" i="37"/>
  <c r="O8" i="35" s="1"/>
  <c r="L27" i="37"/>
  <c r="L28" i="37"/>
  <c r="L29" i="37"/>
  <c r="T8" i="47" s="1"/>
  <c r="L30" i="37"/>
  <c r="P8" i="44" s="1"/>
  <c r="M31" i="39"/>
  <c r="M35" i="39"/>
  <c r="M33" i="39"/>
  <c r="M27" i="39"/>
  <c r="M25" i="39"/>
  <c r="P8" i="4"/>
  <c r="P8" i="33"/>
  <c r="P8" i="28"/>
  <c r="P8" i="40"/>
  <c r="P8" i="27"/>
  <c r="T8" i="15"/>
  <c r="T8" i="24"/>
  <c r="T8" i="25"/>
  <c r="T8" i="26"/>
  <c r="T8" i="31"/>
  <c r="T8" i="41"/>
  <c r="O63" i="2"/>
  <c r="O90" i="2"/>
  <c r="O146" i="2"/>
  <c r="O8" i="34"/>
  <c r="T8" i="45"/>
  <c r="Q27" i="45"/>
  <c r="Q32" i="45"/>
  <c r="Q37" i="45"/>
  <c r="Q33" i="45"/>
  <c r="Q43" i="45"/>
  <c r="Q22" i="45"/>
  <c r="Q28" i="45"/>
  <c r="Q25" i="45"/>
  <c r="Q40" i="45"/>
  <c r="Q42" i="45"/>
  <c r="Q38" i="45"/>
  <c r="Q35" i="45"/>
  <c r="Q30" i="45"/>
  <c r="Q23" i="45"/>
  <c r="Q25" i="41"/>
  <c r="Q26" i="41"/>
  <c r="Q24" i="41"/>
  <c r="Q22" i="41"/>
  <c r="Q38" i="41"/>
  <c r="Q32" i="41"/>
  <c r="Q33" i="41"/>
  <c r="Q36" i="41"/>
  <c r="Q34" i="41"/>
  <c r="Q37" i="41"/>
  <c r="Q30" i="41"/>
  <c r="Q21" i="41"/>
  <c r="Q28" i="41"/>
  <c r="Q29" i="41"/>
  <c r="O34" i="36"/>
  <c r="Q34" i="36" s="1"/>
  <c r="D34" i="36" s="1"/>
  <c r="K17" i="36"/>
  <c r="K34" i="36" s="1"/>
  <c r="M34" i="36" s="1"/>
  <c r="C34" i="36" s="1"/>
  <c r="AC18" i="33"/>
  <c r="AB18" i="33"/>
  <c r="W18" i="33"/>
  <c r="X21" i="35"/>
  <c r="X31" i="35" s="1"/>
  <c r="T21" i="35"/>
  <c r="T27" i="35" s="1"/>
  <c r="Y18" i="35"/>
  <c r="Y31" i="35" s="1"/>
  <c r="U18" i="35"/>
  <c r="U31" i="35" s="1"/>
  <c r="Y18" i="34"/>
  <c r="Y35" i="34" s="1"/>
  <c r="U18" i="34"/>
  <c r="U31" i="34" s="1"/>
  <c r="X21" i="34"/>
  <c r="T21" i="34"/>
  <c r="AB33" i="33" l="1"/>
  <c r="AB25" i="33"/>
  <c r="AB31" i="33"/>
  <c r="AB23" i="33"/>
  <c r="AB29" i="33"/>
  <c r="AB21" i="33"/>
  <c r="AB35" i="33"/>
  <c r="AB27" i="33"/>
  <c r="W33" i="33"/>
  <c r="W25" i="33"/>
  <c r="W21" i="33"/>
  <c r="W27" i="33"/>
  <c r="W31" i="33"/>
  <c r="W23" i="33"/>
  <c r="W29" i="33"/>
  <c r="W35" i="33"/>
  <c r="U27" i="34"/>
  <c r="V33" i="33"/>
  <c r="V25" i="33"/>
  <c r="V21" i="33"/>
  <c r="V27" i="33"/>
  <c r="V31" i="33"/>
  <c r="V23" i="33"/>
  <c r="V29" i="33"/>
  <c r="V35" i="33"/>
  <c r="AC35" i="33"/>
  <c r="AC31" i="33"/>
  <c r="AC23" i="33"/>
  <c r="AC25" i="33"/>
  <c r="AC29" i="33"/>
  <c r="AC21" i="33"/>
  <c r="AC27" i="33"/>
  <c r="AC33" i="33"/>
  <c r="X33" i="35"/>
  <c r="X29" i="35"/>
  <c r="U35" i="34"/>
  <c r="X23" i="35"/>
  <c r="Y21" i="35"/>
  <c r="Z21" i="35" s="1"/>
  <c r="D21" i="35" s="1"/>
  <c r="Y35" i="35"/>
  <c r="Y23" i="35"/>
  <c r="E34" i="36"/>
  <c r="F34" i="36" s="1"/>
  <c r="U21" i="34"/>
  <c r="V21" i="34" s="1"/>
  <c r="C21" i="34" s="1"/>
  <c r="J21" i="34" s="1"/>
  <c r="Z31" i="35"/>
  <c r="D31" i="35" s="1"/>
  <c r="Y29" i="34"/>
  <c r="K24" i="36"/>
  <c r="M24" i="36" s="1"/>
  <c r="C24" i="36" s="1"/>
  <c r="Y25" i="34"/>
  <c r="T29" i="35"/>
  <c r="T33" i="35"/>
  <c r="K22" i="36"/>
  <c r="M22" i="36" s="1"/>
  <c r="C22" i="36" s="1"/>
  <c r="K32" i="36"/>
  <c r="M32" i="36" s="1"/>
  <c r="C32" i="36" s="1"/>
  <c r="O24" i="36"/>
  <c r="Q24" i="36" s="1"/>
  <c r="D24" i="36" s="1"/>
  <c r="O28" i="36"/>
  <c r="Q28" i="36" s="1"/>
  <c r="Y21" i="34"/>
  <c r="Z21" i="34" s="1"/>
  <c r="D21" i="34" s="1"/>
  <c r="Y31" i="34"/>
  <c r="T23" i="35"/>
  <c r="T25" i="35"/>
  <c r="T31" i="35"/>
  <c r="V31" i="35" s="1"/>
  <c r="T35" i="35"/>
  <c r="K28" i="36"/>
  <c r="M28" i="36" s="1"/>
  <c r="C28" i="36" s="1"/>
  <c r="O20" i="36"/>
  <c r="Q20" i="36" s="1"/>
  <c r="O30" i="36"/>
  <c r="Q30" i="36" s="1"/>
  <c r="D30" i="36" s="1"/>
  <c r="Y23" i="34"/>
  <c r="Y33" i="34"/>
  <c r="K20" i="36"/>
  <c r="M20" i="36" s="1"/>
  <c r="C20" i="36" s="1"/>
  <c r="K30" i="36"/>
  <c r="M30" i="36" s="1"/>
  <c r="C30" i="36" s="1"/>
  <c r="O22" i="36"/>
  <c r="Q22" i="36" s="1"/>
  <c r="O32" i="36"/>
  <c r="Q32" i="36" s="1"/>
  <c r="D32" i="36" s="1"/>
  <c r="O26" i="36"/>
  <c r="Q26" i="36" s="1"/>
  <c r="D26" i="36" s="1"/>
  <c r="K26" i="36"/>
  <c r="M26" i="36" s="1"/>
  <c r="C26" i="36" s="1"/>
  <c r="U25" i="35"/>
  <c r="U27" i="35"/>
  <c r="V27" i="35" s="1"/>
  <c r="C27" i="35" s="1"/>
  <c r="J27" i="35" s="1"/>
  <c r="X25" i="35"/>
  <c r="U29" i="35"/>
  <c r="U33" i="35"/>
  <c r="U35" i="35"/>
  <c r="V35" i="35" s="1"/>
  <c r="C35" i="35" s="1"/>
  <c r="J35" i="35" s="1"/>
  <c r="U21" i="35"/>
  <c r="V21" i="35" s="1"/>
  <c r="C21" i="35" s="1"/>
  <c r="J21" i="35" s="1"/>
  <c r="Y29" i="35"/>
  <c r="U23" i="35"/>
  <c r="Y25" i="35"/>
  <c r="X27" i="35"/>
  <c r="Y33" i="35"/>
  <c r="X35" i="35"/>
  <c r="Y27" i="35"/>
  <c r="U25" i="34"/>
  <c r="U33" i="34"/>
  <c r="X23" i="34"/>
  <c r="X31" i="34"/>
  <c r="X25" i="34"/>
  <c r="X33" i="34"/>
  <c r="X27" i="34"/>
  <c r="X35" i="34"/>
  <c r="Z35" i="34" s="1"/>
  <c r="U23" i="34"/>
  <c r="U29" i="34"/>
  <c r="Y27" i="34"/>
  <c r="X29" i="34"/>
  <c r="T33" i="34"/>
  <c r="T29" i="34"/>
  <c r="T23" i="34"/>
  <c r="T35" i="34"/>
  <c r="T31" i="34"/>
  <c r="V31" i="34" s="1"/>
  <c r="C31" i="34" s="1"/>
  <c r="J31" i="34" s="1"/>
  <c r="T25" i="34"/>
  <c r="T27" i="34"/>
  <c r="W17" i="2"/>
  <c r="F21" i="35" l="1"/>
  <c r="G21" i="35" s="1"/>
  <c r="K21" i="35"/>
  <c r="F21" i="34"/>
  <c r="G21" i="34" s="1"/>
  <c r="K21" i="34"/>
  <c r="Z23" i="35"/>
  <c r="D23" i="35" s="1"/>
  <c r="AD21" i="33"/>
  <c r="D21" i="33" s="1"/>
  <c r="Z29" i="35"/>
  <c r="D29" i="35" s="1"/>
  <c r="V23" i="35"/>
  <c r="C23" i="35" s="1"/>
  <c r="J23" i="35" s="1"/>
  <c r="Z25" i="34"/>
  <c r="D25" i="34" s="1"/>
  <c r="Z23" i="34"/>
  <c r="D23" i="34" s="1"/>
  <c r="Z35" i="35"/>
  <c r="V35" i="34"/>
  <c r="C35" i="34" s="1"/>
  <c r="J35" i="34" s="1"/>
  <c r="Z29" i="34"/>
  <c r="D29" i="34" s="1"/>
  <c r="V27" i="34"/>
  <c r="C27" i="34" s="1"/>
  <c r="J27" i="34" s="1"/>
  <c r="Z33" i="35"/>
  <c r="D33" i="35" s="1"/>
  <c r="V25" i="35"/>
  <c r="C25" i="35" s="1"/>
  <c r="J25" i="35" s="1"/>
  <c r="D28" i="36"/>
  <c r="E28" i="36" s="1"/>
  <c r="F28" i="36" s="1"/>
  <c r="V33" i="35"/>
  <c r="C33" i="35" s="1"/>
  <c r="J33" i="35" s="1"/>
  <c r="D22" i="36"/>
  <c r="E22" i="36" s="1"/>
  <c r="F22" i="36" s="1"/>
  <c r="E24" i="36"/>
  <c r="F24" i="36" s="1"/>
  <c r="Z31" i="34"/>
  <c r="D31" i="34" s="1"/>
  <c r="V23" i="34"/>
  <c r="C23" i="34" s="1"/>
  <c r="J23" i="34" s="1"/>
  <c r="V29" i="34"/>
  <c r="C29" i="34" s="1"/>
  <c r="J29" i="34" s="1"/>
  <c r="C31" i="35"/>
  <c r="J31" i="35" s="1"/>
  <c r="Z33" i="34"/>
  <c r="D33" i="34" s="1"/>
  <c r="V29" i="35"/>
  <c r="C29" i="35" s="1"/>
  <c r="J29" i="35" s="1"/>
  <c r="E26" i="36"/>
  <c r="F26" i="36" s="1"/>
  <c r="D20" i="36"/>
  <c r="E20" i="36" s="1"/>
  <c r="F20" i="36" s="1"/>
  <c r="D35" i="34"/>
  <c r="E32" i="36"/>
  <c r="F32" i="36" s="1"/>
  <c r="E30" i="36"/>
  <c r="F30" i="36" s="1"/>
  <c r="Z25" i="35"/>
  <c r="D25" i="35" s="1"/>
  <c r="F25" i="35" s="1"/>
  <c r="Z27" i="35"/>
  <c r="K31" i="35"/>
  <c r="V33" i="34"/>
  <c r="Z27" i="34"/>
  <c r="V25" i="34"/>
  <c r="F33" i="35" l="1"/>
  <c r="F23" i="35"/>
  <c r="F29" i="35"/>
  <c r="G29" i="35" s="1"/>
  <c r="F23" i="34"/>
  <c r="G23" i="34" s="1"/>
  <c r="L21" i="33"/>
  <c r="L21" i="35"/>
  <c r="N21" i="35"/>
  <c r="O21" i="35" s="1"/>
  <c r="F29" i="34"/>
  <c r="G29" i="34" s="1"/>
  <c r="K31" i="34"/>
  <c r="N31" i="34" s="1"/>
  <c r="O31" i="34" s="1"/>
  <c r="F31" i="34"/>
  <c r="G31" i="34" s="1"/>
  <c r="K35" i="34"/>
  <c r="N35" i="34" s="1"/>
  <c r="F35" i="34"/>
  <c r="G35" i="34" s="1"/>
  <c r="N21" i="34"/>
  <c r="O21" i="34" s="1"/>
  <c r="L21" i="34"/>
  <c r="F31" i="35"/>
  <c r="G31" i="35" s="1"/>
  <c r="N31" i="35"/>
  <c r="O31" i="35" s="1"/>
  <c r="D35" i="35"/>
  <c r="K23" i="34"/>
  <c r="L31" i="35"/>
  <c r="B105" i="2"/>
  <c r="W105" i="2"/>
  <c r="H105" i="2" s="1"/>
  <c r="X105" i="2"/>
  <c r="B116" i="2"/>
  <c r="W116" i="2"/>
  <c r="H116" i="2" s="1"/>
  <c r="X116" i="2"/>
  <c r="B178" i="2"/>
  <c r="W178" i="2"/>
  <c r="H178" i="2" s="1"/>
  <c r="X178" i="2"/>
  <c r="B106" i="2"/>
  <c r="W106" i="2"/>
  <c r="H106" i="2" s="1"/>
  <c r="X106" i="2"/>
  <c r="B110" i="2"/>
  <c r="W110" i="2"/>
  <c r="H110" i="2" s="1"/>
  <c r="X110" i="2"/>
  <c r="G23" i="35"/>
  <c r="B107" i="2"/>
  <c r="X107" i="2"/>
  <c r="W107" i="2"/>
  <c r="H107" i="2" s="1"/>
  <c r="B111" i="2"/>
  <c r="X111" i="2"/>
  <c r="W111" i="2"/>
  <c r="H111" i="2" s="1"/>
  <c r="B114" i="2"/>
  <c r="X114" i="2"/>
  <c r="W114" i="2"/>
  <c r="H114" i="2" s="1"/>
  <c r="B185" i="2"/>
  <c r="X185" i="2"/>
  <c r="W185" i="2"/>
  <c r="H185" i="2" s="1"/>
  <c r="B180" i="2"/>
  <c r="X180" i="2"/>
  <c r="W180" i="2"/>
  <c r="H180" i="2" s="1"/>
  <c r="B109" i="2"/>
  <c r="W109" i="2"/>
  <c r="H109" i="2" s="1"/>
  <c r="X109" i="2"/>
  <c r="B125" i="2"/>
  <c r="W125" i="2"/>
  <c r="H125" i="2" s="1"/>
  <c r="X125" i="2"/>
  <c r="B117" i="2"/>
  <c r="W117" i="2"/>
  <c r="H117" i="2" s="1"/>
  <c r="X117" i="2"/>
  <c r="B179" i="2"/>
  <c r="W179" i="2"/>
  <c r="H179" i="2" s="1"/>
  <c r="X179" i="2"/>
  <c r="B104" i="2"/>
  <c r="W104" i="2"/>
  <c r="H104" i="2" s="1"/>
  <c r="X104" i="2"/>
  <c r="B108" i="2"/>
  <c r="W108" i="2"/>
  <c r="H108" i="2" s="1"/>
  <c r="X108" i="2"/>
  <c r="B115" i="2"/>
  <c r="W115" i="2"/>
  <c r="H115" i="2" s="1"/>
  <c r="X115" i="2"/>
  <c r="B186" i="2"/>
  <c r="W186" i="2"/>
  <c r="H186" i="2" s="1"/>
  <c r="X186" i="2"/>
  <c r="B181" i="2"/>
  <c r="W181" i="2"/>
  <c r="H181" i="2" s="1"/>
  <c r="X181" i="2"/>
  <c r="L35" i="34"/>
  <c r="K29" i="35"/>
  <c r="L29" i="35" s="1"/>
  <c r="K23" i="35"/>
  <c r="G25" i="35"/>
  <c r="K25" i="35"/>
  <c r="L25" i="35" s="1"/>
  <c r="D27" i="35"/>
  <c r="F27" i="35" s="1"/>
  <c r="G33" i="35"/>
  <c r="K33" i="35"/>
  <c r="L33" i="35" s="1"/>
  <c r="D27" i="34"/>
  <c r="F27" i="34" s="1"/>
  <c r="C33" i="34"/>
  <c r="C25" i="34"/>
  <c r="J25" i="34" s="1"/>
  <c r="K29" i="34"/>
  <c r="N29" i="34" s="1"/>
  <c r="Z17" i="32"/>
  <c r="Z25" i="32" s="1"/>
  <c r="Y17" i="32"/>
  <c r="AE20" i="32"/>
  <c r="AF17" i="32"/>
  <c r="AH17" i="32"/>
  <c r="AH37" i="32" s="1"/>
  <c r="AG17" i="32"/>
  <c r="E38" i="32"/>
  <c r="E37" i="32"/>
  <c r="E36" i="32"/>
  <c r="E34" i="32"/>
  <c r="E33" i="32"/>
  <c r="E32" i="32"/>
  <c r="E30" i="32"/>
  <c r="E29" i="32"/>
  <c r="E28" i="32"/>
  <c r="E25" i="32"/>
  <c r="E24" i="32"/>
  <c r="E22" i="32"/>
  <c r="E21" i="32"/>
  <c r="E20" i="32"/>
  <c r="AK33" i="31"/>
  <c r="AJ17" i="31"/>
  <c r="AI17" i="31"/>
  <c r="AH17" i="31"/>
  <c r="AA17" i="31"/>
  <c r="Z17" i="31"/>
  <c r="Y17" i="31"/>
  <c r="X17" i="31"/>
  <c r="E38" i="31"/>
  <c r="E37" i="31"/>
  <c r="E36" i="31"/>
  <c r="E34" i="31"/>
  <c r="E33" i="31"/>
  <c r="E32" i="31"/>
  <c r="E30" i="31"/>
  <c r="E29" i="31"/>
  <c r="E28" i="31"/>
  <c r="E26" i="31"/>
  <c r="E25" i="31"/>
  <c r="E24" i="31"/>
  <c r="E22" i="31"/>
  <c r="E21" i="31"/>
  <c r="AG21" i="31"/>
  <c r="W36" i="31"/>
  <c r="E20" i="31"/>
  <c r="X17" i="32"/>
  <c r="W20" i="32"/>
  <c r="U21" i="33"/>
  <c r="X21" i="33" s="1"/>
  <c r="AN22" i="31" l="1"/>
  <c r="R22" i="31" s="1"/>
  <c r="AM22" i="31"/>
  <c r="I22" i="31" s="1"/>
  <c r="AN21" i="31"/>
  <c r="R21" i="31" s="1"/>
  <c r="AM21" i="31"/>
  <c r="I21" i="31" s="1"/>
  <c r="AN20" i="31"/>
  <c r="R20" i="31" s="1"/>
  <c r="AM20" i="31"/>
  <c r="I20" i="31" s="1"/>
  <c r="AN38" i="31"/>
  <c r="R38" i="31" s="1"/>
  <c r="AM38" i="31"/>
  <c r="I38" i="31" s="1"/>
  <c r="AN37" i="31"/>
  <c r="R37" i="31" s="1"/>
  <c r="AM37" i="31"/>
  <c r="I37" i="31" s="1"/>
  <c r="AN36" i="31"/>
  <c r="R36" i="31" s="1"/>
  <c r="AM36" i="31"/>
  <c r="I36" i="31" s="1"/>
  <c r="AN32" i="31"/>
  <c r="R32" i="31" s="1"/>
  <c r="AM32" i="31"/>
  <c r="I32" i="31" s="1"/>
  <c r="AN34" i="31"/>
  <c r="R34" i="31" s="1"/>
  <c r="AM34" i="31"/>
  <c r="I34" i="31" s="1"/>
  <c r="AN33" i="31"/>
  <c r="R33" i="31" s="1"/>
  <c r="AM33" i="31"/>
  <c r="I33" i="31" s="1"/>
  <c r="AN28" i="31"/>
  <c r="R28" i="31" s="1"/>
  <c r="AM28" i="31"/>
  <c r="I28" i="31" s="1"/>
  <c r="AN29" i="31"/>
  <c r="R29" i="31" s="1"/>
  <c r="AM29" i="31"/>
  <c r="I29" i="31" s="1"/>
  <c r="AN30" i="31"/>
  <c r="R30" i="31" s="1"/>
  <c r="AM30" i="31"/>
  <c r="I30" i="31" s="1"/>
  <c r="AN26" i="31"/>
  <c r="R26" i="31" s="1"/>
  <c r="AM26" i="31"/>
  <c r="I26" i="31" s="1"/>
  <c r="AN24" i="31"/>
  <c r="R24" i="31" s="1"/>
  <c r="AM24" i="31"/>
  <c r="I24" i="31" s="1"/>
  <c r="AN25" i="31"/>
  <c r="R25" i="31" s="1"/>
  <c r="AM25" i="31"/>
  <c r="I25" i="31" s="1"/>
  <c r="AE37" i="32"/>
  <c r="AK25" i="32"/>
  <c r="R25" i="32" s="1"/>
  <c r="AJ25" i="32"/>
  <c r="I25" i="32" s="1"/>
  <c r="AK20" i="32"/>
  <c r="R20" i="32" s="1"/>
  <c r="AJ20" i="32"/>
  <c r="I20" i="32" s="1"/>
  <c r="AK21" i="32"/>
  <c r="R21" i="32" s="1"/>
  <c r="AJ21" i="32"/>
  <c r="I21" i="32" s="1"/>
  <c r="AK24" i="32"/>
  <c r="R24" i="32" s="1"/>
  <c r="AJ24" i="32"/>
  <c r="I24" i="32" s="1"/>
  <c r="AK22" i="32"/>
  <c r="R22" i="32" s="1"/>
  <c r="AJ22" i="32"/>
  <c r="I22" i="32" s="1"/>
  <c r="AK37" i="32"/>
  <c r="R37" i="32" s="1"/>
  <c r="AJ37" i="32"/>
  <c r="I37" i="32" s="1"/>
  <c r="AK38" i="32"/>
  <c r="R38" i="32" s="1"/>
  <c r="AJ38" i="32"/>
  <c r="I38" i="32" s="1"/>
  <c r="AK36" i="32"/>
  <c r="R36" i="32" s="1"/>
  <c r="AJ36" i="32"/>
  <c r="I36" i="32" s="1"/>
  <c r="AK33" i="32"/>
  <c r="R33" i="32" s="1"/>
  <c r="AJ33" i="32"/>
  <c r="I33" i="32" s="1"/>
  <c r="AK32" i="32"/>
  <c r="R32" i="32" s="1"/>
  <c r="AJ32" i="32"/>
  <c r="I32" i="32" s="1"/>
  <c r="AK34" i="32"/>
  <c r="R34" i="32" s="1"/>
  <c r="AJ34" i="32"/>
  <c r="I34" i="32" s="1"/>
  <c r="AK30" i="32"/>
  <c r="R30" i="32" s="1"/>
  <c r="AJ30" i="32"/>
  <c r="I30" i="32" s="1"/>
  <c r="AK29" i="32"/>
  <c r="R29" i="32" s="1"/>
  <c r="AJ29" i="32"/>
  <c r="I29" i="32" s="1"/>
  <c r="AK28" i="32"/>
  <c r="R28" i="32" s="1"/>
  <c r="AJ28" i="32"/>
  <c r="I28" i="32" s="1"/>
  <c r="Z36" i="31"/>
  <c r="Z33" i="31"/>
  <c r="Z28" i="31"/>
  <c r="Z25" i="31"/>
  <c r="Z34" i="31"/>
  <c r="Z26" i="31"/>
  <c r="Z21" i="31"/>
  <c r="Z37" i="31"/>
  <c r="Z32" i="31"/>
  <c r="Z29" i="31"/>
  <c r="Z24" i="31"/>
  <c r="Z22" i="31"/>
  <c r="Z38" i="31"/>
  <c r="Z30" i="31"/>
  <c r="Z20" i="31"/>
  <c r="AJ37" i="31"/>
  <c r="AJ32" i="31"/>
  <c r="AJ30" i="31"/>
  <c r="AJ24" i="31"/>
  <c r="AJ21" i="31"/>
  <c r="AJ38" i="31"/>
  <c r="AJ29" i="31"/>
  <c r="AJ22" i="31"/>
  <c r="AJ36" i="31"/>
  <c r="AJ33" i="31"/>
  <c r="AJ28" i="31"/>
  <c r="AJ25" i="31"/>
  <c r="AJ20" i="31"/>
  <c r="AJ34" i="31"/>
  <c r="AJ26" i="31"/>
  <c r="AA34" i="31"/>
  <c r="AA36" i="31"/>
  <c r="AA37" i="31"/>
  <c r="AA38" i="31"/>
  <c r="Y34" i="31"/>
  <c r="Y26" i="31"/>
  <c r="Y20" i="31"/>
  <c r="Y37" i="31"/>
  <c r="Y32" i="31"/>
  <c r="Y29" i="31"/>
  <c r="Y24" i="31"/>
  <c r="Y38" i="31"/>
  <c r="Y30" i="31"/>
  <c r="Y21" i="31"/>
  <c r="Y36" i="31"/>
  <c r="Y33" i="31"/>
  <c r="Y28" i="31"/>
  <c r="Y25" i="31"/>
  <c r="Y22" i="31"/>
  <c r="AI38" i="31"/>
  <c r="AI30" i="31"/>
  <c r="AI22" i="31"/>
  <c r="AI36" i="31"/>
  <c r="AI33" i="31"/>
  <c r="AI28" i="31"/>
  <c r="AI25" i="31"/>
  <c r="AI20" i="31"/>
  <c r="AI34" i="31"/>
  <c r="AI26" i="31"/>
  <c r="AI37" i="31"/>
  <c r="AI32" i="31"/>
  <c r="AI29" i="31"/>
  <c r="AI24" i="31"/>
  <c r="AI21" i="31"/>
  <c r="AG37" i="32"/>
  <c r="AG34" i="32"/>
  <c r="AG28" i="32"/>
  <c r="AG21" i="32"/>
  <c r="AG29" i="32"/>
  <c r="AG26" i="32"/>
  <c r="AG20" i="32"/>
  <c r="AG33" i="32"/>
  <c r="AG30" i="32"/>
  <c r="AG24" i="32"/>
  <c r="AG38" i="32"/>
  <c r="AG32" i="32"/>
  <c r="AG25" i="32"/>
  <c r="AG22" i="32"/>
  <c r="AG36" i="32"/>
  <c r="Y38" i="32"/>
  <c r="Y32" i="32"/>
  <c r="Y25" i="32"/>
  <c r="Y21" i="32"/>
  <c r="Y33" i="32"/>
  <c r="Y30" i="32"/>
  <c r="Y24" i="32"/>
  <c r="Y37" i="32"/>
  <c r="Y34" i="32"/>
  <c r="Y28" i="32"/>
  <c r="Y22" i="32"/>
  <c r="Y36" i="32"/>
  <c r="Y29" i="32"/>
  <c r="Y26" i="32"/>
  <c r="Y20" i="32"/>
  <c r="J33" i="34"/>
  <c r="F35" i="35"/>
  <c r="G35" i="35" s="1"/>
  <c r="L31" i="34"/>
  <c r="F25" i="34"/>
  <c r="G25" i="34" s="1"/>
  <c r="O21" i="33"/>
  <c r="F33" i="34"/>
  <c r="G33" i="34" s="1"/>
  <c r="L23" i="34"/>
  <c r="N23" i="34"/>
  <c r="O23" i="34" s="1"/>
  <c r="O35" i="34"/>
  <c r="N29" i="35"/>
  <c r="O29" i="35" s="1"/>
  <c r="N25" i="35"/>
  <c r="O25" i="35" s="1"/>
  <c r="N23" i="35"/>
  <c r="O23" i="35" s="1"/>
  <c r="L23" i="35"/>
  <c r="N33" i="35"/>
  <c r="O33" i="35" s="1"/>
  <c r="L32" i="31"/>
  <c r="N32" i="31"/>
  <c r="M32" i="31"/>
  <c r="L33" i="31"/>
  <c r="M33" i="31"/>
  <c r="N33" i="31"/>
  <c r="N21" i="31"/>
  <c r="L21" i="31"/>
  <c r="M21" i="31"/>
  <c r="N37" i="31"/>
  <c r="L37" i="31"/>
  <c r="M37" i="31"/>
  <c r="N20" i="31"/>
  <c r="L20" i="31"/>
  <c r="M20" i="31"/>
  <c r="L28" i="31"/>
  <c r="N28" i="31"/>
  <c r="M28" i="31"/>
  <c r="N38" i="31"/>
  <c r="L38" i="31"/>
  <c r="M38" i="31"/>
  <c r="K35" i="35"/>
  <c r="L24" i="31"/>
  <c r="M24" i="31"/>
  <c r="N24" i="31"/>
  <c r="M29" i="31"/>
  <c r="L29" i="31"/>
  <c r="N29" i="31"/>
  <c r="N34" i="31"/>
  <c r="L34" i="31"/>
  <c r="M34" i="31"/>
  <c r="L22" i="31"/>
  <c r="N22" i="31"/>
  <c r="M22" i="31"/>
  <c r="N25" i="31"/>
  <c r="L25" i="31"/>
  <c r="M25" i="31"/>
  <c r="N30" i="31"/>
  <c r="L30" i="31"/>
  <c r="M30" i="31"/>
  <c r="M36" i="31"/>
  <c r="N36" i="31"/>
  <c r="L36" i="31"/>
  <c r="X36" i="31"/>
  <c r="L26" i="31"/>
  <c r="M26" i="31"/>
  <c r="N26" i="31"/>
  <c r="M20" i="32"/>
  <c r="N20" i="32"/>
  <c r="L20" i="32"/>
  <c r="M30" i="32"/>
  <c r="L30" i="32"/>
  <c r="N30" i="32"/>
  <c r="M36" i="32"/>
  <c r="L36" i="32"/>
  <c r="N36" i="32"/>
  <c r="X36" i="32"/>
  <c r="M21" i="32"/>
  <c r="N21" i="32"/>
  <c r="L21" i="32"/>
  <c r="N26" i="32"/>
  <c r="L26" i="32"/>
  <c r="M26" i="32"/>
  <c r="M32" i="32"/>
  <c r="L32" i="32"/>
  <c r="N32" i="32"/>
  <c r="N37" i="32"/>
  <c r="M37" i="32"/>
  <c r="L37" i="32"/>
  <c r="AF25" i="32"/>
  <c r="N25" i="32"/>
  <c r="L25" i="32"/>
  <c r="M25" i="32"/>
  <c r="N22" i="32"/>
  <c r="L22" i="32"/>
  <c r="M22" i="32"/>
  <c r="N28" i="32"/>
  <c r="M28" i="32"/>
  <c r="L28" i="32"/>
  <c r="M33" i="32"/>
  <c r="L33" i="32"/>
  <c r="N33" i="32"/>
  <c r="N38" i="32"/>
  <c r="L38" i="32"/>
  <c r="M38" i="32"/>
  <c r="L24" i="32"/>
  <c r="N24" i="32"/>
  <c r="M24" i="32"/>
  <c r="M29" i="32"/>
  <c r="N29" i="32"/>
  <c r="L29" i="32"/>
  <c r="M34" i="32"/>
  <c r="N34" i="32"/>
  <c r="L34" i="32"/>
  <c r="AA29" i="31"/>
  <c r="AA33" i="31"/>
  <c r="AE29" i="32"/>
  <c r="AA24" i="31"/>
  <c r="AA28" i="31"/>
  <c r="AE38" i="32"/>
  <c r="L29" i="34"/>
  <c r="K27" i="35"/>
  <c r="G27" i="35"/>
  <c r="K27" i="34"/>
  <c r="G27" i="34"/>
  <c r="K33" i="34"/>
  <c r="N33" i="34" s="1"/>
  <c r="K25" i="34"/>
  <c r="N25" i="34" s="1"/>
  <c r="I179" i="2"/>
  <c r="J179" i="2" s="1"/>
  <c r="I107" i="2"/>
  <c r="J107" i="2" s="1"/>
  <c r="I117" i="2"/>
  <c r="J117" i="2" s="1"/>
  <c r="Z186" i="2"/>
  <c r="I178" i="2"/>
  <c r="J178" i="2" s="1"/>
  <c r="I105" i="2"/>
  <c r="J105" i="2" s="1"/>
  <c r="I111" i="2"/>
  <c r="J111" i="2" s="1"/>
  <c r="AK37" i="31"/>
  <c r="AG22" i="31"/>
  <c r="W32" i="31"/>
  <c r="AE24" i="32"/>
  <c r="W26" i="31"/>
  <c r="W38" i="31"/>
  <c r="W28" i="31"/>
  <c r="W33" i="31"/>
  <c r="W37" i="31"/>
  <c r="AH24" i="32"/>
  <c r="X26" i="32"/>
  <c r="AH20" i="32"/>
  <c r="AH30" i="32"/>
  <c r="X37" i="32"/>
  <c r="AH36" i="32"/>
  <c r="AH22" i="32"/>
  <c r="X33" i="32"/>
  <c r="AF22" i="32"/>
  <c r="AF30" i="32"/>
  <c r="AF36" i="32"/>
  <c r="U25" i="33"/>
  <c r="X25" i="33" s="1"/>
  <c r="C25" i="33" s="1"/>
  <c r="K25" i="33" s="1"/>
  <c r="AA35" i="33"/>
  <c r="AD35" i="33" s="1"/>
  <c r="AA31" i="33"/>
  <c r="AD31" i="33" s="1"/>
  <c r="AA29" i="33"/>
  <c r="AD29" i="33" s="1"/>
  <c r="AA27" i="33"/>
  <c r="AD27" i="33" s="1"/>
  <c r="AA23" i="33"/>
  <c r="AD23" i="33" s="1"/>
  <c r="AA33" i="33"/>
  <c r="AD33" i="33" s="1"/>
  <c r="AA25" i="33"/>
  <c r="AD25" i="33" s="1"/>
  <c r="U35" i="33"/>
  <c r="X35" i="33" s="1"/>
  <c r="U31" i="33"/>
  <c r="X31" i="33" s="1"/>
  <c r="U29" i="33"/>
  <c r="X29" i="33" s="1"/>
  <c r="U27" i="33"/>
  <c r="X27" i="33" s="1"/>
  <c r="U23" i="33"/>
  <c r="X23" i="33" s="1"/>
  <c r="U33" i="33"/>
  <c r="X33" i="33" s="1"/>
  <c r="AE28" i="32"/>
  <c r="AH25" i="32"/>
  <c r="AH33" i="32"/>
  <c r="AH34" i="32"/>
  <c r="AH38" i="32"/>
  <c r="AH21" i="32"/>
  <c r="AH28" i="32"/>
  <c r="AH29" i="32"/>
  <c r="X38" i="32"/>
  <c r="AF37" i="32"/>
  <c r="X32" i="32"/>
  <c r="AF32" i="32"/>
  <c r="AF28" i="32"/>
  <c r="X28" i="32"/>
  <c r="AF26" i="32"/>
  <c r="X20" i="32"/>
  <c r="W37" i="32"/>
  <c r="W32" i="32"/>
  <c r="W26" i="32"/>
  <c r="W36" i="32"/>
  <c r="Z21" i="32"/>
  <c r="W28" i="32"/>
  <c r="Z34" i="32"/>
  <c r="X24" i="32"/>
  <c r="Z38" i="32"/>
  <c r="Z33" i="32"/>
  <c r="Z28" i="32"/>
  <c r="Z37" i="32"/>
  <c r="W24" i="32"/>
  <c r="W25" i="32"/>
  <c r="W29" i="32"/>
  <c r="W30" i="32"/>
  <c r="AE36" i="32"/>
  <c r="AE30" i="32"/>
  <c r="AE25" i="32"/>
  <c r="AE34" i="32"/>
  <c r="W21" i="32"/>
  <c r="Z22" i="32"/>
  <c r="X29" i="32"/>
  <c r="W38" i="32"/>
  <c r="AF34" i="32"/>
  <c r="AF29" i="32"/>
  <c r="AF24" i="32"/>
  <c r="AF33" i="32"/>
  <c r="AF38" i="32"/>
  <c r="AF20" i="32"/>
  <c r="X21" i="32"/>
  <c r="AE21" i="32"/>
  <c r="W22" i="32"/>
  <c r="Z24" i="32"/>
  <c r="Z26" i="32"/>
  <c r="Z29" i="32"/>
  <c r="Z30" i="32"/>
  <c r="Z32" i="32"/>
  <c r="AE33" i="32"/>
  <c r="X34" i="32"/>
  <c r="Z20" i="32"/>
  <c r="AF21" i="32"/>
  <c r="X22" i="32"/>
  <c r="AE22" i="32"/>
  <c r="AE26" i="32"/>
  <c r="AE32" i="32"/>
  <c r="W33" i="32"/>
  <c r="W34" i="32"/>
  <c r="Z36" i="32"/>
  <c r="X25" i="32"/>
  <c r="AH26" i="32"/>
  <c r="X30" i="32"/>
  <c r="AH32" i="32"/>
  <c r="X30" i="31"/>
  <c r="X32" i="31"/>
  <c r="X25" i="31"/>
  <c r="X26" i="31"/>
  <c r="AH38" i="31"/>
  <c r="AH33" i="31"/>
  <c r="AH28" i="31"/>
  <c r="AH37" i="31"/>
  <c r="AH32" i="31"/>
  <c r="AH26" i="31"/>
  <c r="AH22" i="31"/>
  <c r="AH21" i="31"/>
  <c r="AH20" i="31"/>
  <c r="AG34" i="31"/>
  <c r="AG29" i="31"/>
  <c r="AG24" i="31"/>
  <c r="AG38" i="31"/>
  <c r="AG33" i="31"/>
  <c r="AG28" i="31"/>
  <c r="AG37" i="31"/>
  <c r="AK22" i="31"/>
  <c r="AG25" i="31"/>
  <c r="AG26" i="31"/>
  <c r="AK28" i="31"/>
  <c r="AG30" i="31"/>
  <c r="AG32" i="31"/>
  <c r="AG36" i="31"/>
  <c r="X34" i="31"/>
  <c r="X29" i="31"/>
  <c r="X24" i="31"/>
  <c r="X22" i="31"/>
  <c r="X21" i="31"/>
  <c r="X20" i="31"/>
  <c r="X37" i="31"/>
  <c r="X38" i="31"/>
  <c r="X33" i="31"/>
  <c r="X28" i="31"/>
  <c r="AK36" i="31"/>
  <c r="AK30" i="31"/>
  <c r="AK25" i="31"/>
  <c r="AK34" i="31"/>
  <c r="AK29" i="31"/>
  <c r="AK24" i="31"/>
  <c r="AK38" i="31"/>
  <c r="AK21" i="31"/>
  <c r="AH24" i="31"/>
  <c r="AH25" i="31"/>
  <c r="AK26" i="31"/>
  <c r="AH29" i="31"/>
  <c r="AH30" i="31"/>
  <c r="AK32" i="31"/>
  <c r="AH34" i="31"/>
  <c r="AH36" i="31"/>
  <c r="AA20" i="31"/>
  <c r="W21" i="31"/>
  <c r="AA21" i="31"/>
  <c r="W22" i="31"/>
  <c r="AA22" i="31"/>
  <c r="W24" i="31"/>
  <c r="AA25" i="31"/>
  <c r="W29" i="31"/>
  <c r="AA30" i="31"/>
  <c r="W34" i="31"/>
  <c r="W25" i="31"/>
  <c r="AA26" i="31"/>
  <c r="W30" i="31"/>
  <c r="AA32" i="31"/>
  <c r="Z21" i="27"/>
  <c r="Z33" i="27" s="1"/>
  <c r="Z21" i="28"/>
  <c r="Z29" i="28" s="1"/>
  <c r="U21" i="28"/>
  <c r="U35" i="28" s="1"/>
  <c r="U21" i="27"/>
  <c r="U35" i="27" s="1"/>
  <c r="AA18" i="28"/>
  <c r="V18" i="28"/>
  <c r="V21" i="28" s="1"/>
  <c r="AA18" i="27"/>
  <c r="AA31" i="27" s="1"/>
  <c r="V18" i="27"/>
  <c r="Y27" i="4"/>
  <c r="AK17" i="26"/>
  <c r="AK34" i="26" s="1"/>
  <c r="AJ17" i="26"/>
  <c r="AI17" i="26"/>
  <c r="AH17" i="26"/>
  <c r="AA17" i="26"/>
  <c r="AA22" i="26" s="1"/>
  <c r="Z17" i="26"/>
  <c r="Y17" i="26"/>
  <c r="X17" i="26"/>
  <c r="AG37" i="26"/>
  <c r="W22" i="26"/>
  <c r="Z18" i="4"/>
  <c r="Z21" i="4" s="1"/>
  <c r="U21" i="4"/>
  <c r="V18" i="4"/>
  <c r="V35" i="4" s="1"/>
  <c r="Y21" i="4"/>
  <c r="Y23" i="4"/>
  <c r="Y25" i="4"/>
  <c r="Y29" i="4"/>
  <c r="Y31" i="4"/>
  <c r="Y33" i="4"/>
  <c r="Y35" i="4"/>
  <c r="AK17" i="25"/>
  <c r="AJ17" i="25"/>
  <c r="AI17" i="25"/>
  <c r="AH17" i="25"/>
  <c r="AA17" i="25"/>
  <c r="Z17" i="25"/>
  <c r="Y17" i="25"/>
  <c r="X17" i="25"/>
  <c r="X20" i="25" s="1"/>
  <c r="AI36" i="32" l="1"/>
  <c r="AI30" i="32"/>
  <c r="AI33" i="32"/>
  <c r="AA21" i="32"/>
  <c r="AI22" i="32"/>
  <c r="AI20" i="32"/>
  <c r="AI21" i="32"/>
  <c r="AI34" i="32"/>
  <c r="AI26" i="32"/>
  <c r="AA22" i="32"/>
  <c r="AA29" i="32"/>
  <c r="AA26" i="32"/>
  <c r="AI25" i="32"/>
  <c r="H25" i="32" s="1"/>
  <c r="AA34" i="32"/>
  <c r="AA20" i="32"/>
  <c r="AI28" i="32"/>
  <c r="H28" i="32" s="1"/>
  <c r="AA25" i="32"/>
  <c r="AA32" i="32"/>
  <c r="AI24" i="32"/>
  <c r="H24" i="32" s="1"/>
  <c r="AI38" i="32"/>
  <c r="H38" i="32" s="1"/>
  <c r="AA24" i="32"/>
  <c r="AA37" i="32"/>
  <c r="G37" i="32" s="1"/>
  <c r="O37" i="32" s="1"/>
  <c r="AA38" i="32"/>
  <c r="AA28" i="32"/>
  <c r="AA33" i="32"/>
  <c r="G33" i="32" s="1"/>
  <c r="O33" i="32" s="1"/>
  <c r="AI29" i="32"/>
  <c r="AI37" i="32"/>
  <c r="H37" i="32" s="1"/>
  <c r="AI32" i="32"/>
  <c r="AA30" i="32"/>
  <c r="AA36" i="32"/>
  <c r="Y33" i="26"/>
  <c r="Y30" i="26"/>
  <c r="Y25" i="26"/>
  <c r="Y22" i="26"/>
  <c r="Y34" i="26"/>
  <c r="Y28" i="26"/>
  <c r="Y20" i="26"/>
  <c r="Y37" i="26"/>
  <c r="Y32" i="26"/>
  <c r="Y24" i="26"/>
  <c r="Y38" i="26"/>
  <c r="Y36" i="26"/>
  <c r="Y29" i="26"/>
  <c r="Y26" i="26"/>
  <c r="Y21" i="26"/>
  <c r="AI37" i="26"/>
  <c r="AI34" i="26"/>
  <c r="AI29" i="26"/>
  <c r="AI26" i="26"/>
  <c r="AI21" i="26"/>
  <c r="AI32" i="26"/>
  <c r="AI36" i="26"/>
  <c r="AI28" i="26"/>
  <c r="AI20" i="26"/>
  <c r="AI24" i="26"/>
  <c r="AI38" i="26"/>
  <c r="AI33" i="26"/>
  <c r="AI30" i="26"/>
  <c r="AI25" i="26"/>
  <c r="AI22" i="26"/>
  <c r="Z32" i="26"/>
  <c r="Z38" i="26"/>
  <c r="Z24" i="26"/>
  <c r="Z36" i="26"/>
  <c r="Z30" i="26"/>
  <c r="Z25" i="26"/>
  <c r="Z22" i="26"/>
  <c r="Z26" i="26"/>
  <c r="Z33" i="26"/>
  <c r="Z37" i="26"/>
  <c r="Z28" i="26"/>
  <c r="Z20" i="26"/>
  <c r="Z34" i="26"/>
  <c r="Z29" i="26"/>
  <c r="Z21" i="26"/>
  <c r="AJ36" i="26"/>
  <c r="AJ28" i="26"/>
  <c r="AJ20" i="26"/>
  <c r="AJ25" i="26"/>
  <c r="AJ22" i="26"/>
  <c r="AJ37" i="26"/>
  <c r="AJ34" i="26"/>
  <c r="AJ29" i="26"/>
  <c r="AJ26" i="26"/>
  <c r="AJ21" i="26"/>
  <c r="AJ33" i="26"/>
  <c r="AJ30" i="26"/>
  <c r="AJ32" i="26"/>
  <c r="AJ24" i="26"/>
  <c r="AJ38" i="26"/>
  <c r="AI37" i="25"/>
  <c r="AI34" i="25"/>
  <c r="AI29" i="25"/>
  <c r="AI26" i="25"/>
  <c r="AI21" i="25"/>
  <c r="AI33" i="25"/>
  <c r="AI25" i="25"/>
  <c r="AI22" i="25"/>
  <c r="AI32" i="25"/>
  <c r="AI24" i="25"/>
  <c r="AI36" i="25"/>
  <c r="AI28" i="25"/>
  <c r="AI20" i="25"/>
  <c r="AI38" i="25"/>
  <c r="AI30" i="25"/>
  <c r="Z32" i="25"/>
  <c r="Z24" i="25"/>
  <c r="Z36" i="25"/>
  <c r="Z20" i="25"/>
  <c r="Z29" i="25"/>
  <c r="Z26" i="25"/>
  <c r="Z38" i="25"/>
  <c r="Z33" i="25"/>
  <c r="Z30" i="25"/>
  <c r="Z25" i="25"/>
  <c r="Z22" i="25"/>
  <c r="Z28" i="25"/>
  <c r="Z37" i="25"/>
  <c r="Z34" i="25"/>
  <c r="Z21" i="25"/>
  <c r="AJ36" i="25"/>
  <c r="AJ28" i="25"/>
  <c r="AJ20" i="25"/>
  <c r="AJ32" i="25"/>
  <c r="AJ33" i="25"/>
  <c r="AJ30" i="25"/>
  <c r="AJ22" i="25"/>
  <c r="AJ37" i="25"/>
  <c r="AJ34" i="25"/>
  <c r="AJ29" i="25"/>
  <c r="AJ26" i="25"/>
  <c r="AJ21" i="25"/>
  <c r="AJ24" i="25"/>
  <c r="AJ38" i="25"/>
  <c r="AJ25" i="25"/>
  <c r="Y38" i="25"/>
  <c r="Y33" i="25"/>
  <c r="Y30" i="25"/>
  <c r="Y25" i="25"/>
  <c r="Y22" i="25"/>
  <c r="Y29" i="25"/>
  <c r="Y26" i="25"/>
  <c r="Y36" i="25"/>
  <c r="Y20" i="25"/>
  <c r="Y32" i="25"/>
  <c r="Y24" i="25"/>
  <c r="Y37" i="25"/>
  <c r="Y34" i="25"/>
  <c r="Y21" i="25"/>
  <c r="Y28" i="25"/>
  <c r="AA21" i="4"/>
  <c r="D21" i="4" s="1"/>
  <c r="AA37" i="25"/>
  <c r="AA34" i="25"/>
  <c r="AA28" i="25"/>
  <c r="AA21" i="25"/>
  <c r="AA38" i="25"/>
  <c r="AA32" i="25"/>
  <c r="AA25" i="25"/>
  <c r="AA22" i="25"/>
  <c r="AA36" i="25"/>
  <c r="AA29" i="25"/>
  <c r="AA26" i="25"/>
  <c r="AA20" i="25"/>
  <c r="AA33" i="25"/>
  <c r="AA30" i="25"/>
  <c r="AA24" i="25"/>
  <c r="U25" i="4"/>
  <c r="L27" i="34"/>
  <c r="N27" i="34"/>
  <c r="O27" i="34" s="1"/>
  <c r="O29" i="34"/>
  <c r="L27" i="35"/>
  <c r="N27" i="35"/>
  <c r="O27" i="35" s="1"/>
  <c r="L35" i="35"/>
  <c r="N35" i="35"/>
  <c r="O35" i="35" s="1"/>
  <c r="AH20" i="25"/>
  <c r="AH32" i="25"/>
  <c r="AK20" i="25"/>
  <c r="AK32" i="25"/>
  <c r="Z23" i="4"/>
  <c r="AA23" i="4" s="1"/>
  <c r="D23" i="4" s="1"/>
  <c r="Z35" i="4"/>
  <c r="AA35" i="4" s="1"/>
  <c r="D35" i="4" s="1"/>
  <c r="Z27" i="4"/>
  <c r="AA27" i="4" s="1"/>
  <c r="D27" i="4" s="1"/>
  <c r="Z33" i="4"/>
  <c r="AA33" i="4" s="1"/>
  <c r="D33" i="4" s="1"/>
  <c r="Z25" i="4"/>
  <c r="AA25" i="4" s="1"/>
  <c r="D25" i="4" s="1"/>
  <c r="Z31" i="4"/>
  <c r="AA31" i="4" s="1"/>
  <c r="D31" i="4" s="1"/>
  <c r="Z29" i="4"/>
  <c r="AA29" i="4" s="1"/>
  <c r="D29" i="4" s="1"/>
  <c r="Z117" i="2"/>
  <c r="K117" i="2" s="1"/>
  <c r="L25" i="34"/>
  <c r="L33" i="34"/>
  <c r="Y105" i="2"/>
  <c r="Z111" i="2"/>
  <c r="K111" i="2" s="1"/>
  <c r="Z179" i="2"/>
  <c r="Z185" i="2"/>
  <c r="I185" i="2"/>
  <c r="J185" i="2" s="1"/>
  <c r="Y181" i="2"/>
  <c r="I181" i="2"/>
  <c r="J181" i="2" s="1"/>
  <c r="Z125" i="2"/>
  <c r="I125" i="2"/>
  <c r="J125" i="2" s="1"/>
  <c r="Z178" i="2"/>
  <c r="Z109" i="2"/>
  <c r="I109" i="2"/>
  <c r="J109" i="2" s="1"/>
  <c r="Y107" i="2"/>
  <c r="Y180" i="2"/>
  <c r="I180" i="2"/>
  <c r="J180" i="2" s="1"/>
  <c r="Z115" i="2"/>
  <c r="I115" i="2"/>
  <c r="J115" i="2" s="1"/>
  <c r="Z114" i="2"/>
  <c r="I114" i="2"/>
  <c r="J114" i="2" s="1"/>
  <c r="Z181" i="2"/>
  <c r="Y116" i="2"/>
  <c r="I116" i="2"/>
  <c r="J116" i="2" s="1"/>
  <c r="Y111" i="2"/>
  <c r="Y106" i="2"/>
  <c r="I106" i="2"/>
  <c r="J106" i="2" s="1"/>
  <c r="Z105" i="2"/>
  <c r="Y117" i="2"/>
  <c r="Z107" i="2"/>
  <c r="Y179" i="2"/>
  <c r="Z110" i="2"/>
  <c r="I110" i="2"/>
  <c r="J110" i="2" s="1"/>
  <c r="Z104" i="2"/>
  <c r="I104" i="2"/>
  <c r="J104" i="2" s="1"/>
  <c r="Y108" i="2"/>
  <c r="I108" i="2"/>
  <c r="J108" i="2" s="1"/>
  <c r="Y178" i="2"/>
  <c r="Y186" i="2"/>
  <c r="I186" i="2"/>
  <c r="J186" i="2" s="1"/>
  <c r="Z180" i="2"/>
  <c r="Y115" i="2"/>
  <c r="Y114" i="2"/>
  <c r="Y110" i="2"/>
  <c r="Y109" i="2"/>
  <c r="Z116" i="2"/>
  <c r="Y125" i="2"/>
  <c r="Z106" i="2"/>
  <c r="Y185" i="2"/>
  <c r="Y104" i="2"/>
  <c r="Z108" i="2"/>
  <c r="AB36" i="31"/>
  <c r="AB38" i="31"/>
  <c r="G38" i="31" s="1"/>
  <c r="O38" i="31" s="1"/>
  <c r="AL20" i="31"/>
  <c r="U29" i="28"/>
  <c r="Z29" i="27"/>
  <c r="AL37" i="31"/>
  <c r="H37" i="31" s="1"/>
  <c r="AL21" i="31"/>
  <c r="H21" i="31" s="1"/>
  <c r="AH36" i="26"/>
  <c r="H36" i="32"/>
  <c r="D27" i="33"/>
  <c r="D29" i="33"/>
  <c r="D31" i="33"/>
  <c r="D23" i="33"/>
  <c r="D35" i="33"/>
  <c r="C27" i="33"/>
  <c r="K27" i="33" s="1"/>
  <c r="C29" i="33"/>
  <c r="K29" i="33" s="1"/>
  <c r="C21" i="33"/>
  <c r="C23" i="33"/>
  <c r="K23" i="33" s="1"/>
  <c r="H30" i="32"/>
  <c r="AL38" i="31"/>
  <c r="AL22" i="31"/>
  <c r="H22" i="31" s="1"/>
  <c r="AB34" i="31"/>
  <c r="G34" i="31" s="1"/>
  <c r="O34" i="31" s="1"/>
  <c r="AB22" i="31"/>
  <c r="AB33" i="31"/>
  <c r="AB29" i="31"/>
  <c r="G29" i="31" s="1"/>
  <c r="O29" i="31" s="1"/>
  <c r="AB20" i="31"/>
  <c r="G20" i="31" s="1"/>
  <c r="O20" i="31" s="1"/>
  <c r="AB26" i="31"/>
  <c r="G26" i="31" s="1"/>
  <c r="O26" i="31" s="1"/>
  <c r="AB32" i="31"/>
  <c r="G32" i="31" s="1"/>
  <c r="O32" i="31" s="1"/>
  <c r="AB24" i="31"/>
  <c r="G24" i="31" s="1"/>
  <c r="O24" i="31" s="1"/>
  <c r="AL36" i="31"/>
  <c r="AL24" i="31"/>
  <c r="AB30" i="31"/>
  <c r="AB21" i="31"/>
  <c r="AB37" i="31"/>
  <c r="AL32" i="31"/>
  <c r="AL26" i="31"/>
  <c r="AL28" i="31"/>
  <c r="AL29" i="31"/>
  <c r="AB25" i="31"/>
  <c r="AB28" i="31"/>
  <c r="AL30" i="31"/>
  <c r="AL25" i="31"/>
  <c r="AL33" i="31"/>
  <c r="AL34" i="31"/>
  <c r="U33" i="28"/>
  <c r="U23" i="28"/>
  <c r="AA21" i="26"/>
  <c r="AG24" i="26"/>
  <c r="Z31" i="27"/>
  <c r="AB31" i="27" s="1"/>
  <c r="V27" i="4"/>
  <c r="Z25" i="27"/>
  <c r="Z35" i="27"/>
  <c r="Z23" i="27"/>
  <c r="V31" i="28"/>
  <c r="V33" i="4"/>
  <c r="Z27" i="27"/>
  <c r="AA27" i="27"/>
  <c r="Z27" i="28"/>
  <c r="AA33" i="27"/>
  <c r="AB33" i="27" s="1"/>
  <c r="U27" i="4"/>
  <c r="U29" i="27"/>
  <c r="AA21" i="27"/>
  <c r="AA35" i="27"/>
  <c r="V33" i="27"/>
  <c r="V31" i="27"/>
  <c r="V25" i="27"/>
  <c r="V21" i="27"/>
  <c r="W21" i="27" s="1"/>
  <c r="AG36" i="26"/>
  <c r="AG38" i="26"/>
  <c r="AA20" i="26"/>
  <c r="AA30" i="26"/>
  <c r="V23" i="27"/>
  <c r="AG33" i="26"/>
  <c r="AG34" i="26"/>
  <c r="V27" i="27"/>
  <c r="Z31" i="28"/>
  <c r="Z25" i="28"/>
  <c r="Z33" i="28"/>
  <c r="V35" i="27"/>
  <c r="W35" i="27" s="1"/>
  <c r="C35" i="27" s="1"/>
  <c r="K35" i="27" s="1"/>
  <c r="AG30" i="26"/>
  <c r="V31" i="4"/>
  <c r="V23" i="4"/>
  <c r="V29" i="4"/>
  <c r="V21" i="4"/>
  <c r="W21" i="4" s="1"/>
  <c r="AG25" i="26"/>
  <c r="AG28" i="26"/>
  <c r="AG29" i="26"/>
  <c r="V29" i="27"/>
  <c r="V25" i="4"/>
  <c r="Z23" i="28"/>
  <c r="Z35" i="28"/>
  <c r="AH20" i="26"/>
  <c r="AH29" i="26"/>
  <c r="AH37" i="26"/>
  <c r="AA23" i="27"/>
  <c r="AA29" i="27"/>
  <c r="AH26" i="26"/>
  <c r="AA25" i="27"/>
  <c r="AA35" i="28"/>
  <c r="AA29" i="28"/>
  <c r="AB29" i="28" s="1"/>
  <c r="AA23" i="28"/>
  <c r="AA33" i="28"/>
  <c r="AA27" i="28"/>
  <c r="AA21" i="28"/>
  <c r="AB21" i="28" s="1"/>
  <c r="V35" i="28"/>
  <c r="W35" i="28" s="1"/>
  <c r="V29" i="28"/>
  <c r="V23" i="28"/>
  <c r="V33" i="28"/>
  <c r="V27" i="28"/>
  <c r="AA25" i="28"/>
  <c r="AA31" i="28"/>
  <c r="V25" i="28"/>
  <c r="W21" i="28"/>
  <c r="U25" i="28"/>
  <c r="U31" i="28"/>
  <c r="U27" i="28"/>
  <c r="U33" i="27"/>
  <c r="U27" i="27"/>
  <c r="U25" i="27"/>
  <c r="U31" i="27"/>
  <c r="U23" i="27"/>
  <c r="AK29" i="26"/>
  <c r="AA37" i="26"/>
  <c r="AK36" i="26"/>
  <c r="AH21" i="26"/>
  <c r="AK24" i="26"/>
  <c r="AA25" i="26"/>
  <c r="AA36" i="26"/>
  <c r="AH32" i="26"/>
  <c r="AH34" i="26"/>
  <c r="AH24" i="26"/>
  <c r="W36" i="26"/>
  <c r="W30" i="26"/>
  <c r="W25" i="26"/>
  <c r="W38" i="26"/>
  <c r="W33" i="26"/>
  <c r="W28" i="26"/>
  <c r="W37" i="26"/>
  <c r="W32" i="26"/>
  <c r="W26" i="26"/>
  <c r="W24" i="26"/>
  <c r="W29" i="26"/>
  <c r="W21" i="26"/>
  <c r="AH22" i="26"/>
  <c r="W34" i="26"/>
  <c r="X38" i="26"/>
  <c r="X37" i="26"/>
  <c r="X36" i="26"/>
  <c r="X34" i="26"/>
  <c r="X33" i="26"/>
  <c r="X32" i="26"/>
  <c r="X30" i="26"/>
  <c r="X29" i="26"/>
  <c r="X28" i="26"/>
  <c r="X26" i="26"/>
  <c r="X25" i="26"/>
  <c r="X24" i="26"/>
  <c r="AK26" i="26"/>
  <c r="AA28" i="26"/>
  <c r="AK32" i="26"/>
  <c r="AA33" i="26"/>
  <c r="AK37" i="26"/>
  <c r="AA38" i="26"/>
  <c r="AK20" i="26"/>
  <c r="AG21" i="26"/>
  <c r="AK21" i="26"/>
  <c r="AG22" i="26"/>
  <c r="AK22" i="26"/>
  <c r="AA24" i="26"/>
  <c r="AH25" i="26"/>
  <c r="AG26" i="26"/>
  <c r="AK28" i="26"/>
  <c r="AA29" i="26"/>
  <c r="AH30" i="26"/>
  <c r="AG32" i="26"/>
  <c r="AK33" i="26"/>
  <c r="AA34" i="26"/>
  <c r="AK38" i="26"/>
  <c r="X20" i="26"/>
  <c r="X21" i="26"/>
  <c r="X22" i="26"/>
  <c r="AK25" i="26"/>
  <c r="AA26" i="26"/>
  <c r="AH28" i="26"/>
  <c r="AK30" i="26"/>
  <c r="AA32" i="26"/>
  <c r="AH33" i="26"/>
  <c r="AH38" i="26"/>
  <c r="U35" i="4"/>
  <c r="U33" i="4"/>
  <c r="U31" i="4"/>
  <c r="U29" i="4"/>
  <c r="U23" i="4"/>
  <c r="W25" i="4" l="1"/>
  <c r="C25" i="4" s="1"/>
  <c r="K25" i="4" s="1"/>
  <c r="C21" i="4"/>
  <c r="K21" i="4" s="1"/>
  <c r="L21" i="4"/>
  <c r="F27" i="33"/>
  <c r="G27" i="33" s="1"/>
  <c r="F29" i="33"/>
  <c r="G29" i="33" s="1"/>
  <c r="F25" i="4"/>
  <c r="G25" i="4" s="1"/>
  <c r="K21" i="33"/>
  <c r="F21" i="33"/>
  <c r="G21" i="33" s="1"/>
  <c r="F23" i="33"/>
  <c r="G23" i="33" s="1"/>
  <c r="J37" i="32"/>
  <c r="K37" i="32" s="1"/>
  <c r="O33" i="34"/>
  <c r="O25" i="34"/>
  <c r="N111" i="2"/>
  <c r="O111" i="2" s="1"/>
  <c r="L111" i="2"/>
  <c r="L117" i="2"/>
  <c r="N117" i="2"/>
  <c r="O117" i="2" s="1"/>
  <c r="L27" i="4"/>
  <c r="O27" i="4" s="1"/>
  <c r="AB20" i="25"/>
  <c r="K105" i="2"/>
  <c r="K178" i="2"/>
  <c r="K107" i="2"/>
  <c r="K179" i="2"/>
  <c r="H20" i="31"/>
  <c r="G36" i="31"/>
  <c r="O36" i="31" s="1"/>
  <c r="K110" i="2"/>
  <c r="K116" i="2"/>
  <c r="K115" i="2"/>
  <c r="K181" i="2"/>
  <c r="K109" i="2"/>
  <c r="K108" i="2"/>
  <c r="K104" i="2"/>
  <c r="K114" i="2"/>
  <c r="K180" i="2"/>
  <c r="K186" i="2"/>
  <c r="K106" i="2"/>
  <c r="K125" i="2"/>
  <c r="K185" i="2"/>
  <c r="W29" i="28"/>
  <c r="AB29" i="27"/>
  <c r="D29" i="27" s="1"/>
  <c r="W33" i="28"/>
  <c r="C33" i="28" s="1"/>
  <c r="K33" i="28" s="1"/>
  <c r="H38" i="31"/>
  <c r="P22" i="31"/>
  <c r="S22" i="31" s="1"/>
  <c r="G22" i="31"/>
  <c r="O22" i="31" s="1"/>
  <c r="L29" i="33"/>
  <c r="O29" i="33" s="1"/>
  <c r="P29" i="33" s="1"/>
  <c r="P37" i="32"/>
  <c r="S37" i="32" s="1"/>
  <c r="T37" i="32" s="1"/>
  <c r="L27" i="33"/>
  <c r="O27" i="33" s="1"/>
  <c r="L23" i="33"/>
  <c r="O23" i="33" s="1"/>
  <c r="C31" i="33"/>
  <c r="K31" i="33" s="1"/>
  <c r="C35" i="33"/>
  <c r="K35" i="33" s="1"/>
  <c r="D33" i="33"/>
  <c r="D25" i="33"/>
  <c r="C33" i="33"/>
  <c r="K33" i="33" s="1"/>
  <c r="G29" i="32"/>
  <c r="O29" i="32" s="1"/>
  <c r="H20" i="32"/>
  <c r="G26" i="32"/>
  <c r="O26" i="32" s="1"/>
  <c r="H29" i="32"/>
  <c r="G20" i="32"/>
  <c r="O20" i="32" s="1"/>
  <c r="G30" i="32"/>
  <c r="O30" i="32" s="1"/>
  <c r="G34" i="32"/>
  <c r="O34" i="32" s="1"/>
  <c r="H34" i="32"/>
  <c r="G32" i="32"/>
  <c r="O32" i="32" s="1"/>
  <c r="G38" i="32"/>
  <c r="O38" i="32" s="1"/>
  <c r="G21" i="32"/>
  <c r="O21" i="32" s="1"/>
  <c r="H26" i="32"/>
  <c r="G36" i="32"/>
  <c r="O36" i="32" s="1"/>
  <c r="H33" i="32"/>
  <c r="G25" i="32"/>
  <c r="O25" i="32" s="1"/>
  <c r="H21" i="32"/>
  <c r="G24" i="32"/>
  <c r="G22" i="32"/>
  <c r="O22" i="32" s="1"/>
  <c r="G28" i="32"/>
  <c r="H22" i="32"/>
  <c r="H32" i="32"/>
  <c r="G33" i="31"/>
  <c r="O33" i="31" s="1"/>
  <c r="H30" i="31"/>
  <c r="H32" i="31"/>
  <c r="H29" i="31"/>
  <c r="J29" i="31" s="1"/>
  <c r="G30" i="31"/>
  <c r="O30" i="31" s="1"/>
  <c r="H33" i="31"/>
  <c r="G25" i="31"/>
  <c r="O25" i="31" s="1"/>
  <c r="H28" i="31"/>
  <c r="G21" i="31"/>
  <c r="P21" i="31"/>
  <c r="S21" i="31" s="1"/>
  <c r="H24" i="31"/>
  <c r="J24" i="31" s="1"/>
  <c r="H34" i="31"/>
  <c r="J34" i="31" s="1"/>
  <c r="G28" i="31"/>
  <c r="O28" i="31" s="1"/>
  <c r="G37" i="31"/>
  <c r="O37" i="31" s="1"/>
  <c r="P37" i="31"/>
  <c r="S37" i="31" s="1"/>
  <c r="H36" i="31"/>
  <c r="H25" i="31"/>
  <c r="H26" i="31"/>
  <c r="J26" i="31" s="1"/>
  <c r="W23" i="28"/>
  <c r="C23" i="28" s="1"/>
  <c r="K23" i="28" s="1"/>
  <c r="W23" i="4"/>
  <c r="AB20" i="26"/>
  <c r="G20" i="26" s="1"/>
  <c r="O20" i="26" s="1"/>
  <c r="AB23" i="27"/>
  <c r="D23" i="27" s="1"/>
  <c r="W33" i="4"/>
  <c r="C33" i="4" s="1"/>
  <c r="K33" i="4" s="1"/>
  <c r="AB25" i="27"/>
  <c r="D25" i="27" s="1"/>
  <c r="W31" i="28"/>
  <c r="C31" i="28" s="1"/>
  <c r="K31" i="28" s="1"/>
  <c r="AB35" i="27"/>
  <c r="D35" i="27" s="1"/>
  <c r="F35" i="27" s="1"/>
  <c r="W33" i="27"/>
  <c r="C33" i="27" s="1"/>
  <c r="K33" i="27" s="1"/>
  <c r="AB31" i="28"/>
  <c r="D31" i="28" s="1"/>
  <c r="AB27" i="27"/>
  <c r="D27" i="27" s="1"/>
  <c r="W27" i="4"/>
  <c r="C27" i="4" s="1"/>
  <c r="K27" i="4" s="1"/>
  <c r="AB23" i="28"/>
  <c r="AB35" i="28"/>
  <c r="W29" i="27"/>
  <c r="AB27" i="28"/>
  <c r="D27" i="28" s="1"/>
  <c r="AB29" i="26"/>
  <c r="AL24" i="26"/>
  <c r="H24" i="26" s="1"/>
  <c r="AL29" i="26"/>
  <c r="AB25" i="28"/>
  <c r="D25" i="28" s="1"/>
  <c r="W25" i="28"/>
  <c r="C25" i="28" s="1"/>
  <c r="K25" i="28" s="1"/>
  <c r="AL20" i="26"/>
  <c r="AL36" i="26"/>
  <c r="AB33" i="28"/>
  <c r="D33" i="28" s="1"/>
  <c r="W27" i="28"/>
  <c r="C35" i="28"/>
  <c r="K35" i="28" s="1"/>
  <c r="D21" i="28"/>
  <c r="D29" i="28"/>
  <c r="C21" i="28"/>
  <c r="K21" i="28" s="1"/>
  <c r="D31" i="27"/>
  <c r="W23" i="27"/>
  <c r="C23" i="27" s="1"/>
  <c r="K23" i="27" s="1"/>
  <c r="W31" i="27"/>
  <c r="C31" i="27" s="1"/>
  <c r="K31" i="27" s="1"/>
  <c r="D33" i="27"/>
  <c r="W27" i="27"/>
  <c r="C27" i="27" s="1"/>
  <c r="K27" i="27" s="1"/>
  <c r="C21" i="27"/>
  <c r="K21" i="27" s="1"/>
  <c r="W25" i="27"/>
  <c r="AL33" i="26"/>
  <c r="AB22" i="26"/>
  <c r="G22" i="26" s="1"/>
  <c r="O22" i="26" s="1"/>
  <c r="AL25" i="26"/>
  <c r="AL21" i="26"/>
  <c r="AL37" i="26"/>
  <c r="AL38" i="26"/>
  <c r="AL30" i="26"/>
  <c r="AL28" i="26"/>
  <c r="AL34" i="26"/>
  <c r="AB21" i="26"/>
  <c r="AL32" i="26"/>
  <c r="AB37" i="26"/>
  <c r="AL26" i="26"/>
  <c r="AL22" i="26"/>
  <c r="AB28" i="26"/>
  <c r="AB25" i="26"/>
  <c r="AB34" i="26"/>
  <c r="AB24" i="26"/>
  <c r="AB26" i="26"/>
  <c r="AB33" i="26"/>
  <c r="AB30" i="26"/>
  <c r="AB32" i="26"/>
  <c r="AB38" i="26"/>
  <c r="AB36" i="26"/>
  <c r="W29" i="4"/>
  <c r="W31" i="4"/>
  <c r="C31" i="4" s="1"/>
  <c r="K31" i="4" s="1"/>
  <c r="W35" i="4"/>
  <c r="J22" i="32" l="1"/>
  <c r="J29" i="32"/>
  <c r="K29" i="32" s="1"/>
  <c r="F21" i="4"/>
  <c r="G21" i="4" s="1"/>
  <c r="J34" i="32"/>
  <c r="K34" i="32" s="1"/>
  <c r="M21" i="4"/>
  <c r="O21" i="4"/>
  <c r="P21" i="4" s="1"/>
  <c r="J21" i="32"/>
  <c r="K21" i="32" s="1"/>
  <c r="J26" i="32"/>
  <c r="K26" i="32" s="1"/>
  <c r="F31" i="28"/>
  <c r="G31" i="28" s="1"/>
  <c r="F33" i="28"/>
  <c r="G33" i="28" s="1"/>
  <c r="J25" i="31"/>
  <c r="K25" i="31" s="1"/>
  <c r="F33" i="27"/>
  <c r="G33" i="27" s="1"/>
  <c r="F27" i="27"/>
  <c r="G27" i="27" s="1"/>
  <c r="F23" i="27"/>
  <c r="G23" i="27" s="1"/>
  <c r="P32" i="32"/>
  <c r="S32" i="32" s="1"/>
  <c r="T32" i="32" s="1"/>
  <c r="J32" i="32"/>
  <c r="K32" i="32" s="1"/>
  <c r="P24" i="32"/>
  <c r="S24" i="32" s="1"/>
  <c r="O24" i="32"/>
  <c r="P33" i="32"/>
  <c r="S33" i="32" s="1"/>
  <c r="T33" i="32" s="1"/>
  <c r="J33" i="32"/>
  <c r="K33" i="32" s="1"/>
  <c r="F33" i="33"/>
  <c r="G33" i="33" s="1"/>
  <c r="J37" i="31"/>
  <c r="K37" i="31" s="1"/>
  <c r="M21" i="33"/>
  <c r="P21" i="33"/>
  <c r="F35" i="33"/>
  <c r="G35" i="33" s="1"/>
  <c r="P36" i="31"/>
  <c r="S36" i="31" s="1"/>
  <c r="T36" i="31" s="1"/>
  <c r="J36" i="31"/>
  <c r="K36" i="31" s="1"/>
  <c r="O21" i="31"/>
  <c r="Q21" i="31" s="1"/>
  <c r="J30" i="31"/>
  <c r="K30" i="31" s="1"/>
  <c r="L25" i="33"/>
  <c r="O25" i="33" s="1"/>
  <c r="P25" i="33" s="1"/>
  <c r="F25" i="33"/>
  <c r="G25" i="33" s="1"/>
  <c r="P38" i="31"/>
  <c r="S38" i="31" s="1"/>
  <c r="T38" i="31" s="1"/>
  <c r="J38" i="31"/>
  <c r="K38" i="31" s="1"/>
  <c r="F31" i="4"/>
  <c r="G31" i="4" s="1"/>
  <c r="J22" i="31"/>
  <c r="K22" i="31" s="1"/>
  <c r="J36" i="32"/>
  <c r="K36" i="32" s="1"/>
  <c r="J38" i="32"/>
  <c r="K38" i="32" s="1"/>
  <c r="J30" i="32"/>
  <c r="K30" i="32" s="1"/>
  <c r="P32" i="31"/>
  <c r="S32" i="31" s="1"/>
  <c r="T32" i="31" s="1"/>
  <c r="J32" i="31"/>
  <c r="K32" i="31" s="1"/>
  <c r="P28" i="32"/>
  <c r="S28" i="32" s="1"/>
  <c r="O28" i="32"/>
  <c r="J28" i="32"/>
  <c r="K28" i="32" s="1"/>
  <c r="F27" i="4"/>
  <c r="F33" i="4"/>
  <c r="G33" i="4" s="1"/>
  <c r="J24" i="32"/>
  <c r="K24" i="32" s="1"/>
  <c r="F31" i="27"/>
  <c r="G31" i="27" s="1"/>
  <c r="F21" i="28"/>
  <c r="G21" i="28" s="1"/>
  <c r="L21" i="28"/>
  <c r="F25" i="28"/>
  <c r="G25" i="28" s="1"/>
  <c r="J28" i="31"/>
  <c r="K28" i="31" s="1"/>
  <c r="P33" i="31"/>
  <c r="S33" i="31" s="1"/>
  <c r="T33" i="31" s="1"/>
  <c r="J33" i="31"/>
  <c r="K33" i="31" s="1"/>
  <c r="J20" i="32"/>
  <c r="K20" i="32" s="1"/>
  <c r="P20" i="32"/>
  <c r="J20" i="31"/>
  <c r="K20" i="31" s="1"/>
  <c r="P20" i="31"/>
  <c r="F31" i="33"/>
  <c r="G31" i="33" s="1"/>
  <c r="J21" i="31"/>
  <c r="K21" i="31" s="1"/>
  <c r="J25" i="32"/>
  <c r="K25" i="32" s="1"/>
  <c r="Q27" i="4"/>
  <c r="N178" i="2"/>
  <c r="O178" i="2" s="1"/>
  <c r="L178" i="2"/>
  <c r="N186" i="2"/>
  <c r="O186" i="2" s="1"/>
  <c r="L186" i="2"/>
  <c r="N185" i="2"/>
  <c r="O185" i="2" s="1"/>
  <c r="L185" i="2"/>
  <c r="N180" i="2"/>
  <c r="O180" i="2" s="1"/>
  <c r="L180" i="2"/>
  <c r="N179" i="2"/>
  <c r="O179" i="2" s="1"/>
  <c r="L179" i="2"/>
  <c r="N181" i="2"/>
  <c r="O181" i="2" s="1"/>
  <c r="L181" i="2"/>
  <c r="N114" i="2"/>
  <c r="O114" i="2" s="1"/>
  <c r="L114" i="2"/>
  <c r="L104" i="2"/>
  <c r="N104" i="2"/>
  <c r="O104" i="2" s="1"/>
  <c r="N125" i="2"/>
  <c r="O125" i="2" s="1"/>
  <c r="L125" i="2"/>
  <c r="L108" i="2"/>
  <c r="N108" i="2"/>
  <c r="O108" i="2" s="1"/>
  <c r="N115" i="2"/>
  <c r="O115" i="2" s="1"/>
  <c r="L115" i="2"/>
  <c r="N107" i="2"/>
  <c r="O107" i="2" s="1"/>
  <c r="L107" i="2"/>
  <c r="L105" i="2"/>
  <c r="N105" i="2"/>
  <c r="O105" i="2" s="1"/>
  <c r="N110" i="2"/>
  <c r="O110" i="2" s="1"/>
  <c r="L110" i="2"/>
  <c r="N106" i="2"/>
  <c r="O106" i="2" s="1"/>
  <c r="L106" i="2"/>
  <c r="L109" i="2"/>
  <c r="N109" i="2"/>
  <c r="O109" i="2" s="1"/>
  <c r="L116" i="2"/>
  <c r="N116" i="2"/>
  <c r="O116" i="2" s="1"/>
  <c r="T22" i="31"/>
  <c r="P23" i="33"/>
  <c r="P27" i="33"/>
  <c r="G27" i="4"/>
  <c r="M29" i="33"/>
  <c r="M23" i="33"/>
  <c r="Q37" i="32"/>
  <c r="C29" i="28"/>
  <c r="K29" i="28" s="1"/>
  <c r="P21" i="32"/>
  <c r="S21" i="32" s="1"/>
  <c r="T21" i="32" s="1"/>
  <c r="P34" i="31"/>
  <c r="L31" i="28"/>
  <c r="L31" i="33"/>
  <c r="O31" i="33" s="1"/>
  <c r="L35" i="33"/>
  <c r="O35" i="33" s="1"/>
  <c r="M27" i="33"/>
  <c r="L31" i="4"/>
  <c r="C23" i="4"/>
  <c r="G29" i="26"/>
  <c r="O29" i="26" s="1"/>
  <c r="P24" i="31"/>
  <c r="L25" i="27"/>
  <c r="O25" i="27" s="1"/>
  <c r="Q22" i="31"/>
  <c r="L29" i="28"/>
  <c r="O29" i="28" s="1"/>
  <c r="P29" i="31"/>
  <c r="P26" i="31"/>
  <c r="P25" i="31"/>
  <c r="S25" i="31" s="1"/>
  <c r="P30" i="31"/>
  <c r="S30" i="31" s="1"/>
  <c r="T30" i="31" s="1"/>
  <c r="P28" i="31"/>
  <c r="S28" i="31" s="1"/>
  <c r="T28" i="31" s="1"/>
  <c r="L35" i="27"/>
  <c r="L33" i="28"/>
  <c r="P25" i="32"/>
  <c r="S25" i="32" s="1"/>
  <c r="T25" i="32" s="1"/>
  <c r="P36" i="32"/>
  <c r="S36" i="32" s="1"/>
  <c r="T36" i="32" s="1"/>
  <c r="P38" i="32"/>
  <c r="S38" i="32" s="1"/>
  <c r="T38" i="32" s="1"/>
  <c r="P22" i="32"/>
  <c r="S22" i="32" s="1"/>
  <c r="T22" i="32" s="1"/>
  <c r="P26" i="32"/>
  <c r="S26" i="32" s="1"/>
  <c r="T26" i="32" s="1"/>
  <c r="P34" i="32"/>
  <c r="S34" i="32" s="1"/>
  <c r="T34" i="32" s="1"/>
  <c r="P30" i="32"/>
  <c r="S30" i="32" s="1"/>
  <c r="T30" i="32" s="1"/>
  <c r="P29" i="32"/>
  <c r="S29" i="32" s="1"/>
  <c r="T29" i="32" s="1"/>
  <c r="L33" i="33"/>
  <c r="O33" i="33" s="1"/>
  <c r="L25" i="4"/>
  <c r="K22" i="32"/>
  <c r="K26" i="31"/>
  <c r="Q37" i="31"/>
  <c r="K29" i="31"/>
  <c r="K34" i="31"/>
  <c r="K24" i="31"/>
  <c r="H29" i="26"/>
  <c r="H25" i="26"/>
  <c r="L29" i="27"/>
  <c r="O29" i="27" s="1"/>
  <c r="C29" i="27"/>
  <c r="K29" i="27" s="1"/>
  <c r="D23" i="28"/>
  <c r="F23" i="28" s="1"/>
  <c r="H37" i="26"/>
  <c r="D35" i="28"/>
  <c r="H34" i="26"/>
  <c r="H21" i="26"/>
  <c r="H20" i="26"/>
  <c r="H36" i="26"/>
  <c r="H30" i="26"/>
  <c r="C27" i="28"/>
  <c r="K27" i="28" s="1"/>
  <c r="G35" i="27"/>
  <c r="C25" i="27"/>
  <c r="K25" i="27" s="1"/>
  <c r="C35" i="4"/>
  <c r="C29" i="4"/>
  <c r="H33" i="26"/>
  <c r="H28" i="26"/>
  <c r="G21" i="26"/>
  <c r="O21" i="26" s="1"/>
  <c r="H38" i="26"/>
  <c r="G32" i="26"/>
  <c r="O32" i="26" s="1"/>
  <c r="G33" i="26"/>
  <c r="O33" i="26" s="1"/>
  <c r="G25" i="26"/>
  <c r="O25" i="26" s="1"/>
  <c r="G37" i="26"/>
  <c r="O37" i="26" s="1"/>
  <c r="G26" i="26"/>
  <c r="O26" i="26" s="1"/>
  <c r="G28" i="26"/>
  <c r="O28" i="26" s="1"/>
  <c r="H32" i="26"/>
  <c r="G36" i="26"/>
  <c r="O36" i="26" s="1"/>
  <c r="G24" i="26"/>
  <c r="O24" i="26" s="1"/>
  <c r="P24" i="26"/>
  <c r="S24" i="26" s="1"/>
  <c r="H22" i="26"/>
  <c r="J22" i="26" s="1"/>
  <c r="G38" i="26"/>
  <c r="O38" i="26" s="1"/>
  <c r="G30" i="26"/>
  <c r="O30" i="26" s="1"/>
  <c r="G34" i="26"/>
  <c r="O34" i="26" s="1"/>
  <c r="H26" i="26"/>
  <c r="Q32" i="31" l="1"/>
  <c r="Q33" i="32"/>
  <c r="Q32" i="32"/>
  <c r="Q38" i="31"/>
  <c r="Q24" i="32"/>
  <c r="P29" i="28"/>
  <c r="Q33" i="31"/>
  <c r="Q36" i="31"/>
  <c r="J29" i="26"/>
  <c r="K29" i="26" s="1"/>
  <c r="Q28" i="32"/>
  <c r="M25" i="33"/>
  <c r="T28" i="32"/>
  <c r="T24" i="32"/>
  <c r="J26" i="26"/>
  <c r="K26" i="26" s="1"/>
  <c r="J25" i="26"/>
  <c r="K25" i="26" s="1"/>
  <c r="J24" i="26"/>
  <c r="K24" i="26" s="1"/>
  <c r="J33" i="26"/>
  <c r="K33" i="26" s="1"/>
  <c r="K35" i="4"/>
  <c r="F35" i="4"/>
  <c r="G35" i="4" s="1"/>
  <c r="J21" i="26"/>
  <c r="K21" i="26" s="1"/>
  <c r="J37" i="26"/>
  <c r="K37" i="26" s="1"/>
  <c r="K23" i="4"/>
  <c r="F23" i="4"/>
  <c r="G23" i="4" s="1"/>
  <c r="Q20" i="32"/>
  <c r="S20" i="32"/>
  <c r="T20" i="32" s="1"/>
  <c r="O21" i="28"/>
  <c r="P21" i="28" s="1"/>
  <c r="M21" i="28"/>
  <c r="F29" i="27"/>
  <c r="G29" i="27" s="1"/>
  <c r="F29" i="28"/>
  <c r="G29" i="28" s="1"/>
  <c r="J30" i="26"/>
  <c r="K30" i="26" s="1"/>
  <c r="J20" i="26"/>
  <c r="K20" i="26" s="1"/>
  <c r="P20" i="26"/>
  <c r="L35" i="28"/>
  <c r="M35" i="28" s="1"/>
  <c r="F35" i="28"/>
  <c r="G35" i="28" s="1"/>
  <c r="J32" i="26"/>
  <c r="K32" i="26" s="1"/>
  <c r="J38" i="26"/>
  <c r="K38" i="26" s="1"/>
  <c r="J28" i="26"/>
  <c r="K28" i="26" s="1"/>
  <c r="K29" i="4"/>
  <c r="F29" i="4"/>
  <c r="G29" i="4" s="1"/>
  <c r="J36" i="26"/>
  <c r="K36" i="26" s="1"/>
  <c r="J34" i="26"/>
  <c r="K34" i="26" s="1"/>
  <c r="S20" i="31"/>
  <c r="T20" i="31" s="1"/>
  <c r="Q20" i="31"/>
  <c r="F27" i="28"/>
  <c r="G27" i="28" s="1"/>
  <c r="F25" i="27"/>
  <c r="G25" i="27" s="1"/>
  <c r="P27" i="4"/>
  <c r="M25" i="4"/>
  <c r="O25" i="4"/>
  <c r="P25" i="4" s="1"/>
  <c r="M31" i="4"/>
  <c r="O31" i="4"/>
  <c r="P31" i="4" s="1"/>
  <c r="Q29" i="31"/>
  <c r="S29" i="31"/>
  <c r="T29" i="31" s="1"/>
  <c r="Q24" i="31"/>
  <c r="S24" i="31"/>
  <c r="T24" i="31" s="1"/>
  <c r="T25" i="31"/>
  <c r="T21" i="31"/>
  <c r="Q26" i="31"/>
  <c r="S26" i="31"/>
  <c r="T26" i="31" s="1"/>
  <c r="Q34" i="31"/>
  <c r="S34" i="31"/>
  <c r="T34" i="31" s="1"/>
  <c r="T37" i="31"/>
  <c r="M35" i="27"/>
  <c r="O35" i="27"/>
  <c r="P35" i="27" s="1"/>
  <c r="M31" i="28"/>
  <c r="O31" i="28"/>
  <c r="P31" i="28" s="1"/>
  <c r="M33" i="28"/>
  <c r="O33" i="28"/>
  <c r="P33" i="28" s="1"/>
  <c r="P33" i="33"/>
  <c r="P31" i="33"/>
  <c r="M29" i="28"/>
  <c r="M27" i="4"/>
  <c r="R27" i="4"/>
  <c r="M33" i="33"/>
  <c r="Q21" i="32"/>
  <c r="Q22" i="32"/>
  <c r="Q30" i="31"/>
  <c r="Q34" i="32"/>
  <c r="Q25" i="31"/>
  <c r="Q28" i="31"/>
  <c r="Q25" i="32"/>
  <c r="M31" i="33"/>
  <c r="M35" i="33"/>
  <c r="Q26" i="32"/>
  <c r="Q38" i="32"/>
  <c r="L27" i="27"/>
  <c r="L27" i="28"/>
  <c r="P22" i="26"/>
  <c r="P34" i="26"/>
  <c r="S34" i="26" s="1"/>
  <c r="P26" i="26"/>
  <c r="S26" i="26" s="1"/>
  <c r="P36" i="26"/>
  <c r="S36" i="26" s="1"/>
  <c r="T36" i="26" s="1"/>
  <c r="P38" i="26"/>
  <c r="S38" i="26" s="1"/>
  <c r="T38" i="26" s="1"/>
  <c r="P33" i="26"/>
  <c r="S33" i="26" s="1"/>
  <c r="P28" i="26"/>
  <c r="S28" i="26" s="1"/>
  <c r="P32" i="26"/>
  <c r="S32" i="26" s="1"/>
  <c r="P30" i="26"/>
  <c r="S30" i="26" s="1"/>
  <c r="P21" i="26"/>
  <c r="S21" i="26" s="1"/>
  <c r="P37" i="26"/>
  <c r="S37" i="26" s="1"/>
  <c r="T37" i="26" s="1"/>
  <c r="P25" i="26"/>
  <c r="S25" i="26" s="1"/>
  <c r="P29" i="26"/>
  <c r="L23" i="27"/>
  <c r="L33" i="27"/>
  <c r="L31" i="27"/>
  <c r="L23" i="28"/>
  <c r="L25" i="28"/>
  <c r="Q36" i="32"/>
  <c r="Q30" i="32"/>
  <c r="Q29" i="32"/>
  <c r="L23" i="4"/>
  <c r="O23" i="4" s="1"/>
  <c r="L33" i="4"/>
  <c r="O33" i="4" s="1"/>
  <c r="P33" i="4" s="1"/>
  <c r="M29" i="27"/>
  <c r="G23" i="28"/>
  <c r="M25" i="27"/>
  <c r="K22" i="26"/>
  <c r="Q24" i="26"/>
  <c r="AH29" i="25"/>
  <c r="AK21" i="25"/>
  <c r="AG28" i="25"/>
  <c r="W22" i="25"/>
  <c r="AK38" i="25"/>
  <c r="X30" i="25"/>
  <c r="AH18" i="24"/>
  <c r="Y18" i="24"/>
  <c r="AH17" i="24"/>
  <c r="AG17" i="24"/>
  <c r="Y17" i="24"/>
  <c r="X17" i="24"/>
  <c r="W38" i="24"/>
  <c r="O35" i="28" l="1"/>
  <c r="P35" i="28" s="1"/>
  <c r="P23" i="4"/>
  <c r="S20" i="26"/>
  <c r="T20" i="26" s="1"/>
  <c r="Q20" i="26"/>
  <c r="Q22" i="26"/>
  <c r="S22" i="26"/>
  <c r="T22" i="26" s="1"/>
  <c r="T21" i="26"/>
  <c r="T30" i="26"/>
  <c r="T28" i="26"/>
  <c r="T26" i="26"/>
  <c r="Q29" i="26"/>
  <c r="S29" i="26"/>
  <c r="T29" i="26" s="1"/>
  <c r="T25" i="26"/>
  <c r="T32" i="26"/>
  <c r="T33" i="26"/>
  <c r="T34" i="26"/>
  <c r="T24" i="26"/>
  <c r="P25" i="27"/>
  <c r="M27" i="27"/>
  <c r="O27" i="27"/>
  <c r="P27" i="27" s="1"/>
  <c r="M31" i="27"/>
  <c r="O31" i="27"/>
  <c r="P31" i="27" s="1"/>
  <c r="P29" i="27"/>
  <c r="M33" i="27"/>
  <c r="O33" i="27"/>
  <c r="P33" i="27" s="1"/>
  <c r="M23" i="27"/>
  <c r="O23" i="27"/>
  <c r="P23" i="27" s="1"/>
  <c r="M25" i="28"/>
  <c r="O25" i="28"/>
  <c r="P25" i="28" s="1"/>
  <c r="M23" i="28"/>
  <c r="O23" i="28"/>
  <c r="P23" i="28" s="1"/>
  <c r="M27" i="28"/>
  <c r="O27" i="28"/>
  <c r="P27" i="28" s="1"/>
  <c r="P35" i="33"/>
  <c r="Q38" i="26"/>
  <c r="Q32" i="26"/>
  <c r="Q33" i="26"/>
  <c r="Q34" i="26"/>
  <c r="M33" i="4"/>
  <c r="Q37" i="26"/>
  <c r="M23" i="4"/>
  <c r="Q21" i="26"/>
  <c r="Q36" i="26"/>
  <c r="Q25" i="26"/>
  <c r="Q30" i="26"/>
  <c r="Q28" i="26"/>
  <c r="Q26" i="26"/>
  <c r="AG25" i="24"/>
  <c r="AG26" i="24"/>
  <c r="L35" i="4"/>
  <c r="O35" i="4" s="1"/>
  <c r="P35" i="4" s="1"/>
  <c r="L29" i="4"/>
  <c r="O29" i="4" s="1"/>
  <c r="P29" i="4" s="1"/>
  <c r="Y29" i="24"/>
  <c r="AG32" i="24"/>
  <c r="AG21" i="24"/>
  <c r="AG34" i="24"/>
  <c r="X25" i="24"/>
  <c r="AH36" i="24"/>
  <c r="W24" i="25"/>
  <c r="W34" i="24"/>
  <c r="W32" i="24"/>
  <c r="W21" i="24"/>
  <c r="W26" i="24"/>
  <c r="W28" i="24"/>
  <c r="X33" i="24"/>
  <c r="Y24" i="24"/>
  <c r="W22" i="24"/>
  <c r="W24" i="24"/>
  <c r="W29" i="24"/>
  <c r="W37" i="24"/>
  <c r="AG38" i="25"/>
  <c r="AG21" i="25"/>
  <c r="W34" i="25"/>
  <c r="AH36" i="25"/>
  <c r="AH30" i="25"/>
  <c r="AH25" i="25"/>
  <c r="AH37" i="25"/>
  <c r="AH26" i="25"/>
  <c r="AH38" i="25"/>
  <c r="AH33" i="25"/>
  <c r="AH28" i="25"/>
  <c r="AK22" i="25"/>
  <c r="X25" i="25"/>
  <c r="AK33" i="25"/>
  <c r="X36" i="25"/>
  <c r="AG34" i="25"/>
  <c r="AG29" i="25"/>
  <c r="AG24" i="25"/>
  <c r="AG36" i="25"/>
  <c r="AG30" i="25"/>
  <c r="AG25" i="25"/>
  <c r="AG37" i="25"/>
  <c r="AG32" i="25"/>
  <c r="AL32" i="25" s="1"/>
  <c r="AG26" i="25"/>
  <c r="W21" i="25"/>
  <c r="AH21" i="25"/>
  <c r="AG22" i="25"/>
  <c r="AK28" i="25"/>
  <c r="X37" i="25"/>
  <c r="X32" i="25"/>
  <c r="X26" i="25"/>
  <c r="X38" i="25"/>
  <c r="X33" i="25"/>
  <c r="X28" i="25"/>
  <c r="X34" i="25"/>
  <c r="X29" i="25"/>
  <c r="X24" i="25"/>
  <c r="AK34" i="25"/>
  <c r="AK29" i="25"/>
  <c r="AK24" i="25"/>
  <c r="AK36" i="25"/>
  <c r="AK30" i="25"/>
  <c r="AK25" i="25"/>
  <c r="AK37" i="25"/>
  <c r="AK26" i="25"/>
  <c r="W36" i="25"/>
  <c r="W30" i="25"/>
  <c r="W25" i="25"/>
  <c r="W37" i="25"/>
  <c r="W32" i="25"/>
  <c r="W26" i="25"/>
  <c r="W38" i="25"/>
  <c r="W33" i="25"/>
  <c r="W28" i="25"/>
  <c r="AL20" i="25"/>
  <c r="X21" i="25"/>
  <c r="X22" i="25"/>
  <c r="AH22" i="25"/>
  <c r="AH24" i="25"/>
  <c r="W29" i="25"/>
  <c r="AG33" i="25"/>
  <c r="AH34" i="25"/>
  <c r="AG20" i="24"/>
  <c r="AH37" i="24"/>
  <c r="AH32" i="24"/>
  <c r="AH26" i="24"/>
  <c r="AH34" i="24"/>
  <c r="AH29" i="24"/>
  <c r="AH24" i="24"/>
  <c r="AH38" i="24"/>
  <c r="AH30" i="24"/>
  <c r="AH28" i="24"/>
  <c r="AH22" i="24"/>
  <c r="AH20" i="24"/>
  <c r="X30" i="24"/>
  <c r="Y36" i="24"/>
  <c r="Y30" i="24"/>
  <c r="Y38" i="24"/>
  <c r="Y33" i="24"/>
  <c r="Y28" i="24"/>
  <c r="Y22" i="24"/>
  <c r="Y37" i="24"/>
  <c r="Y34" i="24"/>
  <c r="Y26" i="24"/>
  <c r="Y20" i="24"/>
  <c r="X20" i="24"/>
  <c r="Y21" i="24"/>
  <c r="AH25" i="24"/>
  <c r="Y32" i="24"/>
  <c r="AH33" i="24"/>
  <c r="AH21" i="24"/>
  <c r="Y25" i="24"/>
  <c r="X34" i="24"/>
  <c r="X29" i="24"/>
  <c r="X37" i="24"/>
  <c r="X32" i="24"/>
  <c r="X26" i="24"/>
  <c r="X21" i="24"/>
  <c r="X38" i="24"/>
  <c r="X28" i="24"/>
  <c r="X24" i="24"/>
  <c r="X36" i="24"/>
  <c r="X22" i="24"/>
  <c r="AG36" i="24"/>
  <c r="AG30" i="24"/>
  <c r="AG38" i="24"/>
  <c r="AG33" i="24"/>
  <c r="AG28" i="24"/>
  <c r="AG22" i="24"/>
  <c r="AG24" i="24"/>
  <c r="AG29" i="24"/>
  <c r="AG37" i="24"/>
  <c r="W25" i="24"/>
  <c r="W30" i="24"/>
  <c r="W36" i="24"/>
  <c r="W33" i="24"/>
  <c r="H20" i="25" l="1"/>
  <c r="G20" i="25"/>
  <c r="O20" i="25" s="1"/>
  <c r="M29" i="4"/>
  <c r="AJ21" i="24"/>
  <c r="H21" i="24" s="1"/>
  <c r="M35" i="4"/>
  <c r="AJ25" i="24"/>
  <c r="H25" i="24" s="1"/>
  <c r="AJ24" i="24"/>
  <c r="H24" i="24" s="1"/>
  <c r="AJ26" i="24"/>
  <c r="H26" i="24" s="1"/>
  <c r="AA29" i="24"/>
  <c r="G29" i="24" s="1"/>
  <c r="O29" i="24" s="1"/>
  <c r="AJ36" i="24"/>
  <c r="AJ20" i="24"/>
  <c r="H20" i="24" s="1"/>
  <c r="AA21" i="24"/>
  <c r="AJ32" i="24"/>
  <c r="H32" i="24" s="1"/>
  <c r="AL38" i="25"/>
  <c r="AB34" i="25"/>
  <c r="AJ34" i="24"/>
  <c r="AA36" i="24"/>
  <c r="G36" i="24" s="1"/>
  <c r="O36" i="24" s="1"/>
  <c r="AA25" i="24"/>
  <c r="AA24" i="24"/>
  <c r="AA34" i="24"/>
  <c r="G34" i="24" s="1"/>
  <c r="O34" i="24" s="1"/>
  <c r="AA22" i="24"/>
  <c r="G22" i="24" s="1"/>
  <c r="O22" i="24" s="1"/>
  <c r="AJ38" i="24"/>
  <c r="AB33" i="25"/>
  <c r="G33" i="25" s="1"/>
  <c r="O33" i="25" s="1"/>
  <c r="AB37" i="25"/>
  <c r="AL28" i="25"/>
  <c r="AL29" i="25"/>
  <c r="AB22" i="25"/>
  <c r="AB24" i="25"/>
  <c r="G24" i="25" s="1"/>
  <c r="O24" i="25" s="1"/>
  <c r="AL36" i="25"/>
  <c r="AL25" i="25"/>
  <c r="AL21" i="25"/>
  <c r="AB26" i="25"/>
  <c r="AB30" i="25"/>
  <c r="AB29" i="25"/>
  <c r="AB38" i="25"/>
  <c r="AB25" i="25"/>
  <c r="AL22" i="25"/>
  <c r="AL26" i="25"/>
  <c r="AL30" i="25"/>
  <c r="AL34" i="25"/>
  <c r="AL33" i="25"/>
  <c r="AB28" i="25"/>
  <c r="AB32" i="25"/>
  <c r="AB36" i="25"/>
  <c r="AB21" i="25"/>
  <c r="AL37" i="25"/>
  <c r="AL24" i="25"/>
  <c r="AA33" i="24"/>
  <c r="AJ22" i="24"/>
  <c r="H22" i="24" s="1"/>
  <c r="AJ30" i="24"/>
  <c r="AA20" i="24"/>
  <c r="AJ29" i="24"/>
  <c r="AJ37" i="24"/>
  <c r="AJ28" i="24"/>
  <c r="AA32" i="24"/>
  <c r="AA26" i="24"/>
  <c r="AA38" i="24"/>
  <c r="AA37" i="24"/>
  <c r="AJ33" i="24"/>
  <c r="AA30" i="24"/>
  <c r="AA28" i="24"/>
  <c r="J22" i="24" l="1"/>
  <c r="P21" i="24"/>
  <c r="S21" i="24" s="1"/>
  <c r="P20" i="24"/>
  <c r="J20" i="25"/>
  <c r="K20" i="25" s="1"/>
  <c r="P20" i="25"/>
  <c r="H38" i="25"/>
  <c r="P38" i="25" s="1"/>
  <c r="P26" i="24"/>
  <c r="S26" i="24" s="1"/>
  <c r="P22" i="24"/>
  <c r="S22" i="24" s="1"/>
  <c r="G26" i="25"/>
  <c r="O26" i="25" s="1"/>
  <c r="H38" i="24"/>
  <c r="G34" i="25"/>
  <c r="O34" i="25" s="1"/>
  <c r="H28" i="25"/>
  <c r="G24" i="24"/>
  <c r="P24" i="24"/>
  <c r="S24" i="24" s="1"/>
  <c r="H36" i="24"/>
  <c r="G21" i="24"/>
  <c r="J21" i="24" s="1"/>
  <c r="H29" i="25"/>
  <c r="G25" i="24"/>
  <c r="J25" i="24" s="1"/>
  <c r="H34" i="24"/>
  <c r="J34" i="24" s="1"/>
  <c r="H25" i="25"/>
  <c r="H30" i="24"/>
  <c r="G30" i="25"/>
  <c r="O30" i="25" s="1"/>
  <c r="P25" i="24"/>
  <c r="S25" i="24" s="1"/>
  <c r="H21" i="25"/>
  <c r="H33" i="24"/>
  <c r="H28" i="24"/>
  <c r="H36" i="25"/>
  <c r="H29" i="24"/>
  <c r="J29" i="24" s="1"/>
  <c r="H37" i="24"/>
  <c r="G20" i="24"/>
  <c r="O20" i="24" s="1"/>
  <c r="P32" i="24"/>
  <c r="S32" i="24" s="1"/>
  <c r="G32" i="24"/>
  <c r="J32" i="24" s="1"/>
  <c r="G37" i="25"/>
  <c r="O37" i="25" s="1"/>
  <c r="G22" i="25"/>
  <c r="O22" i="25" s="1"/>
  <c r="H32" i="25"/>
  <c r="H33" i="25"/>
  <c r="J33" i="25" s="1"/>
  <c r="G25" i="25"/>
  <c r="O25" i="25" s="1"/>
  <c r="G38" i="25"/>
  <c r="H24" i="25"/>
  <c r="J24" i="25" s="1"/>
  <c r="H26" i="25"/>
  <c r="G29" i="25"/>
  <c r="O29" i="25" s="1"/>
  <c r="G21" i="25"/>
  <c r="O21" i="25" s="1"/>
  <c r="H34" i="25"/>
  <c r="G36" i="25"/>
  <c r="O36" i="25" s="1"/>
  <c r="H30" i="25"/>
  <c r="G32" i="25"/>
  <c r="O32" i="25" s="1"/>
  <c r="H37" i="25"/>
  <c r="G28" i="25"/>
  <c r="O28" i="25" s="1"/>
  <c r="H22" i="25"/>
  <c r="G33" i="24"/>
  <c r="O33" i="24" s="1"/>
  <c r="G37" i="24"/>
  <c r="O37" i="24" s="1"/>
  <c r="G38" i="24"/>
  <c r="O38" i="24" s="1"/>
  <c r="G26" i="24"/>
  <c r="O26" i="24" s="1"/>
  <c r="G28" i="24"/>
  <c r="O28" i="24" s="1"/>
  <c r="G30" i="24"/>
  <c r="O30" i="24" s="1"/>
  <c r="K22" i="24"/>
  <c r="P37" i="24" l="1"/>
  <c r="S37" i="24" s="1"/>
  <c r="J37" i="24"/>
  <c r="J28" i="24"/>
  <c r="K28" i="24" s="1"/>
  <c r="J21" i="25"/>
  <c r="K21" i="25" s="1"/>
  <c r="J29" i="25"/>
  <c r="K29" i="25" s="1"/>
  <c r="J20" i="24"/>
  <c r="K20" i="24" s="1"/>
  <c r="P37" i="25"/>
  <c r="S37" i="25" s="1"/>
  <c r="T37" i="25" s="1"/>
  <c r="J37" i="25"/>
  <c r="K37" i="25" s="1"/>
  <c r="P30" i="25"/>
  <c r="S30" i="25" s="1"/>
  <c r="T30" i="25" s="1"/>
  <c r="J30" i="25"/>
  <c r="K30" i="25" s="1"/>
  <c r="K32" i="24"/>
  <c r="O32" i="24"/>
  <c r="Q32" i="24" s="1"/>
  <c r="J30" i="24"/>
  <c r="K30" i="24" s="1"/>
  <c r="J38" i="25"/>
  <c r="K38" i="25" s="1"/>
  <c r="P22" i="25"/>
  <c r="S22" i="25" s="1"/>
  <c r="T22" i="25" s="1"/>
  <c r="J22" i="25"/>
  <c r="K22" i="25" s="1"/>
  <c r="P34" i="25"/>
  <c r="S34" i="25" s="1"/>
  <c r="T34" i="25" s="1"/>
  <c r="J34" i="25"/>
  <c r="K34" i="25" s="1"/>
  <c r="O38" i="25"/>
  <c r="Q38" i="25" s="1"/>
  <c r="P33" i="24"/>
  <c r="S33" i="24" s="1"/>
  <c r="T33" i="24" s="1"/>
  <c r="J33" i="24"/>
  <c r="K33" i="24" s="1"/>
  <c r="K25" i="24"/>
  <c r="O25" i="24"/>
  <c r="Q25" i="24" s="1"/>
  <c r="P36" i="24"/>
  <c r="S36" i="24" s="1"/>
  <c r="T36" i="24" s="1"/>
  <c r="J36" i="24"/>
  <c r="O24" i="24"/>
  <c r="T24" i="24" s="1"/>
  <c r="T26" i="24"/>
  <c r="S20" i="25"/>
  <c r="T20" i="25" s="1"/>
  <c r="Q20" i="25"/>
  <c r="J24" i="24"/>
  <c r="K24" i="24" s="1"/>
  <c r="P26" i="25"/>
  <c r="S26" i="25" s="1"/>
  <c r="T26" i="25" s="1"/>
  <c r="J26" i="25"/>
  <c r="K26" i="25" s="1"/>
  <c r="J32" i="25"/>
  <c r="K32" i="25" s="1"/>
  <c r="J36" i="25"/>
  <c r="K36" i="25" s="1"/>
  <c r="J25" i="25"/>
  <c r="K25" i="25" s="1"/>
  <c r="O21" i="24"/>
  <c r="Q21" i="24" s="1"/>
  <c r="J28" i="25"/>
  <c r="K28" i="25" s="1"/>
  <c r="P38" i="24"/>
  <c r="S38" i="24" s="1"/>
  <c r="T38" i="24" s="1"/>
  <c r="J38" i="24"/>
  <c r="K38" i="24" s="1"/>
  <c r="S20" i="24"/>
  <c r="T20" i="24" s="1"/>
  <c r="Q20" i="24"/>
  <c r="J26" i="24"/>
  <c r="K26" i="24" s="1"/>
  <c r="S38" i="25"/>
  <c r="T37" i="24"/>
  <c r="T22" i="24"/>
  <c r="Q22" i="24"/>
  <c r="Q26" i="24"/>
  <c r="Q37" i="25"/>
  <c r="Q37" i="24"/>
  <c r="P24" i="25"/>
  <c r="P21" i="25"/>
  <c r="S21" i="25" s="1"/>
  <c r="T21" i="25" s="1"/>
  <c r="P33" i="25"/>
  <c r="P29" i="24"/>
  <c r="P25" i="25"/>
  <c r="S25" i="25" s="1"/>
  <c r="P36" i="25"/>
  <c r="S36" i="25" s="1"/>
  <c r="P29" i="25"/>
  <c r="S29" i="25" s="1"/>
  <c r="P28" i="25"/>
  <c r="S28" i="25" s="1"/>
  <c r="P32" i="25"/>
  <c r="S32" i="25" s="1"/>
  <c r="P30" i="24"/>
  <c r="S30" i="24" s="1"/>
  <c r="P34" i="24"/>
  <c r="P28" i="24"/>
  <c r="S28" i="24" s="1"/>
  <c r="T28" i="24" s="1"/>
  <c r="Q24" i="24"/>
  <c r="K21" i="24"/>
  <c r="K36" i="24"/>
  <c r="K34" i="24"/>
  <c r="K29" i="24"/>
  <c r="K37" i="24"/>
  <c r="K24" i="25"/>
  <c r="K33" i="25"/>
  <c r="Q30" i="25" l="1"/>
  <c r="Q22" i="25"/>
  <c r="Q36" i="24"/>
  <c r="Q34" i="25"/>
  <c r="Q33" i="24"/>
  <c r="T21" i="24"/>
  <c r="Q26" i="25"/>
  <c r="Q38" i="24"/>
  <c r="T29" i="25"/>
  <c r="T32" i="25"/>
  <c r="T25" i="25"/>
  <c r="Q24" i="25"/>
  <c r="S24" i="25"/>
  <c r="T24" i="25" s="1"/>
  <c r="Q33" i="25"/>
  <c r="S33" i="25"/>
  <c r="T33" i="25" s="1"/>
  <c r="T36" i="25"/>
  <c r="T28" i="25"/>
  <c r="T38" i="25"/>
  <c r="Q29" i="24"/>
  <c r="S29" i="24"/>
  <c r="T29" i="24" s="1"/>
  <c r="Q34" i="24"/>
  <c r="S34" i="24"/>
  <c r="T34" i="24" s="1"/>
  <c r="T25" i="24"/>
  <c r="T30" i="24"/>
  <c r="T32" i="24"/>
  <c r="Q36" i="25"/>
  <c r="Q21" i="25"/>
  <c r="Q32" i="25"/>
  <c r="Q30" i="24"/>
  <c r="Q25" i="25"/>
  <c r="Q28" i="25"/>
  <c r="Q29" i="25"/>
  <c r="Q28" i="24"/>
  <c r="Y18" i="15" l="1"/>
  <c r="Y17" i="15"/>
  <c r="AH18" i="15"/>
  <c r="AH17" i="15"/>
  <c r="W20" i="15"/>
  <c r="X17" i="15"/>
  <c r="AG17" i="15"/>
  <c r="AH37" i="15" l="1"/>
  <c r="AH32" i="15"/>
  <c r="AH26" i="15"/>
  <c r="AH21" i="15"/>
  <c r="AH28" i="15"/>
  <c r="AH36" i="15"/>
  <c r="AH30" i="15"/>
  <c r="AH25" i="15"/>
  <c r="AH20" i="15"/>
  <c r="AH33" i="15"/>
  <c r="AH34" i="15"/>
  <c r="AH29" i="15"/>
  <c r="AH24" i="15"/>
  <c r="AH38" i="15"/>
  <c r="AH22" i="15"/>
  <c r="AG20" i="19" l="1"/>
  <c r="W20" i="19"/>
  <c r="AK17" i="19"/>
  <c r="AJ17" i="19"/>
  <c r="AI17" i="19"/>
  <c r="AH17" i="19"/>
  <c r="AA17" i="19"/>
  <c r="AA20" i="19" s="1"/>
  <c r="Z17" i="19"/>
  <c r="Y17" i="19"/>
  <c r="X17" i="19"/>
  <c r="X20" i="19" s="1"/>
  <c r="Z32" i="19" l="1"/>
  <c r="Z24" i="19"/>
  <c r="Z36" i="19"/>
  <c r="Z28" i="19"/>
  <c r="Z20" i="19"/>
  <c r="Z37" i="19"/>
  <c r="Z34" i="19"/>
  <c r="Z26" i="19"/>
  <c r="Z38" i="19"/>
  <c r="Z33" i="19"/>
  <c r="Z30" i="19"/>
  <c r="Z25" i="19"/>
  <c r="Z22" i="19"/>
  <c r="Z29" i="19"/>
  <c r="Z21" i="19"/>
  <c r="AJ36" i="19"/>
  <c r="AJ28" i="19"/>
  <c r="AJ20" i="19"/>
  <c r="AJ38" i="19"/>
  <c r="AJ30" i="19"/>
  <c r="AJ37" i="19"/>
  <c r="AJ34" i="19"/>
  <c r="AJ29" i="19"/>
  <c r="AJ26" i="19"/>
  <c r="AJ21" i="19"/>
  <c r="AJ32" i="19"/>
  <c r="AJ24" i="19"/>
  <c r="AJ33" i="19"/>
  <c r="AJ25" i="19"/>
  <c r="AJ22" i="19"/>
  <c r="Y38" i="19"/>
  <c r="Y33" i="19"/>
  <c r="Y30" i="19"/>
  <c r="Y25" i="19"/>
  <c r="Y22" i="19"/>
  <c r="Y26" i="19"/>
  <c r="Y32" i="19"/>
  <c r="Y24" i="19"/>
  <c r="Y37" i="19"/>
  <c r="Y34" i="19"/>
  <c r="Y29" i="19"/>
  <c r="Y21" i="19"/>
  <c r="Y36" i="19"/>
  <c r="Y28" i="19"/>
  <c r="Y20" i="19"/>
  <c r="AI37" i="19"/>
  <c r="AI34" i="19"/>
  <c r="AI29" i="19"/>
  <c r="AI26" i="19"/>
  <c r="AI21" i="19"/>
  <c r="AI33" i="19"/>
  <c r="AI25" i="19"/>
  <c r="AI22" i="19"/>
  <c r="AI24" i="19"/>
  <c r="AI36" i="19"/>
  <c r="AI28" i="19"/>
  <c r="AI20" i="19"/>
  <c r="AI38" i="19"/>
  <c r="AI30" i="19"/>
  <c r="AI32" i="19"/>
  <c r="AA21" i="19"/>
  <c r="AA24" i="19"/>
  <c r="AA26" i="19"/>
  <c r="AA29" i="19"/>
  <c r="AA32" i="19"/>
  <c r="AA34" i="19"/>
  <c r="AA37" i="19"/>
  <c r="AK38" i="19"/>
  <c r="AK33" i="19"/>
  <c r="AK28" i="19"/>
  <c r="AK22" i="19"/>
  <c r="AK34" i="19"/>
  <c r="AK24" i="19"/>
  <c r="AK37" i="19"/>
  <c r="AK32" i="19"/>
  <c r="AK26" i="19"/>
  <c r="AK21" i="19"/>
  <c r="AK36" i="19"/>
  <c r="AK30" i="19"/>
  <c r="AK25" i="19"/>
  <c r="AK20" i="19"/>
  <c r="AK29" i="19"/>
  <c r="AA22" i="19"/>
  <c r="AA25" i="19"/>
  <c r="AA28" i="19"/>
  <c r="AA30" i="19"/>
  <c r="AA33" i="19"/>
  <c r="AA36" i="19"/>
  <c r="AA38" i="19"/>
  <c r="AH34" i="19"/>
  <c r="AH29" i="19"/>
  <c r="AH24" i="19"/>
  <c r="AH36" i="19"/>
  <c r="AH25" i="19"/>
  <c r="AH38" i="19"/>
  <c r="AH33" i="19"/>
  <c r="AH28" i="19"/>
  <c r="AH22" i="19"/>
  <c r="AH37" i="19"/>
  <c r="AH32" i="19"/>
  <c r="AH26" i="19"/>
  <c r="AH21" i="19"/>
  <c r="AH30" i="19"/>
  <c r="AH20" i="19"/>
  <c r="W38" i="19"/>
  <c r="AG37" i="19"/>
  <c r="AG29" i="19"/>
  <c r="AG22" i="19"/>
  <c r="AG33" i="19"/>
  <c r="AG24" i="19"/>
  <c r="AG34" i="19"/>
  <c r="AG28" i="19"/>
  <c r="AG38" i="19"/>
  <c r="AG25" i="19"/>
  <c r="AG30" i="19"/>
  <c r="AG36" i="19"/>
  <c r="AG21" i="19"/>
  <c r="AG26" i="19"/>
  <c r="AG32" i="19"/>
  <c r="X21" i="19"/>
  <c r="X22" i="19"/>
  <c r="X24" i="19"/>
  <c r="X25" i="19"/>
  <c r="X26" i="19"/>
  <c r="X28" i="19"/>
  <c r="X29" i="19"/>
  <c r="X30" i="19"/>
  <c r="X32" i="19"/>
  <c r="X33" i="19"/>
  <c r="X34" i="19"/>
  <c r="X36" i="19"/>
  <c r="X37" i="19"/>
  <c r="X38" i="19"/>
  <c r="W21" i="19"/>
  <c r="W22" i="19"/>
  <c r="W24" i="19"/>
  <c r="W25" i="19"/>
  <c r="W26" i="19"/>
  <c r="W28" i="19"/>
  <c r="W29" i="19"/>
  <c r="W30" i="19"/>
  <c r="W32" i="19"/>
  <c r="W33" i="19"/>
  <c r="W34" i="19"/>
  <c r="W36" i="19"/>
  <c r="W37" i="19"/>
  <c r="AL20" i="19" l="1"/>
  <c r="AB20" i="19"/>
  <c r="AL36" i="19"/>
  <c r="AL38" i="19"/>
  <c r="AB36" i="19"/>
  <c r="AB28" i="19"/>
  <c r="AB22" i="19"/>
  <c r="AB33" i="19"/>
  <c r="AB25" i="19"/>
  <c r="AB30" i="19"/>
  <c r="AB34" i="19"/>
  <c r="AB24" i="19"/>
  <c r="AL21" i="19"/>
  <c r="AL33" i="19"/>
  <c r="AB38" i="19"/>
  <c r="AL30" i="19"/>
  <c r="AL28" i="19"/>
  <c r="AL22" i="19"/>
  <c r="AB37" i="19"/>
  <c r="AB32" i="19"/>
  <c r="AB26" i="19"/>
  <c r="AB21" i="19"/>
  <c r="AL32" i="19"/>
  <c r="AL25" i="19"/>
  <c r="AL34" i="19"/>
  <c r="AL29" i="19"/>
  <c r="AB29" i="19"/>
  <c r="AL26" i="19"/>
  <c r="AL24" i="19"/>
  <c r="AL37" i="19"/>
  <c r="H30" i="19" l="1"/>
  <c r="H32" i="19"/>
  <c r="H38" i="19"/>
  <c r="H37" i="19"/>
  <c r="H33" i="19"/>
  <c r="H36" i="19"/>
  <c r="H26" i="19"/>
  <c r="H29" i="19"/>
  <c r="H24" i="19"/>
  <c r="H34" i="19"/>
  <c r="H28" i="19"/>
  <c r="H21" i="19"/>
  <c r="H20" i="19"/>
  <c r="G32" i="19"/>
  <c r="O32" i="19" s="1"/>
  <c r="G25" i="19"/>
  <c r="O25" i="19" s="1"/>
  <c r="G24" i="19"/>
  <c r="O24" i="19" s="1"/>
  <c r="G33" i="19"/>
  <c r="O33" i="19" s="1"/>
  <c r="G29" i="19"/>
  <c r="O29" i="19" s="1"/>
  <c r="G37" i="19"/>
  <c r="O37" i="19" s="1"/>
  <c r="G34" i="19"/>
  <c r="O34" i="19" s="1"/>
  <c r="G26" i="19"/>
  <c r="O26" i="19" s="1"/>
  <c r="G30" i="19"/>
  <c r="O30" i="19" s="1"/>
  <c r="G28" i="19"/>
  <c r="O28" i="19" s="1"/>
  <c r="H25" i="19"/>
  <c r="G20" i="19"/>
  <c r="O20" i="19" s="1"/>
  <c r="G36" i="19"/>
  <c r="O36" i="19" s="1"/>
  <c r="G38" i="19"/>
  <c r="O38" i="19" s="1"/>
  <c r="G21" i="19"/>
  <c r="O21" i="19" s="1"/>
  <c r="H22" i="19"/>
  <c r="G22" i="19"/>
  <c r="O22" i="19" s="1"/>
  <c r="Y38" i="15"/>
  <c r="Y37" i="15"/>
  <c r="Y36" i="15"/>
  <c r="Y34" i="15"/>
  <c r="Y33" i="15"/>
  <c r="Y32" i="15"/>
  <c r="Y30" i="15"/>
  <c r="Y29" i="15"/>
  <c r="Y28" i="15"/>
  <c r="Y26" i="15"/>
  <c r="Y25" i="15"/>
  <c r="Y24" i="15"/>
  <c r="Y22" i="15"/>
  <c r="Y21" i="15"/>
  <c r="Y20" i="15"/>
  <c r="W38" i="15"/>
  <c r="W37" i="15"/>
  <c r="W36" i="15"/>
  <c r="W34" i="15"/>
  <c r="W33" i="15"/>
  <c r="W32" i="15"/>
  <c r="W30" i="15"/>
  <c r="W29" i="15"/>
  <c r="W28" i="15"/>
  <c r="W26" i="15"/>
  <c r="W25" i="15"/>
  <c r="W24" i="15"/>
  <c r="W22" i="15"/>
  <c r="W21" i="15"/>
  <c r="AF38" i="15"/>
  <c r="AF37" i="15"/>
  <c r="AF36" i="15"/>
  <c r="AF34" i="15"/>
  <c r="AF33" i="15"/>
  <c r="AF32" i="15"/>
  <c r="AF30" i="15"/>
  <c r="AF29" i="15"/>
  <c r="AF28" i="15"/>
  <c r="AF26" i="15"/>
  <c r="AF25" i="15"/>
  <c r="AF24" i="15"/>
  <c r="AF22" i="15"/>
  <c r="AF21" i="15"/>
  <c r="AF20" i="15"/>
  <c r="J34" i="19" l="1"/>
  <c r="J24" i="19"/>
  <c r="K24" i="19" s="1"/>
  <c r="J28" i="19"/>
  <c r="K28" i="19" s="1"/>
  <c r="J26" i="19"/>
  <c r="K26" i="19" s="1"/>
  <c r="P38" i="19"/>
  <c r="S38" i="19" s="1"/>
  <c r="T38" i="19" s="1"/>
  <c r="J38" i="19"/>
  <c r="K38" i="19" s="1"/>
  <c r="P36" i="19"/>
  <c r="S36" i="19" s="1"/>
  <c r="T36" i="19" s="1"/>
  <c r="J36" i="19"/>
  <c r="K36" i="19" s="1"/>
  <c r="J32" i="19"/>
  <c r="K32" i="19" s="1"/>
  <c r="J22" i="19"/>
  <c r="K22" i="19" s="1"/>
  <c r="P25" i="19"/>
  <c r="S25" i="19" s="1"/>
  <c r="J25" i="19"/>
  <c r="K25" i="19" s="1"/>
  <c r="J20" i="19"/>
  <c r="K20" i="19" s="1"/>
  <c r="P20" i="19"/>
  <c r="J33" i="19"/>
  <c r="K33" i="19" s="1"/>
  <c r="J30" i="19"/>
  <c r="K30" i="19" s="1"/>
  <c r="J21" i="19"/>
  <c r="K21" i="19" s="1"/>
  <c r="J29" i="19"/>
  <c r="K29" i="19" s="1"/>
  <c r="J37" i="19"/>
  <c r="K37" i="19" s="1"/>
  <c r="Q36" i="19"/>
  <c r="P29" i="19"/>
  <c r="S29" i="19" s="1"/>
  <c r="P24" i="19"/>
  <c r="S24" i="19" s="1"/>
  <c r="P34" i="19"/>
  <c r="S34" i="19" s="1"/>
  <c r="T34" i="19" s="1"/>
  <c r="P32" i="19"/>
  <c r="S32" i="19" s="1"/>
  <c r="P37" i="19"/>
  <c r="S37" i="19" s="1"/>
  <c r="P21" i="19"/>
  <c r="S21" i="19" s="1"/>
  <c r="T21" i="19" s="1"/>
  <c r="P22" i="19"/>
  <c r="S22" i="19" s="1"/>
  <c r="P28" i="19"/>
  <c r="S28" i="19" s="1"/>
  <c r="P26" i="19"/>
  <c r="S26" i="19" s="1"/>
  <c r="P33" i="19"/>
  <c r="S33" i="19" s="1"/>
  <c r="T33" i="19" s="1"/>
  <c r="P30" i="19"/>
  <c r="S30" i="19" s="1"/>
  <c r="K34" i="19"/>
  <c r="AG36" i="15"/>
  <c r="AJ36" i="15" s="1"/>
  <c r="AG30" i="15"/>
  <c r="AJ30" i="15" s="1"/>
  <c r="AG25" i="15"/>
  <c r="AJ25" i="15" s="1"/>
  <c r="AG20" i="15"/>
  <c r="AJ20" i="15" s="1"/>
  <c r="AG34" i="15"/>
  <c r="AJ34" i="15" s="1"/>
  <c r="AG29" i="15"/>
  <c r="AJ29" i="15" s="1"/>
  <c r="AG24" i="15"/>
  <c r="AJ24" i="15" s="1"/>
  <c r="AG38" i="15"/>
  <c r="AJ38" i="15" s="1"/>
  <c r="AG33" i="15"/>
  <c r="AJ33" i="15" s="1"/>
  <c r="AG28" i="15"/>
  <c r="AJ28" i="15" s="1"/>
  <c r="AG22" i="15"/>
  <c r="AJ22" i="15" s="1"/>
  <c r="AG37" i="15"/>
  <c r="AJ37" i="15" s="1"/>
  <c r="AG32" i="15"/>
  <c r="AJ32" i="15" s="1"/>
  <c r="AG26" i="15"/>
  <c r="AJ26" i="15" s="1"/>
  <c r="AG21" i="15"/>
  <c r="AJ21" i="15" s="1"/>
  <c r="X38" i="15"/>
  <c r="AA38" i="15" s="1"/>
  <c r="X28" i="15"/>
  <c r="AA28" i="15" s="1"/>
  <c r="X25" i="15"/>
  <c r="AA25" i="15" s="1"/>
  <c r="X20" i="15"/>
  <c r="AA20" i="15" s="1"/>
  <c r="X29" i="15"/>
  <c r="AA29" i="15" s="1"/>
  <c r="X22" i="15"/>
  <c r="AA22" i="15" s="1"/>
  <c r="X37" i="15"/>
  <c r="AA37" i="15" s="1"/>
  <c r="X21" i="15"/>
  <c r="AA21" i="15" s="1"/>
  <c r="X24" i="15"/>
  <c r="AA24" i="15" s="1"/>
  <c r="X34" i="15"/>
  <c r="AA34" i="15" s="1"/>
  <c r="X30" i="15"/>
  <c r="AA30" i="15" s="1"/>
  <c r="X26" i="15"/>
  <c r="AA26" i="15" s="1"/>
  <c r="X36" i="15"/>
  <c r="AA36" i="15" s="1"/>
  <c r="X33" i="15"/>
  <c r="AA33" i="15" s="1"/>
  <c r="X32" i="15"/>
  <c r="AA32" i="15" s="1"/>
  <c r="Q25" i="19" l="1"/>
  <c r="Q38" i="19"/>
  <c r="S20" i="19"/>
  <c r="T20" i="19" s="1"/>
  <c r="Q20" i="19"/>
  <c r="T26" i="19"/>
  <c r="T28" i="19"/>
  <c r="T24" i="19"/>
  <c r="T29" i="19"/>
  <c r="T37" i="19"/>
  <c r="T30" i="19"/>
  <c r="T22" i="19"/>
  <c r="T32" i="19"/>
  <c r="T25" i="19"/>
  <c r="Q22" i="19"/>
  <c r="Q21" i="19"/>
  <c r="Q24" i="19"/>
  <c r="Q26" i="19"/>
  <c r="Q37" i="19"/>
  <c r="Q28" i="19"/>
  <c r="Q30" i="19"/>
  <c r="Q32" i="19"/>
  <c r="Q33" i="19"/>
  <c r="Q34" i="19"/>
  <c r="Q29" i="19"/>
  <c r="H33" i="15"/>
  <c r="H21" i="15"/>
  <c r="H37" i="15"/>
  <c r="H28" i="15"/>
  <c r="H34" i="15"/>
  <c r="H25" i="15"/>
  <c r="H24" i="15"/>
  <c r="H38" i="15"/>
  <c r="H32" i="15"/>
  <c r="H36" i="15"/>
  <c r="H29" i="15"/>
  <c r="H26" i="15"/>
  <c r="H20" i="15"/>
  <c r="H30" i="15"/>
  <c r="H22" i="15"/>
  <c r="G20" i="15"/>
  <c r="O20" i="15" s="1"/>
  <c r="G30" i="15"/>
  <c r="O30" i="15" s="1"/>
  <c r="G24" i="15"/>
  <c r="O24" i="15" s="1"/>
  <c r="G29" i="15"/>
  <c r="O29" i="15" s="1"/>
  <c r="G26" i="15"/>
  <c r="O26" i="15" s="1"/>
  <c r="G33" i="15"/>
  <c r="O33" i="15" s="1"/>
  <c r="G34" i="15"/>
  <c r="O34" i="15" s="1"/>
  <c r="G38" i="15"/>
  <c r="O38" i="15" s="1"/>
  <c r="G37" i="15"/>
  <c r="O37" i="15" s="1"/>
  <c r="G25" i="15"/>
  <c r="O25" i="15" s="1"/>
  <c r="G21" i="15"/>
  <c r="O21" i="15" s="1"/>
  <c r="G28" i="15"/>
  <c r="O28" i="15" s="1"/>
  <c r="G32" i="15"/>
  <c r="O32" i="15" s="1"/>
  <c r="G36" i="15"/>
  <c r="O36" i="15" s="1"/>
  <c r="G22" i="15"/>
  <c r="O22" i="15" s="1"/>
  <c r="J38" i="15" l="1"/>
  <c r="J30" i="15"/>
  <c r="J36" i="15"/>
  <c r="K36" i="15" s="1"/>
  <c r="J25" i="15"/>
  <c r="K25" i="15" s="1"/>
  <c r="J21" i="15"/>
  <c r="J20" i="15"/>
  <c r="K20" i="15" s="1"/>
  <c r="P20" i="15"/>
  <c r="P32" i="15"/>
  <c r="Q32" i="15" s="1"/>
  <c r="J32" i="15"/>
  <c r="K32" i="15" s="1"/>
  <c r="J34" i="15"/>
  <c r="K34" i="15" s="1"/>
  <c r="P33" i="15"/>
  <c r="Q33" i="15" s="1"/>
  <c r="J33" i="15"/>
  <c r="K33" i="15" s="1"/>
  <c r="J26" i="15"/>
  <c r="J28" i="15"/>
  <c r="J22" i="15"/>
  <c r="K22" i="15" s="1"/>
  <c r="J29" i="15"/>
  <c r="K29" i="15" s="1"/>
  <c r="J24" i="15"/>
  <c r="K24" i="15" s="1"/>
  <c r="J37" i="15"/>
  <c r="K37" i="15" s="1"/>
  <c r="P21" i="15"/>
  <c r="P24" i="15"/>
  <c r="S24" i="15" s="1"/>
  <c r="T24" i="15" s="1"/>
  <c r="P26" i="15"/>
  <c r="S26" i="15" s="1"/>
  <c r="P22" i="15"/>
  <c r="S22" i="15" s="1"/>
  <c r="T22" i="15" s="1"/>
  <c r="P38" i="15"/>
  <c r="S38" i="15" s="1"/>
  <c r="T38" i="15" s="1"/>
  <c r="P28" i="15"/>
  <c r="S28" i="15" s="1"/>
  <c r="T28" i="15" s="1"/>
  <c r="P37" i="15"/>
  <c r="S37" i="15" s="1"/>
  <c r="P30" i="15"/>
  <c r="S30" i="15" s="1"/>
  <c r="P36" i="15"/>
  <c r="S36" i="15" s="1"/>
  <c r="P25" i="15"/>
  <c r="S25" i="15" s="1"/>
  <c r="P29" i="15"/>
  <c r="S29" i="15" s="1"/>
  <c r="T29" i="15" s="1"/>
  <c r="P34" i="15"/>
  <c r="S34" i="15" s="1"/>
  <c r="T34" i="15" s="1"/>
  <c r="K26" i="15"/>
  <c r="K30" i="15"/>
  <c r="K38" i="15"/>
  <c r="K28" i="15"/>
  <c r="K21" i="15"/>
  <c r="AB21" i="27"/>
  <c r="S33" i="15" l="1"/>
  <c r="S32" i="15"/>
  <c r="T32" i="15" s="1"/>
  <c r="Q20" i="15"/>
  <c r="S20" i="15"/>
  <c r="T20" i="15" s="1"/>
  <c r="T36" i="15"/>
  <c r="T30" i="15"/>
  <c r="S21" i="15"/>
  <c r="T21" i="15" s="1"/>
  <c r="T33" i="15"/>
  <c r="T37" i="15"/>
  <c r="T25" i="15"/>
  <c r="T26" i="15"/>
  <c r="Q25" i="15"/>
  <c r="Q28" i="15"/>
  <c r="Q26" i="15"/>
  <c r="Q22" i="15"/>
  <c r="Q21" i="15"/>
  <c r="Q36" i="15"/>
  <c r="Q34" i="15"/>
  <c r="Q30" i="15"/>
  <c r="Q24" i="15"/>
  <c r="Q38" i="15"/>
  <c r="Q29" i="15"/>
  <c r="Q37" i="15"/>
  <c r="D21" i="27"/>
  <c r="F21" i="27" l="1"/>
  <c r="G21" i="27" s="1"/>
  <c r="L21" i="27"/>
  <c r="T78" i="2"/>
  <c r="C78" i="2" s="1"/>
  <c r="J78" i="2" s="1"/>
  <c r="T41" i="2"/>
  <c r="C41" i="2" s="1"/>
  <c r="T46" i="2"/>
  <c r="C46" i="2" s="1"/>
  <c r="V188" i="2"/>
  <c r="U188" i="2"/>
  <c r="T77" i="2"/>
  <c r="C77" i="2" s="1"/>
  <c r="J77" i="2" s="1"/>
  <c r="T188" i="2"/>
  <c r="C188" i="2" s="1"/>
  <c r="T195" i="2"/>
  <c r="V193" i="2"/>
  <c r="V46" i="2"/>
  <c r="V120" i="2"/>
  <c r="V38" i="2"/>
  <c r="V169" i="2"/>
  <c r="V129" i="2"/>
  <c r="V167" i="2"/>
  <c r="V41" i="2"/>
  <c r="V158" i="2"/>
  <c r="V121" i="2"/>
  <c r="V124" i="2"/>
  <c r="V35" i="2"/>
  <c r="V77" i="2"/>
  <c r="X77" i="2" s="1"/>
  <c r="V48" i="2"/>
  <c r="V42" i="2"/>
  <c r="V183" i="2"/>
  <c r="V187" i="2"/>
  <c r="V76" i="2"/>
  <c r="W76" i="2" s="1"/>
  <c r="V133" i="2"/>
  <c r="V190" i="2"/>
  <c r="V194" i="2"/>
  <c r="V47" i="2"/>
  <c r="V195" i="2"/>
  <c r="V177" i="2"/>
  <c r="V131" i="2"/>
  <c r="V130" i="2"/>
  <c r="T169" i="2"/>
  <c r="U48" i="2"/>
  <c r="V132" i="2"/>
  <c r="T35" i="2"/>
  <c r="C35" i="2" s="1"/>
  <c r="U158" i="2"/>
  <c r="D158" i="2" s="1"/>
  <c r="T45" i="2"/>
  <c r="C45" i="2" s="1"/>
  <c r="T191" i="2"/>
  <c r="C191" i="2" s="1"/>
  <c r="T48" i="2"/>
  <c r="C48" i="2" s="1"/>
  <c r="V170" i="2"/>
  <c r="V184" i="2"/>
  <c r="T160" i="2"/>
  <c r="C160" i="2" s="1"/>
  <c r="T170" i="2"/>
  <c r="V45" i="2"/>
  <c r="U77" i="2"/>
  <c r="T177" i="2"/>
  <c r="C177" i="2" s="1"/>
  <c r="T194" i="2"/>
  <c r="C194" i="2" s="1"/>
  <c r="U129" i="2"/>
  <c r="D129" i="2" s="1"/>
  <c r="U76" i="2"/>
  <c r="V37" i="2"/>
  <c r="T182" i="2"/>
  <c r="C182" i="2" s="1"/>
  <c r="V78" i="2"/>
  <c r="W78" i="2" s="1"/>
  <c r="V168" i="2"/>
  <c r="T42" i="2"/>
  <c r="C42" i="2" s="1"/>
  <c r="V128" i="2"/>
  <c r="V191" i="2"/>
  <c r="T193" i="2"/>
  <c r="C193" i="2" s="1"/>
  <c r="T184" i="2"/>
  <c r="C184" i="2" s="1"/>
  <c r="U78" i="2"/>
  <c r="D78" i="2" s="1"/>
  <c r="U171" i="2"/>
  <c r="D171" i="2" s="1"/>
  <c r="V103" i="2"/>
  <c r="T47" i="2"/>
  <c r="C47" i="2" s="1"/>
  <c r="T44" i="2"/>
  <c r="C44" i="2" s="1"/>
  <c r="V159" i="2"/>
  <c r="V196" i="2"/>
  <c r="V182" i="2"/>
  <c r="V171" i="2"/>
  <c r="U38" i="2"/>
  <c r="D38" i="2" s="1"/>
  <c r="V173" i="2"/>
  <c r="V122" i="2"/>
  <c r="T158" i="2"/>
  <c r="C158" i="2" s="1"/>
  <c r="T40" i="2"/>
  <c r="C40" i="2" s="1"/>
  <c r="V172" i="2"/>
  <c r="U42" i="2"/>
  <c r="D42" i="2" s="1"/>
  <c r="V134" i="2"/>
  <c r="U46" i="2"/>
  <c r="D46" i="2" s="1"/>
  <c r="V166" i="2"/>
  <c r="V189" i="2"/>
  <c r="V160" i="2"/>
  <c r="V75" i="2"/>
  <c r="W75" i="2" s="1"/>
  <c r="V113" i="2"/>
  <c r="U132" i="2"/>
  <c r="D132" i="2" s="1"/>
  <c r="T38" i="2"/>
  <c r="C38" i="2" s="1"/>
  <c r="U113" i="2"/>
  <c r="D113" i="2" s="1"/>
  <c r="U35" i="2"/>
  <c r="D35" i="2" s="1"/>
  <c r="T131" i="2"/>
  <c r="C131" i="2" s="1"/>
  <c r="T192" i="2"/>
  <c r="C192" i="2" s="1"/>
  <c r="U170" i="2"/>
  <c r="D170" i="2" s="1"/>
  <c r="T75" i="2"/>
  <c r="C75" i="2" s="1"/>
  <c r="J75" i="2" s="1"/>
  <c r="U191" i="2"/>
  <c r="D191" i="2" s="1"/>
  <c r="U45" i="2"/>
  <c r="D45" i="2" s="1"/>
  <c r="U103" i="2"/>
  <c r="D103" i="2" s="1"/>
  <c r="T166" i="2"/>
  <c r="U159" i="2"/>
  <c r="D159" i="2" s="1"/>
  <c r="T37" i="2"/>
  <c r="C37" i="2" s="1"/>
  <c r="T171" i="2"/>
  <c r="C171" i="2" s="1"/>
  <c r="V192" i="2"/>
  <c r="U44" i="2"/>
  <c r="D44" i="2" s="1"/>
  <c r="T129" i="2"/>
  <c r="C129" i="2" s="1"/>
  <c r="T120" i="2"/>
  <c r="C120" i="2" s="1"/>
  <c r="T196" i="2"/>
  <c r="C196" i="2" s="1"/>
  <c r="T183" i="2"/>
  <c r="C183" i="2" s="1"/>
  <c r="U173" i="2"/>
  <c r="T103" i="2"/>
  <c r="U49" i="2"/>
  <c r="D49" i="2" s="1"/>
  <c r="T113" i="2"/>
  <c r="C113" i="2" s="1"/>
  <c r="T168" i="2"/>
  <c r="C168" i="2" s="1"/>
  <c r="T132" i="2"/>
  <c r="C132" i="2" s="1"/>
  <c r="U177" i="2"/>
  <c r="D177" i="2" s="1"/>
  <c r="V102" i="2"/>
  <c r="U40" i="2"/>
  <c r="D40" i="2" s="1"/>
  <c r="V165" i="2"/>
  <c r="T172" i="2"/>
  <c r="C172" i="2" s="1"/>
  <c r="V123" i="2"/>
  <c r="T130" i="2"/>
  <c r="C130" i="2" s="1"/>
  <c r="T124" i="2"/>
  <c r="C124" i="2" s="1"/>
  <c r="U128" i="2"/>
  <c r="T36" i="2"/>
  <c r="C36" i="2" s="1"/>
  <c r="U124" i="2"/>
  <c r="D124" i="2" s="1"/>
  <c r="T173" i="2"/>
  <c r="C173" i="2" s="1"/>
  <c r="U196" i="2"/>
  <c r="D196" i="2" s="1"/>
  <c r="U184" i="2"/>
  <c r="T190" i="2"/>
  <c r="C190" i="2" s="1"/>
  <c r="U130" i="2"/>
  <c r="D130" i="2" s="1"/>
  <c r="U194" i="2"/>
  <c r="D194" i="2" s="1"/>
  <c r="V43" i="2"/>
  <c r="T134" i="2"/>
  <c r="C134" i="2" s="1"/>
  <c r="U169" i="2"/>
  <c r="D169" i="2" s="1"/>
  <c r="U172" i="2"/>
  <c r="D172" i="2" s="1"/>
  <c r="U160" i="2"/>
  <c r="D160" i="2" s="1"/>
  <c r="U192" i="2"/>
  <c r="D192" i="2" s="1"/>
  <c r="T49" i="2"/>
  <c r="C49" i="2" s="1"/>
  <c r="T165" i="2"/>
  <c r="C165" i="2" s="1"/>
  <c r="T112" i="2"/>
  <c r="C112" i="2" s="1"/>
  <c r="U161" i="2"/>
  <c r="U112" i="2"/>
  <c r="D112" i="2" s="1"/>
  <c r="V44" i="2"/>
  <c r="U47" i="2"/>
  <c r="D47" i="2" s="1"/>
  <c r="T121" i="2"/>
  <c r="C121" i="2" s="1"/>
  <c r="U195" i="2"/>
  <c r="D195" i="2" s="1"/>
  <c r="T159" i="2"/>
  <c r="C159" i="2" s="1"/>
  <c r="T189" i="2"/>
  <c r="C189" i="2" s="1"/>
  <c r="T122" i="2"/>
  <c r="C122" i="2" s="1"/>
  <c r="U41" i="2"/>
  <c r="D41" i="2" s="1"/>
  <c r="U190" i="2"/>
  <c r="D190" i="2" s="1"/>
  <c r="T128" i="2"/>
  <c r="T167" i="2"/>
  <c r="C167" i="2" s="1"/>
  <c r="U133" i="2"/>
  <c r="T133" i="2"/>
  <c r="C133" i="2" s="1"/>
  <c r="U39" i="2"/>
  <c r="D39" i="2" s="1"/>
  <c r="U183" i="2"/>
  <c r="U131" i="2"/>
  <c r="D131" i="2" s="1"/>
  <c r="U120" i="2"/>
  <c r="U166" i="2"/>
  <c r="U176" i="2"/>
  <c r="D176" i="2" s="1"/>
  <c r="V36" i="2"/>
  <c r="T39" i="2"/>
  <c r="C39" i="2" s="1"/>
  <c r="V49" i="2"/>
  <c r="T43" i="2"/>
  <c r="C43" i="2" s="1"/>
  <c r="U36" i="2"/>
  <c r="D36" i="2" s="1"/>
  <c r="U75" i="2"/>
  <c r="T76" i="2"/>
  <c r="C76" i="2" s="1"/>
  <c r="J76" i="2" s="1"/>
  <c r="V40" i="2"/>
  <c r="V161" i="2"/>
  <c r="V176" i="2"/>
  <c r="U189" i="2"/>
  <c r="D189" i="2" s="1"/>
  <c r="U102" i="2"/>
  <c r="D102" i="2" s="1"/>
  <c r="T102" i="2"/>
  <c r="C102" i="2" s="1"/>
  <c r="U37" i="2"/>
  <c r="V39" i="2"/>
  <c r="U167" i="2"/>
  <c r="D167" i="2" s="1"/>
  <c r="U182" i="2"/>
  <c r="D182" i="2" s="1"/>
  <c r="U43" i="2"/>
  <c r="U168" i="2"/>
  <c r="V112" i="2"/>
  <c r="U122" i="2"/>
  <c r="D122" i="2" s="1"/>
  <c r="U187" i="2"/>
  <c r="D187" i="2" s="1"/>
  <c r="T187" i="2"/>
  <c r="C187" i="2" s="1"/>
  <c r="U123" i="2"/>
  <c r="D123" i="2" s="1"/>
  <c r="U121" i="2"/>
  <c r="D121" i="2" s="1"/>
  <c r="U165" i="2"/>
  <c r="D165" i="2" s="1"/>
  <c r="Z44" i="5"/>
  <c r="Z62" i="5"/>
  <c r="Z11" i="5"/>
  <c r="Z63" i="5"/>
  <c r="Z82" i="5"/>
  <c r="Z42" i="5"/>
  <c r="Z77" i="5"/>
  <c r="Z29" i="5"/>
  <c r="Z69" i="5"/>
  <c r="Z15" i="5"/>
  <c r="Z61" i="5"/>
  <c r="Z7" i="5"/>
  <c r="Z53" i="5"/>
  <c r="Z81" i="5"/>
  <c r="Z41" i="5"/>
  <c r="Z73" i="5"/>
  <c r="Z28" i="5"/>
  <c r="Z65" i="5"/>
  <c r="Z14" i="5"/>
  <c r="Z54" i="5"/>
  <c r="Z3" i="5"/>
  <c r="Z49" i="5"/>
  <c r="Z76" i="5"/>
  <c r="Z37" i="5"/>
  <c r="Z68" i="5"/>
  <c r="Z20" i="5"/>
  <c r="Z60" i="5"/>
  <c r="Z10" i="5"/>
  <c r="Z48" i="5"/>
  <c r="Z80" i="5"/>
  <c r="Z19" i="5"/>
  <c r="Z72" i="5"/>
  <c r="Z50" i="5"/>
  <c r="Z43" i="5"/>
  <c r="Z64" i="5"/>
  <c r="Z57" i="5"/>
  <c r="Z6" i="5"/>
  <c r="Z27" i="5"/>
  <c r="Z83" i="5"/>
  <c r="Z13" i="5"/>
  <c r="Z75" i="5"/>
  <c r="Z5" i="5"/>
  <c r="Z39" i="5"/>
  <c r="Z18" i="5"/>
  <c r="Z67" i="5"/>
  <c r="Z79" i="5"/>
  <c r="Z55" i="5"/>
  <c r="Z71" i="5"/>
  <c r="Z8" i="5"/>
  <c r="Z56" i="5"/>
  <c r="Z9" i="5"/>
  <c r="Z74" i="5"/>
  <c r="Z26" i="5"/>
  <c r="Z66" i="5"/>
  <c r="Z12" i="5"/>
  <c r="Z58" i="5"/>
  <c r="Z4" i="5"/>
  <c r="Z46" i="5"/>
  <c r="Z78" i="5"/>
  <c r="Z38" i="5"/>
  <c r="Z70" i="5"/>
  <c r="Z21" i="5"/>
  <c r="U134" i="2"/>
  <c r="D134" i="2" s="1"/>
  <c r="U193" i="2"/>
  <c r="D193" i="2" s="1"/>
  <c r="T123" i="2"/>
  <c r="C123" i="2" s="1"/>
  <c r="T176" i="2"/>
  <c r="C176" i="2" s="1"/>
  <c r="Z47" i="5"/>
  <c r="T161" i="2"/>
  <c r="C161" i="2" s="1"/>
  <c r="F78" i="2" l="1"/>
  <c r="G78" i="2" s="1"/>
  <c r="K78" i="2"/>
  <c r="L78" i="2" s="1"/>
  <c r="M21" i="27"/>
  <c r="O21" i="27"/>
  <c r="P21" i="27" s="1"/>
  <c r="X176" i="2"/>
  <c r="I176" i="2" s="1"/>
  <c r="AA176" i="2"/>
  <c r="E176" i="2" s="1"/>
  <c r="AB176" i="2"/>
  <c r="M176" i="2" s="1"/>
  <c r="W189" i="2"/>
  <c r="H189" i="2" s="1"/>
  <c r="AA189" i="2"/>
  <c r="E189" i="2" s="1"/>
  <c r="AB189" i="2"/>
  <c r="M189" i="2" s="1"/>
  <c r="X182" i="2"/>
  <c r="I182" i="2" s="1"/>
  <c r="AA182" i="2"/>
  <c r="E182" i="2" s="1"/>
  <c r="F182" i="2" s="1"/>
  <c r="AB182" i="2"/>
  <c r="M182" i="2" s="1"/>
  <c r="X194" i="2"/>
  <c r="I194" i="2" s="1"/>
  <c r="AA194" i="2"/>
  <c r="E194" i="2" s="1"/>
  <c r="F194" i="2" s="1"/>
  <c r="AB194" i="2"/>
  <c r="M194" i="2" s="1"/>
  <c r="B187" i="2"/>
  <c r="AA187" i="2"/>
  <c r="E187" i="2" s="1"/>
  <c r="F187" i="2" s="1"/>
  <c r="AB187" i="2"/>
  <c r="M187" i="2" s="1"/>
  <c r="B158" i="2"/>
  <c r="AB158" i="2"/>
  <c r="M158" i="2" s="1"/>
  <c r="AA158" i="2"/>
  <c r="E158" i="2" s="1"/>
  <c r="F158" i="2" s="1"/>
  <c r="G158" i="2" s="1"/>
  <c r="W169" i="2"/>
  <c r="H169" i="2" s="1"/>
  <c r="AA169" i="2"/>
  <c r="E169" i="2" s="1"/>
  <c r="AB169" i="2"/>
  <c r="M169" i="2" s="1"/>
  <c r="B193" i="2"/>
  <c r="AA193" i="2"/>
  <c r="E193" i="2" s="1"/>
  <c r="F193" i="2" s="1"/>
  <c r="G193" i="2" s="1"/>
  <c r="AB193" i="2"/>
  <c r="M193" i="2" s="1"/>
  <c r="X161" i="2"/>
  <c r="I161" i="2" s="1"/>
  <c r="AA161" i="2"/>
  <c r="E161" i="2" s="1"/>
  <c r="AB161" i="2"/>
  <c r="M161" i="2" s="1"/>
  <c r="AA192" i="2"/>
  <c r="E192" i="2" s="1"/>
  <c r="F192" i="2" s="1"/>
  <c r="G192" i="2" s="1"/>
  <c r="AB192" i="2"/>
  <c r="M192" i="2" s="1"/>
  <c r="W166" i="2"/>
  <c r="H166" i="2" s="1"/>
  <c r="AA166" i="2"/>
  <c r="E166" i="2" s="1"/>
  <c r="AB166" i="2"/>
  <c r="M166" i="2" s="1"/>
  <c r="B172" i="2"/>
  <c r="AA172" i="2"/>
  <c r="E172" i="2" s="1"/>
  <c r="F172" i="2" s="1"/>
  <c r="AB172" i="2"/>
  <c r="M172" i="2" s="1"/>
  <c r="X173" i="2"/>
  <c r="I173" i="2" s="1"/>
  <c r="AA173" i="2"/>
  <c r="E173" i="2" s="1"/>
  <c r="AB173" i="2"/>
  <c r="M173" i="2" s="1"/>
  <c r="W196" i="2"/>
  <c r="H196" i="2" s="1"/>
  <c r="AA196" i="2"/>
  <c r="E196" i="2" s="1"/>
  <c r="F196" i="2" s="1"/>
  <c r="AB196" i="2"/>
  <c r="M196" i="2" s="1"/>
  <c r="W168" i="2"/>
  <c r="H168" i="2" s="1"/>
  <c r="AA168" i="2"/>
  <c r="E168" i="2" s="1"/>
  <c r="AB168" i="2"/>
  <c r="M168" i="2" s="1"/>
  <c r="B184" i="2"/>
  <c r="AA184" i="2"/>
  <c r="E184" i="2" s="1"/>
  <c r="AB184" i="2"/>
  <c r="M184" i="2" s="1"/>
  <c r="B177" i="2"/>
  <c r="AA177" i="2"/>
  <c r="E177" i="2" s="1"/>
  <c r="F177" i="2" s="1"/>
  <c r="AB177" i="2"/>
  <c r="M177" i="2" s="1"/>
  <c r="W190" i="2"/>
  <c r="H190" i="2" s="1"/>
  <c r="AA190" i="2"/>
  <c r="E190" i="2" s="1"/>
  <c r="AB190" i="2"/>
  <c r="M190" i="2" s="1"/>
  <c r="W183" i="2"/>
  <c r="H183" i="2" s="1"/>
  <c r="AA183" i="2"/>
  <c r="E183" i="2" s="1"/>
  <c r="AB183" i="2"/>
  <c r="M183" i="2" s="1"/>
  <c r="W188" i="2"/>
  <c r="H188" i="2" s="1"/>
  <c r="AA188" i="2"/>
  <c r="E188" i="2" s="1"/>
  <c r="AB188" i="2"/>
  <c r="M188" i="2" s="1"/>
  <c r="W165" i="2"/>
  <c r="H165" i="2" s="1"/>
  <c r="AA165" i="2"/>
  <c r="E165" i="2" s="1"/>
  <c r="AB165" i="2"/>
  <c r="M165" i="2" s="1"/>
  <c r="B159" i="2"/>
  <c r="AA159" i="2"/>
  <c r="E159" i="2" s="1"/>
  <c r="AB159" i="2"/>
  <c r="M159" i="2" s="1"/>
  <c r="B191" i="2"/>
  <c r="AA191" i="2"/>
  <c r="E191" i="2" s="1"/>
  <c r="F191" i="2" s="1"/>
  <c r="AB191" i="2"/>
  <c r="M191" i="2" s="1"/>
  <c r="X170" i="2"/>
  <c r="I170" i="2" s="1"/>
  <c r="AA170" i="2"/>
  <c r="E170" i="2" s="1"/>
  <c r="AB170" i="2"/>
  <c r="M170" i="2" s="1"/>
  <c r="X195" i="2"/>
  <c r="I195" i="2" s="1"/>
  <c r="AA195" i="2"/>
  <c r="E195" i="2" s="1"/>
  <c r="AB195" i="2"/>
  <c r="M195" i="2" s="1"/>
  <c r="W167" i="2"/>
  <c r="H167" i="2" s="1"/>
  <c r="AA167" i="2"/>
  <c r="E167" i="2" s="1"/>
  <c r="AB167" i="2"/>
  <c r="M167" i="2" s="1"/>
  <c r="X160" i="2"/>
  <c r="I160" i="2" s="1"/>
  <c r="AA160" i="2"/>
  <c r="E160" i="2" s="1"/>
  <c r="F160" i="2" s="1"/>
  <c r="AB160" i="2"/>
  <c r="M160" i="2" s="1"/>
  <c r="B171" i="2"/>
  <c r="AA171" i="2"/>
  <c r="E171" i="2" s="1"/>
  <c r="F171" i="2" s="1"/>
  <c r="AB171" i="2"/>
  <c r="M171" i="2" s="1"/>
  <c r="B122" i="2"/>
  <c r="AA122" i="2"/>
  <c r="E122" i="2" s="1"/>
  <c r="AB122" i="2"/>
  <c r="M122" i="2" s="1"/>
  <c r="W132" i="2"/>
  <c r="H132" i="2" s="1"/>
  <c r="AB132" i="2"/>
  <c r="M132" i="2" s="1"/>
  <c r="AA132" i="2"/>
  <c r="E132" i="2" s="1"/>
  <c r="X113" i="2"/>
  <c r="I113" i="2" s="1"/>
  <c r="AA113" i="2"/>
  <c r="E113" i="2" s="1"/>
  <c r="AB113" i="2"/>
  <c r="M113" i="2" s="1"/>
  <c r="W103" i="2"/>
  <c r="H103" i="2" s="1"/>
  <c r="AB103" i="2"/>
  <c r="M103" i="2" s="1"/>
  <c r="AA103" i="2"/>
  <c r="E103" i="2" s="1"/>
  <c r="W123" i="2"/>
  <c r="H123" i="2" s="1"/>
  <c r="AA123" i="2"/>
  <c r="E123" i="2" s="1"/>
  <c r="AB123" i="2"/>
  <c r="M123" i="2" s="1"/>
  <c r="B133" i="2"/>
  <c r="AA133" i="2"/>
  <c r="E133" i="2" s="1"/>
  <c r="AB133" i="2"/>
  <c r="M133" i="2" s="1"/>
  <c r="X124" i="2"/>
  <c r="I124" i="2" s="1"/>
  <c r="AA124" i="2"/>
  <c r="E124" i="2" s="1"/>
  <c r="F124" i="2" s="1"/>
  <c r="AB124" i="2"/>
  <c r="M124" i="2" s="1"/>
  <c r="W120" i="2"/>
  <c r="H120" i="2" s="1"/>
  <c r="AA120" i="2"/>
  <c r="E120" i="2" s="1"/>
  <c r="AB120" i="2"/>
  <c r="M120" i="2" s="1"/>
  <c r="B102" i="2"/>
  <c r="AA102" i="2"/>
  <c r="E102" i="2" s="1"/>
  <c r="AB102" i="2"/>
  <c r="M102" i="2" s="1"/>
  <c r="X131" i="2"/>
  <c r="I131" i="2" s="1"/>
  <c r="AA131" i="2"/>
  <c r="E131" i="2" s="1"/>
  <c r="F131" i="2" s="1"/>
  <c r="AB131" i="2"/>
  <c r="M131" i="2" s="1"/>
  <c r="W112" i="2"/>
  <c r="H112" i="2" s="1"/>
  <c r="AA112" i="2"/>
  <c r="E112" i="2" s="1"/>
  <c r="AB112" i="2"/>
  <c r="M112" i="2" s="1"/>
  <c r="X134" i="2"/>
  <c r="I134" i="2" s="1"/>
  <c r="AB134" i="2"/>
  <c r="M134" i="2" s="1"/>
  <c r="AA134" i="2"/>
  <c r="E134" i="2" s="1"/>
  <c r="X128" i="2"/>
  <c r="I128" i="2" s="1"/>
  <c r="AB128" i="2"/>
  <c r="M128" i="2" s="1"/>
  <c r="AA128" i="2"/>
  <c r="E128" i="2" s="1"/>
  <c r="B130" i="2"/>
  <c r="AB130" i="2"/>
  <c r="M130" i="2" s="1"/>
  <c r="AA130" i="2"/>
  <c r="E130" i="2" s="1"/>
  <c r="F130" i="2" s="1"/>
  <c r="B121" i="2"/>
  <c r="AA121" i="2"/>
  <c r="E121" i="2" s="1"/>
  <c r="F121" i="2" s="1"/>
  <c r="AB121" i="2"/>
  <c r="M121" i="2" s="1"/>
  <c r="W129" i="2"/>
  <c r="H129" i="2" s="1"/>
  <c r="AA129" i="2"/>
  <c r="E129" i="2" s="1"/>
  <c r="F129" i="2" s="1"/>
  <c r="AB129" i="2"/>
  <c r="M129" i="2" s="1"/>
  <c r="D75" i="2"/>
  <c r="D76" i="2"/>
  <c r="D77" i="2"/>
  <c r="B44" i="2"/>
  <c r="AA44" i="2"/>
  <c r="E44" i="2" s="1"/>
  <c r="AB44" i="2"/>
  <c r="M44" i="2" s="1"/>
  <c r="AA43" i="2"/>
  <c r="E43" i="2" s="1"/>
  <c r="AB43" i="2"/>
  <c r="M43" i="2" s="1"/>
  <c r="W37" i="2"/>
  <c r="H37" i="2" s="1"/>
  <c r="AA37" i="2"/>
  <c r="E37" i="2" s="1"/>
  <c r="AB37" i="2"/>
  <c r="M37" i="2" s="1"/>
  <c r="B36" i="2"/>
  <c r="AA36" i="2"/>
  <c r="E36" i="2" s="1"/>
  <c r="AB36" i="2"/>
  <c r="M36" i="2" s="1"/>
  <c r="W35" i="2"/>
  <c r="H35" i="2" s="1"/>
  <c r="AA35" i="2"/>
  <c r="E35" i="2" s="1"/>
  <c r="AB35" i="2"/>
  <c r="M35" i="2" s="1"/>
  <c r="W41" i="2"/>
  <c r="H41" i="2" s="1"/>
  <c r="AA41" i="2"/>
  <c r="E41" i="2" s="1"/>
  <c r="AB41" i="2"/>
  <c r="M41" i="2" s="1"/>
  <c r="W38" i="2"/>
  <c r="H38" i="2" s="1"/>
  <c r="AA38" i="2"/>
  <c r="E38" i="2" s="1"/>
  <c r="AB38" i="2"/>
  <c r="M38" i="2" s="1"/>
  <c r="W45" i="2"/>
  <c r="H45" i="2" s="1"/>
  <c r="AA45" i="2"/>
  <c r="E45" i="2" s="1"/>
  <c r="F45" i="2" s="1"/>
  <c r="AB45" i="2"/>
  <c r="M45" i="2" s="1"/>
  <c r="W42" i="2"/>
  <c r="H42" i="2" s="1"/>
  <c r="AA42" i="2"/>
  <c r="E42" i="2" s="1"/>
  <c r="AB42" i="2"/>
  <c r="M42" i="2" s="1"/>
  <c r="W40" i="2"/>
  <c r="H40" i="2" s="1"/>
  <c r="AA40" i="2"/>
  <c r="E40" i="2" s="1"/>
  <c r="F40" i="2" s="1"/>
  <c r="AB40" i="2"/>
  <c r="M40" i="2" s="1"/>
  <c r="X39" i="2"/>
  <c r="I39" i="2" s="1"/>
  <c r="AA39" i="2"/>
  <c r="E39" i="2" s="1"/>
  <c r="F39" i="2" s="1"/>
  <c r="AB39" i="2"/>
  <c r="M39" i="2" s="1"/>
  <c r="X49" i="2"/>
  <c r="I49" i="2" s="1"/>
  <c r="AB49" i="2"/>
  <c r="M49" i="2" s="1"/>
  <c r="AA49" i="2"/>
  <c r="E49" i="2" s="1"/>
  <c r="F49" i="2" s="1"/>
  <c r="W47" i="2"/>
  <c r="H47" i="2" s="1"/>
  <c r="AA47" i="2"/>
  <c r="E47" i="2" s="1"/>
  <c r="AB47" i="2"/>
  <c r="M47" i="2" s="1"/>
  <c r="W48" i="2"/>
  <c r="H48" i="2" s="1"/>
  <c r="AA48" i="2"/>
  <c r="E48" i="2" s="1"/>
  <c r="AB48" i="2"/>
  <c r="M48" i="2" s="1"/>
  <c r="B46" i="2"/>
  <c r="AA46" i="2"/>
  <c r="E46" i="2" s="1"/>
  <c r="F46" i="2" s="1"/>
  <c r="AB46" i="2"/>
  <c r="M46" i="2" s="1"/>
  <c r="B47" i="2"/>
  <c r="B42" i="2"/>
  <c r="X78" i="2"/>
  <c r="Y78" i="2" s="1"/>
  <c r="B124" i="2"/>
  <c r="X75" i="2"/>
  <c r="Y75" i="2" s="1"/>
  <c r="W172" i="2"/>
  <c r="H172" i="2" s="1"/>
  <c r="B168" i="2"/>
  <c r="X37" i="2"/>
  <c r="I37" i="2" s="1"/>
  <c r="B120" i="2"/>
  <c r="X188" i="2"/>
  <c r="I188" i="2" s="1"/>
  <c r="W102" i="2"/>
  <c r="H102" i="2" s="1"/>
  <c r="W128" i="2"/>
  <c r="H128" i="2" s="1"/>
  <c r="X168" i="2"/>
  <c r="B131" i="2"/>
  <c r="B196" i="2"/>
  <c r="W39" i="2"/>
  <c r="H39" i="2" s="1"/>
  <c r="W161" i="2"/>
  <c r="W160" i="2"/>
  <c r="H160" i="2" s="1"/>
  <c r="X196" i="2"/>
  <c r="I196" i="2" s="1"/>
  <c r="X76" i="2"/>
  <c r="Y76" i="2" s="1"/>
  <c r="B165" i="2"/>
  <c r="X166" i="2"/>
  <c r="I166" i="2" s="1"/>
  <c r="B182" i="2"/>
  <c r="W191" i="2"/>
  <c r="H191" i="2" s="1"/>
  <c r="B45" i="2"/>
  <c r="X132" i="2"/>
  <c r="I132" i="2" s="1"/>
  <c r="B132" i="2"/>
  <c r="W77" i="2"/>
  <c r="Z77" i="2" s="1"/>
  <c r="X167" i="2"/>
  <c r="I167" i="2" s="1"/>
  <c r="X38" i="2"/>
  <c r="I38" i="2" s="1"/>
  <c r="W113" i="2"/>
  <c r="H113" i="2" s="1"/>
  <c r="B189" i="2"/>
  <c r="B48" i="2"/>
  <c r="B35" i="2"/>
  <c r="X112" i="2"/>
  <c r="I112" i="2" s="1"/>
  <c r="D168" i="2"/>
  <c r="X40" i="2"/>
  <c r="I40" i="2" s="1"/>
  <c r="D166" i="2"/>
  <c r="D120" i="2"/>
  <c r="D133" i="2"/>
  <c r="B40" i="2"/>
  <c r="X43" i="2"/>
  <c r="I43" i="2" s="1"/>
  <c r="B43" i="2"/>
  <c r="B39" i="2"/>
  <c r="D173" i="2"/>
  <c r="W192" i="2"/>
  <c r="X192" i="2"/>
  <c r="I192" i="2" s="1"/>
  <c r="B192" i="2"/>
  <c r="C128" i="2"/>
  <c r="W44" i="2"/>
  <c r="H44" i="2" s="1"/>
  <c r="X44" i="2"/>
  <c r="I44" i="2" s="1"/>
  <c r="D183" i="2"/>
  <c r="D184" i="2"/>
  <c r="D128" i="2"/>
  <c r="D43" i="2"/>
  <c r="D37" i="2"/>
  <c r="W176" i="2"/>
  <c r="H176" i="2" s="1"/>
  <c r="W49" i="2"/>
  <c r="D161" i="2"/>
  <c r="B176" i="2"/>
  <c r="B49" i="2"/>
  <c r="C103" i="2"/>
  <c r="X36" i="2"/>
  <c r="I36" i="2" s="1"/>
  <c r="W36" i="2"/>
  <c r="H36" i="2" s="1"/>
  <c r="B112" i="2"/>
  <c r="W43" i="2"/>
  <c r="B161" i="2"/>
  <c r="X123" i="2"/>
  <c r="I123" i="2" s="1"/>
  <c r="B123" i="2"/>
  <c r="C166" i="2"/>
  <c r="W171" i="2"/>
  <c r="X171" i="2"/>
  <c r="I171" i="2" s="1"/>
  <c r="X172" i="2"/>
  <c r="B173" i="2"/>
  <c r="X165" i="2"/>
  <c r="I165" i="2" s="1"/>
  <c r="W173" i="2"/>
  <c r="X102" i="2"/>
  <c r="W134" i="2"/>
  <c r="W182" i="2"/>
  <c r="H182" i="2" s="1"/>
  <c r="X103" i="2"/>
  <c r="N78" i="2"/>
  <c r="O78" i="2" s="1"/>
  <c r="W184" i="2"/>
  <c r="X184" i="2"/>
  <c r="I184" i="2" s="1"/>
  <c r="W122" i="2"/>
  <c r="B134" i="2"/>
  <c r="X122" i="2"/>
  <c r="I122" i="2" s="1"/>
  <c r="B103" i="2"/>
  <c r="B128" i="2"/>
  <c r="B166" i="2"/>
  <c r="X191" i="2"/>
  <c r="I191" i="2" s="1"/>
  <c r="C170" i="2"/>
  <c r="B170" i="2"/>
  <c r="X189" i="2"/>
  <c r="W159" i="2"/>
  <c r="H159" i="2" s="1"/>
  <c r="X159" i="2"/>
  <c r="I159" i="2" s="1"/>
  <c r="B160" i="2"/>
  <c r="B37" i="2"/>
  <c r="X45" i="2"/>
  <c r="W170" i="2"/>
  <c r="H170" i="2" s="1"/>
  <c r="B113" i="2"/>
  <c r="X177" i="2"/>
  <c r="I177" i="2" s="1"/>
  <c r="W177" i="2"/>
  <c r="X133" i="2"/>
  <c r="I133" i="2" s="1"/>
  <c r="X158" i="2"/>
  <c r="I158" i="2" s="1"/>
  <c r="B167" i="2"/>
  <c r="B38" i="2"/>
  <c r="W193" i="2"/>
  <c r="X130" i="2"/>
  <c r="I130" i="2" s="1"/>
  <c r="C195" i="2"/>
  <c r="X47" i="2"/>
  <c r="X187" i="2"/>
  <c r="I187" i="2" s="1"/>
  <c r="X42" i="2"/>
  <c r="X35" i="2"/>
  <c r="X41" i="2"/>
  <c r="I41" i="2" s="1"/>
  <c r="X120" i="2"/>
  <c r="B183" i="2"/>
  <c r="X121" i="2"/>
  <c r="I121" i="2" s="1"/>
  <c r="B41" i="2"/>
  <c r="B169" i="2"/>
  <c r="X46" i="2"/>
  <c r="I46" i="2" s="1"/>
  <c r="W130" i="2"/>
  <c r="W195" i="2"/>
  <c r="H195" i="2" s="1"/>
  <c r="C169" i="2"/>
  <c r="D48" i="2"/>
  <c r="W187" i="2"/>
  <c r="X183" i="2"/>
  <c r="I183" i="2" s="1"/>
  <c r="W124" i="2"/>
  <c r="H124" i="2" s="1"/>
  <c r="B129" i="2"/>
  <c r="X190" i="2"/>
  <c r="I190" i="2" s="1"/>
  <c r="B195" i="2"/>
  <c r="B194" i="2"/>
  <c r="B190" i="2"/>
  <c r="W133" i="2"/>
  <c r="H133" i="2" s="1"/>
  <c r="X169" i="2"/>
  <c r="I169" i="2" s="1"/>
  <c r="W121" i="2"/>
  <c r="H121" i="2" s="1"/>
  <c r="W131" i="2"/>
  <c r="H131" i="2" s="1"/>
  <c r="X129" i="2"/>
  <c r="X193" i="2"/>
  <c r="I193" i="2" s="1"/>
  <c r="D188" i="2"/>
  <c r="W194" i="2"/>
  <c r="X48" i="2"/>
  <c r="I48" i="2" s="1"/>
  <c r="W158" i="2"/>
  <c r="W46" i="2"/>
  <c r="H46" i="2" s="1"/>
  <c r="B188" i="2"/>
  <c r="K38" i="2" l="1"/>
  <c r="K75" i="2"/>
  <c r="F75" i="2"/>
  <c r="G75" i="2" s="1"/>
  <c r="K77" i="2"/>
  <c r="F77" i="2"/>
  <c r="G77" i="2" s="1"/>
  <c r="K76" i="2"/>
  <c r="F76" i="2"/>
  <c r="G76" i="2" s="1"/>
  <c r="J169" i="2"/>
  <c r="Z134" i="2"/>
  <c r="F43" i="2"/>
  <c r="G43" i="2" s="1"/>
  <c r="J159" i="2"/>
  <c r="J190" i="2"/>
  <c r="Z47" i="2"/>
  <c r="Z129" i="2"/>
  <c r="F48" i="2"/>
  <c r="G48" i="2" s="1"/>
  <c r="F128" i="2"/>
  <c r="G128" i="2" s="1"/>
  <c r="J36" i="2"/>
  <c r="J112" i="2"/>
  <c r="F103" i="2"/>
  <c r="G103" i="2" s="1"/>
  <c r="J113" i="2"/>
  <c r="F112" i="2"/>
  <c r="G112" i="2" s="1"/>
  <c r="J183" i="2"/>
  <c r="F183" i="2"/>
  <c r="G183" i="2" s="1"/>
  <c r="F168" i="2"/>
  <c r="G168" i="2" s="1"/>
  <c r="J40" i="2"/>
  <c r="J41" i="2"/>
  <c r="J132" i="2"/>
  <c r="F170" i="2"/>
  <c r="G170" i="2" s="1"/>
  <c r="J188" i="2"/>
  <c r="J176" i="2"/>
  <c r="F113" i="2"/>
  <c r="G113" i="2" s="1"/>
  <c r="F41" i="2"/>
  <c r="G41" i="2" s="1"/>
  <c r="J160" i="2"/>
  <c r="J195" i="2"/>
  <c r="J44" i="2"/>
  <c r="K112" i="2"/>
  <c r="N112" i="2" s="1"/>
  <c r="J48" i="2"/>
  <c r="J37" i="2"/>
  <c r="J133" i="2"/>
  <c r="F190" i="2"/>
  <c r="G190" i="2" s="1"/>
  <c r="F176" i="2"/>
  <c r="G176" i="2" s="1"/>
  <c r="G45" i="2"/>
  <c r="J121" i="2"/>
  <c r="F188" i="2"/>
  <c r="G188" i="2" s="1"/>
  <c r="F161" i="2"/>
  <c r="G161" i="2" s="1"/>
  <c r="F37" i="2"/>
  <c r="G37" i="2" s="1"/>
  <c r="F184" i="2"/>
  <c r="G184" i="2" s="1"/>
  <c r="J128" i="2"/>
  <c r="F173" i="2"/>
  <c r="G173" i="2" s="1"/>
  <c r="Z168" i="2"/>
  <c r="G160" i="2"/>
  <c r="G191" i="2"/>
  <c r="J196" i="2"/>
  <c r="G182" i="2"/>
  <c r="J38" i="2"/>
  <c r="L38" i="2" s="1"/>
  <c r="F47" i="2"/>
  <c r="G47" i="2" s="1"/>
  <c r="F38" i="2"/>
  <c r="G38" i="2" s="1"/>
  <c r="F169" i="2"/>
  <c r="G169" i="2" s="1"/>
  <c r="F102" i="2"/>
  <c r="G102" i="2" s="1"/>
  <c r="F35" i="2"/>
  <c r="G35" i="2" s="1"/>
  <c r="F44" i="2"/>
  <c r="G44" i="2" s="1"/>
  <c r="F165" i="2"/>
  <c r="G165" i="2" s="1"/>
  <c r="F120" i="2"/>
  <c r="G120" i="2" s="1"/>
  <c r="G46" i="2"/>
  <c r="G39" i="2"/>
  <c r="G131" i="2"/>
  <c r="F122" i="2"/>
  <c r="G122" i="2" s="1"/>
  <c r="F132" i="2"/>
  <c r="G132" i="2" s="1"/>
  <c r="F123" i="2"/>
  <c r="G123" i="2" s="1"/>
  <c r="F195" i="2"/>
  <c r="G195" i="2" s="1"/>
  <c r="J131" i="2"/>
  <c r="J39" i="2"/>
  <c r="F166" i="2"/>
  <c r="G166" i="2" s="1"/>
  <c r="G124" i="2"/>
  <c r="F189" i="2"/>
  <c r="G189" i="2" s="1"/>
  <c r="F159" i="2"/>
  <c r="G159" i="2" s="1"/>
  <c r="J46" i="2"/>
  <c r="J123" i="2"/>
  <c r="K195" i="2"/>
  <c r="J170" i="2"/>
  <c r="J166" i="2"/>
  <c r="F133" i="2"/>
  <c r="G133" i="2" s="1"/>
  <c r="G130" i="2"/>
  <c r="G171" i="2"/>
  <c r="G194" i="2"/>
  <c r="J182" i="2"/>
  <c r="J124" i="2"/>
  <c r="J167" i="2"/>
  <c r="F167" i="2"/>
  <c r="G167" i="2" s="1"/>
  <c r="J165" i="2"/>
  <c r="F36" i="2"/>
  <c r="G36" i="2" s="1"/>
  <c r="J191" i="2"/>
  <c r="F42" i="2"/>
  <c r="G42" i="2" s="1"/>
  <c r="F134" i="2"/>
  <c r="G134" i="2" s="1"/>
  <c r="G177" i="2"/>
  <c r="G172" i="2"/>
  <c r="K170" i="2"/>
  <c r="K165" i="2"/>
  <c r="K160" i="2"/>
  <c r="K169" i="2"/>
  <c r="K41" i="2"/>
  <c r="N41" i="2" s="1"/>
  <c r="Y160" i="2"/>
  <c r="Z161" i="2"/>
  <c r="G196" i="2"/>
  <c r="G187" i="2"/>
  <c r="Z189" i="2"/>
  <c r="K131" i="2"/>
  <c r="Y103" i="2"/>
  <c r="G129" i="2"/>
  <c r="G121" i="2"/>
  <c r="Y38" i="2"/>
  <c r="Z160" i="2"/>
  <c r="K196" i="2"/>
  <c r="K39" i="2"/>
  <c r="N39" i="2" s="1"/>
  <c r="Z75" i="2"/>
  <c r="G40" i="2"/>
  <c r="G49" i="2"/>
  <c r="K132" i="2"/>
  <c r="K40" i="2"/>
  <c r="Y132" i="2"/>
  <c r="N38" i="2"/>
  <c r="Z188" i="2"/>
  <c r="Y188" i="2"/>
  <c r="Z177" i="2"/>
  <c r="Z38" i="2"/>
  <c r="Z76" i="2"/>
  <c r="Y187" i="2"/>
  <c r="Z130" i="2"/>
  <c r="K113" i="2"/>
  <c r="Z78" i="2"/>
  <c r="Y167" i="2"/>
  <c r="Y39" i="2"/>
  <c r="Z113" i="2"/>
  <c r="K44" i="2"/>
  <c r="Y122" i="2"/>
  <c r="Y40" i="2"/>
  <c r="Z40" i="2"/>
  <c r="Z192" i="2"/>
  <c r="Z132" i="2"/>
  <c r="Z128" i="2"/>
  <c r="Y128" i="2"/>
  <c r="Y37" i="2"/>
  <c r="I168" i="2"/>
  <c r="J168" i="2" s="1"/>
  <c r="Y168" i="2"/>
  <c r="Z37" i="2"/>
  <c r="Z193" i="2"/>
  <c r="Z166" i="2"/>
  <c r="K48" i="2"/>
  <c r="Y166" i="2"/>
  <c r="Z39" i="2"/>
  <c r="Y113" i="2"/>
  <c r="Y44" i="2"/>
  <c r="K167" i="2"/>
  <c r="Z171" i="2"/>
  <c r="K191" i="2"/>
  <c r="Y77" i="2"/>
  <c r="Z44" i="2"/>
  <c r="Y196" i="2"/>
  <c r="Y112" i="2"/>
  <c r="Z112" i="2"/>
  <c r="Z167" i="2"/>
  <c r="Z196" i="2"/>
  <c r="H161" i="2"/>
  <c r="J161" i="2" s="1"/>
  <c r="Y161" i="2"/>
  <c r="H194" i="2"/>
  <c r="J194" i="2" s="1"/>
  <c r="Y194" i="2"/>
  <c r="K46" i="2"/>
  <c r="I35" i="2"/>
  <c r="Z35" i="2"/>
  <c r="I45" i="2"/>
  <c r="Z45" i="2"/>
  <c r="Y46" i="2"/>
  <c r="H184" i="2"/>
  <c r="J184" i="2" s="1"/>
  <c r="Y184" i="2"/>
  <c r="Y182" i="2"/>
  <c r="H173" i="2"/>
  <c r="J173" i="2" s="1"/>
  <c r="Y173" i="2"/>
  <c r="Y35" i="2"/>
  <c r="I172" i="2"/>
  <c r="J172" i="2" s="1"/>
  <c r="Z172" i="2"/>
  <c r="Y170" i="2"/>
  <c r="Z124" i="2"/>
  <c r="Z182" i="2"/>
  <c r="K36" i="2"/>
  <c r="Z173" i="2"/>
  <c r="K190" i="2"/>
  <c r="K166" i="2"/>
  <c r="Z165" i="2"/>
  <c r="K123" i="2"/>
  <c r="Z190" i="2"/>
  <c r="H158" i="2"/>
  <c r="J158" i="2" s="1"/>
  <c r="Y158" i="2"/>
  <c r="K188" i="2"/>
  <c r="I42" i="2"/>
  <c r="K42" i="2" s="1"/>
  <c r="Z42" i="2"/>
  <c r="Z48" i="2"/>
  <c r="Y48" i="2"/>
  <c r="Z158" i="2"/>
  <c r="Z123" i="2"/>
  <c r="Y42" i="2"/>
  <c r="K124" i="2"/>
  <c r="Z169" i="2"/>
  <c r="K37" i="2"/>
  <c r="Y124" i="2"/>
  <c r="Y190" i="2"/>
  <c r="Y121" i="2"/>
  <c r="Z131" i="2"/>
  <c r="Y192" i="2"/>
  <c r="H192" i="2"/>
  <c r="J192" i="2" s="1"/>
  <c r="K133" i="2"/>
  <c r="Z176" i="2"/>
  <c r="Z36" i="2"/>
  <c r="K182" i="2"/>
  <c r="Y165" i="2"/>
  <c r="Z183" i="2"/>
  <c r="H187" i="2"/>
  <c r="J187" i="2" s="1"/>
  <c r="Z187" i="2"/>
  <c r="H130" i="2"/>
  <c r="J130" i="2" s="1"/>
  <c r="Y130" i="2"/>
  <c r="I120" i="2"/>
  <c r="J120" i="2" s="1"/>
  <c r="Y120" i="2"/>
  <c r="H193" i="2"/>
  <c r="J193" i="2" s="1"/>
  <c r="Y193" i="2"/>
  <c r="Y191" i="2"/>
  <c r="Y131" i="2"/>
  <c r="H122" i="2"/>
  <c r="J122" i="2" s="1"/>
  <c r="Z122" i="2"/>
  <c r="H134" i="2"/>
  <c r="J134" i="2" s="1"/>
  <c r="Y134" i="2"/>
  <c r="Z191" i="2"/>
  <c r="Y195" i="2"/>
  <c r="H171" i="2"/>
  <c r="J171" i="2" s="1"/>
  <c r="Y171" i="2"/>
  <c r="Y45" i="2"/>
  <c r="Z170" i="2"/>
  <c r="Y183" i="2"/>
  <c r="K128" i="2"/>
  <c r="K183" i="2"/>
  <c r="Z195" i="2"/>
  <c r="Z46" i="2"/>
  <c r="K159" i="2"/>
  <c r="Y133" i="2"/>
  <c r="Y176" i="2"/>
  <c r="Z133" i="2"/>
  <c r="Z184" i="2"/>
  <c r="Z41" i="2"/>
  <c r="I129" i="2"/>
  <c r="J129" i="2" s="1"/>
  <c r="Y129" i="2"/>
  <c r="I47" i="2"/>
  <c r="K47" i="2" s="1"/>
  <c r="Y47" i="2"/>
  <c r="H177" i="2"/>
  <c r="J177" i="2" s="1"/>
  <c r="Y177" i="2"/>
  <c r="Y41" i="2"/>
  <c r="I189" i="2"/>
  <c r="J189" i="2" s="1"/>
  <c r="Y189" i="2"/>
  <c r="I103" i="2"/>
  <c r="K103" i="2" s="1"/>
  <c r="Z103" i="2"/>
  <c r="I102" i="2"/>
  <c r="K102" i="2" s="1"/>
  <c r="Z102" i="2"/>
  <c r="Y102" i="2"/>
  <c r="Y169" i="2"/>
  <c r="Y43" i="2"/>
  <c r="H43" i="2"/>
  <c r="K121" i="2"/>
  <c r="Y172" i="2"/>
  <c r="Y159" i="2"/>
  <c r="H49" i="2"/>
  <c r="K49" i="2" s="1"/>
  <c r="Y49" i="2"/>
  <c r="Z121" i="2"/>
  <c r="Z159" i="2"/>
  <c r="Z49" i="2"/>
  <c r="Y36" i="2"/>
  <c r="K176" i="2"/>
  <c r="Z194" i="2"/>
  <c r="Z120" i="2"/>
  <c r="Z43" i="2"/>
  <c r="Y123" i="2"/>
  <c r="L76" i="2" l="1"/>
  <c r="N76" i="2"/>
  <c r="O76" i="2" s="1"/>
  <c r="L77" i="2"/>
  <c r="N77" i="2"/>
  <c r="O77" i="2" s="1"/>
  <c r="L75" i="2"/>
  <c r="N75" i="2"/>
  <c r="O75" i="2" s="1"/>
  <c r="L195" i="2"/>
  <c r="L112" i="2"/>
  <c r="L131" i="2"/>
  <c r="J102" i="2"/>
  <c r="L102" i="2" s="1"/>
  <c r="N195" i="2"/>
  <c r="O195" i="2" s="1"/>
  <c r="J47" i="2"/>
  <c r="L47" i="2" s="1"/>
  <c r="K43" i="2"/>
  <c r="J43" i="2"/>
  <c r="K45" i="2"/>
  <c r="N45" i="2" s="1"/>
  <c r="J45" i="2"/>
  <c r="J42" i="2"/>
  <c r="L42" i="2" s="1"/>
  <c r="K35" i="2"/>
  <c r="J35" i="2"/>
  <c r="J103" i="2"/>
  <c r="L103" i="2" s="1"/>
  <c r="J49" i="2"/>
  <c r="L49" i="2" s="1"/>
  <c r="L41" i="2"/>
  <c r="O112" i="2"/>
  <c r="N131" i="2"/>
  <c r="O131" i="2" s="1"/>
  <c r="N188" i="2"/>
  <c r="O188" i="2" s="1"/>
  <c r="L188" i="2"/>
  <c r="N169" i="2"/>
  <c r="O169" i="2" s="1"/>
  <c r="L169" i="2"/>
  <c r="N165" i="2"/>
  <c r="O165" i="2" s="1"/>
  <c r="L165" i="2"/>
  <c r="L176" i="2"/>
  <c r="N176" i="2"/>
  <c r="O176" i="2" s="1"/>
  <c r="N183" i="2"/>
  <c r="O183" i="2" s="1"/>
  <c r="L183" i="2"/>
  <c r="K158" i="2"/>
  <c r="L166" i="2"/>
  <c r="N166" i="2"/>
  <c r="O166" i="2" s="1"/>
  <c r="K184" i="2"/>
  <c r="N167" i="2"/>
  <c r="O167" i="2" s="1"/>
  <c r="L167" i="2"/>
  <c r="N196" i="2"/>
  <c r="O196" i="2" s="1"/>
  <c r="L196" i="2"/>
  <c r="N160" i="2"/>
  <c r="O160" i="2" s="1"/>
  <c r="L160" i="2"/>
  <c r="N170" i="2"/>
  <c r="O170" i="2" s="1"/>
  <c r="L170" i="2"/>
  <c r="N159" i="2"/>
  <c r="O159" i="2" s="1"/>
  <c r="L159" i="2"/>
  <c r="N182" i="2"/>
  <c r="O182" i="2" s="1"/>
  <c r="L182" i="2"/>
  <c r="N190" i="2"/>
  <c r="O190" i="2" s="1"/>
  <c r="L190" i="2"/>
  <c r="N191" i="2"/>
  <c r="O191" i="2" s="1"/>
  <c r="L191" i="2"/>
  <c r="L39" i="2"/>
  <c r="N102" i="2"/>
  <c r="N124" i="2"/>
  <c r="O124" i="2" s="1"/>
  <c r="L124" i="2"/>
  <c r="L123" i="2"/>
  <c r="N123" i="2"/>
  <c r="O123" i="2" s="1"/>
  <c r="L132" i="2"/>
  <c r="N132" i="2"/>
  <c r="O132" i="2" s="1"/>
  <c r="N121" i="2"/>
  <c r="O121" i="2" s="1"/>
  <c r="L121" i="2"/>
  <c r="N103" i="2"/>
  <c r="L128" i="2"/>
  <c r="N128" i="2"/>
  <c r="O128" i="2" s="1"/>
  <c r="L133" i="2"/>
  <c r="N133" i="2"/>
  <c r="O133" i="2" s="1"/>
  <c r="L113" i="2"/>
  <c r="N113" i="2"/>
  <c r="O113" i="2" s="1"/>
  <c r="O41" i="2"/>
  <c r="N48" i="2"/>
  <c r="O48" i="2" s="1"/>
  <c r="L48" i="2"/>
  <c r="N44" i="2"/>
  <c r="O44" i="2" s="1"/>
  <c r="L44" i="2"/>
  <c r="N40" i="2"/>
  <c r="O40" i="2" s="1"/>
  <c r="L40" i="2"/>
  <c r="N36" i="2"/>
  <c r="O36" i="2" s="1"/>
  <c r="L36" i="2"/>
  <c r="O38" i="2"/>
  <c r="N49" i="2"/>
  <c r="N37" i="2"/>
  <c r="O37" i="2" s="1"/>
  <c r="L37" i="2"/>
  <c r="N42" i="2"/>
  <c r="N46" i="2"/>
  <c r="O46" i="2" s="1"/>
  <c r="L46" i="2"/>
  <c r="N47" i="2"/>
  <c r="O39" i="2"/>
  <c r="K120" i="2"/>
  <c r="K173" i="2"/>
  <c r="K161" i="2"/>
  <c r="K168" i="2"/>
  <c r="K193" i="2"/>
  <c r="K130" i="2"/>
  <c r="K172" i="2"/>
  <c r="K171" i="2"/>
  <c r="K134" i="2"/>
  <c r="K194" i="2"/>
  <c r="K177" i="2"/>
  <c r="K189" i="2"/>
  <c r="K187" i="2"/>
  <c r="K129" i="2"/>
  <c r="K122" i="2"/>
  <c r="K192" i="2"/>
  <c r="L45" i="2" l="1"/>
  <c r="L35" i="2"/>
  <c r="L43" i="2"/>
  <c r="N35" i="2"/>
  <c r="O35" i="2" s="1"/>
  <c r="N43" i="2"/>
  <c r="O43" i="2" s="1"/>
  <c r="L177" i="2"/>
  <c r="N177" i="2"/>
  <c r="O177" i="2" s="1"/>
  <c r="N172" i="2"/>
  <c r="O172" i="2" s="1"/>
  <c r="L172" i="2"/>
  <c r="N161" i="2"/>
  <c r="O161" i="2" s="1"/>
  <c r="L161" i="2"/>
  <c r="L158" i="2"/>
  <c r="N158" i="2"/>
  <c r="O158" i="2" s="1"/>
  <c r="N194" i="2"/>
  <c r="O194" i="2" s="1"/>
  <c r="L194" i="2"/>
  <c r="N173" i="2"/>
  <c r="O173" i="2" s="1"/>
  <c r="L173" i="2"/>
  <c r="L184" i="2"/>
  <c r="N184" i="2"/>
  <c r="O184" i="2" s="1"/>
  <c r="N187" i="2"/>
  <c r="O187" i="2" s="1"/>
  <c r="L187" i="2"/>
  <c r="L193" i="2"/>
  <c r="N193" i="2"/>
  <c r="O193" i="2" s="1"/>
  <c r="L192" i="2"/>
  <c r="N192" i="2"/>
  <c r="O192" i="2" s="1"/>
  <c r="L189" i="2"/>
  <c r="N189" i="2"/>
  <c r="O189" i="2" s="1"/>
  <c r="L171" i="2"/>
  <c r="N171" i="2"/>
  <c r="O171" i="2" s="1"/>
  <c r="N168" i="2"/>
  <c r="O168" i="2" s="1"/>
  <c r="L168" i="2"/>
  <c r="L129" i="2"/>
  <c r="N129" i="2"/>
  <c r="O129" i="2" s="1"/>
  <c r="N130" i="2"/>
  <c r="O130" i="2" s="1"/>
  <c r="L130" i="2"/>
  <c r="O103" i="2"/>
  <c r="L122" i="2"/>
  <c r="N122" i="2"/>
  <c r="O122" i="2" s="1"/>
  <c r="N134" i="2"/>
  <c r="O134" i="2" s="1"/>
  <c r="L134" i="2"/>
  <c r="N120" i="2"/>
  <c r="O120" i="2" s="1"/>
  <c r="L120" i="2"/>
  <c r="O102" i="2"/>
  <c r="O49" i="2"/>
  <c r="O45" i="2"/>
  <c r="O42" i="2"/>
  <c r="O47" i="2"/>
</calcChain>
</file>

<file path=xl/sharedStrings.xml><?xml version="1.0" encoding="utf-8"?>
<sst xmlns="http://schemas.openxmlformats.org/spreadsheetml/2006/main" count="2973" uniqueCount="610">
  <si>
    <t>kWh</t>
  </si>
  <si>
    <t>Current</t>
  </si>
  <si>
    <t>Customer</t>
  </si>
  <si>
    <t>Charge</t>
  </si>
  <si>
    <t>Bill</t>
  </si>
  <si>
    <t>Total</t>
  </si>
  <si>
    <t>Proposed</t>
  </si>
  <si>
    <t>Rate GS</t>
  </si>
  <si>
    <t>Customer Charge</t>
  </si>
  <si>
    <t>Energy Charge</t>
  </si>
  <si>
    <t>Demand Charge</t>
  </si>
  <si>
    <t>per kWh</t>
  </si>
  <si>
    <t>Rate PS</t>
  </si>
  <si>
    <t>Primary</t>
  </si>
  <si>
    <t>Secondary</t>
  </si>
  <si>
    <t xml:space="preserve">Demand </t>
  </si>
  <si>
    <t>per kW</t>
  </si>
  <si>
    <t>kW</t>
  </si>
  <si>
    <t>Rate RTS</t>
  </si>
  <si>
    <t>Base</t>
  </si>
  <si>
    <t>Load</t>
  </si>
  <si>
    <t>Factor</t>
  </si>
  <si>
    <t>Demand</t>
  </si>
  <si>
    <t>kVA</t>
  </si>
  <si>
    <t xml:space="preserve">Load </t>
  </si>
  <si>
    <t xml:space="preserve"> Demand </t>
  </si>
  <si>
    <t>Rate TOD</t>
  </si>
  <si>
    <t>Intermediate</t>
  </si>
  <si>
    <t xml:space="preserve">    Intermediate</t>
  </si>
  <si>
    <t xml:space="preserve">    Peak</t>
  </si>
  <si>
    <t xml:space="preserve">    Base</t>
  </si>
  <si>
    <t>Peak</t>
  </si>
  <si>
    <t>Single Phase</t>
  </si>
  <si>
    <t>Three Phase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</si>
  <si>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</si>
  <si>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</si>
  <si>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</si>
  <si>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</si>
  <si>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</si>
  <si>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</si>
  <si>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</si>
  <si>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</si>
  <si>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</si>
  <si>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</si>
  <si>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</si>
  <si>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</si>
  <si>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  kWh</t>
  </si>
  <si>
    <t xml:space="preserve">      kWh</t>
  </si>
  <si>
    <t xml:space="preserve"> kW</t>
  </si>
  <si>
    <t xml:space="preserve">    Summer</t>
  </si>
  <si>
    <t xml:space="preserve">    Winter</t>
  </si>
  <si>
    <t>Charge **</t>
  </si>
  <si>
    <t>Basic Service</t>
  </si>
  <si>
    <t>Energy</t>
  </si>
  <si>
    <t>Charge**</t>
  </si>
  <si>
    <t>per kVA</t>
  </si>
  <si>
    <t>CURRENT</t>
  </si>
  <si>
    <t>PROPOSED</t>
  </si>
  <si>
    <t>Service</t>
  </si>
  <si>
    <t>Basic</t>
  </si>
  <si>
    <t>Rate AES</t>
  </si>
  <si>
    <t>Rate FLS</t>
  </si>
  <si>
    <t>Transmission</t>
  </si>
  <si>
    <t>CURRENT RATES</t>
  </si>
  <si>
    <t>per kW (Summer)</t>
  </si>
  <si>
    <t>per kW (Winter)</t>
  </si>
  <si>
    <t>($)</t>
  </si>
  <si>
    <t>(%)</t>
  </si>
  <si>
    <t>FAC</t>
  </si>
  <si>
    <t>ECR</t>
  </si>
  <si>
    <t>DSM</t>
  </si>
  <si>
    <t xml:space="preserve">Proposed </t>
  </si>
  <si>
    <t xml:space="preserve">Increase </t>
  </si>
  <si>
    <t>General Service - Single Phase</t>
  </si>
  <si>
    <t>All Electric Schools - Single Phase</t>
  </si>
  <si>
    <t>General Service - Three Phase</t>
  </si>
  <si>
    <t>All Electric Schools - Three Phase</t>
  </si>
  <si>
    <t>Rate RTOD-E</t>
  </si>
  <si>
    <t>Rate RTOD-D</t>
  </si>
  <si>
    <t xml:space="preserve">    Base / Off Peak</t>
  </si>
  <si>
    <t>(Rate RS)</t>
  </si>
  <si>
    <t>On-Peak</t>
  </si>
  <si>
    <t>Off-Peak</t>
  </si>
  <si>
    <t>LIGHTING</t>
  </si>
  <si>
    <t>Rate Per Light Per Month</t>
  </si>
  <si>
    <t>OVERHEAD SERVICE</t>
  </si>
  <si>
    <r>
      <t xml:space="preserve">  </t>
    </r>
    <r>
      <rPr>
        <b/>
        <i/>
        <sz val="11"/>
        <rFont val="Times New Roman"/>
        <family val="1"/>
      </rPr>
      <t>High Pressure Sodium</t>
    </r>
  </si>
  <si>
    <t>462 Cobra Head –    5,800 Lumen – Fixture Only</t>
  </si>
  <si>
    <t>472 Cobra Head –    5,800 Lumen – Ornamental</t>
  </si>
  <si>
    <t>463 Cobra Head –    9,500 Lumen – Fixture Only</t>
  </si>
  <si>
    <t>473 Cobra Head –    9,500 Lumen – Ornamental</t>
  </si>
  <si>
    <t>464 Cobra Head –  22,000 Lumen – Fixture Only</t>
  </si>
  <si>
    <t>474 Cobra Head –  22,000 Lumen – Ornamental</t>
  </si>
  <si>
    <t>465 Cobra Head –  50,000 Lumen – Fixture Only</t>
  </si>
  <si>
    <t>475 Cobra Head –  50,000 Lumen – Ornamental</t>
  </si>
  <si>
    <t>487 Directional  –    9,500 Lumen – Fixture Only</t>
  </si>
  <si>
    <t>488 Directional  –  22,000 Lumen – Fixture Only</t>
  </si>
  <si>
    <t>489 Directional  –  50,000 Lumen – Fixture Only</t>
  </si>
  <si>
    <t>428 Open Bottom – 9,500 Lumen – Fixture Only</t>
  </si>
  <si>
    <r>
      <t xml:space="preserve">  </t>
    </r>
    <r>
      <rPr>
        <b/>
        <i/>
        <sz val="11"/>
        <rFont val="Times New Roman"/>
        <family val="1"/>
      </rPr>
      <t>Metal Halide</t>
    </r>
  </si>
  <si>
    <t>450 Directional –   12,000 Lumen – Fixture Only</t>
  </si>
  <si>
    <t>451 Directional –   32,000 Lumen – Fixture Only</t>
  </si>
  <si>
    <t>452 Directional – 107,800 Lumen – Fixture Only</t>
  </si>
  <si>
    <t>UNDERGROUND SERVICE</t>
  </si>
  <si>
    <t xml:space="preserve"> 467 Colonial – 5,800 Lumen – Decorative</t>
  </si>
  <si>
    <t xml:space="preserve"> 468 Colonial – 9,500 Lumen – Decorative</t>
  </si>
  <si>
    <t xml:space="preserve"> 401 Acorn  –    5,800 Lumen – Smooth Pole</t>
  </si>
  <si>
    <t xml:space="preserve"> 411 Acorn  –    5,800 Lumen – Fluted Pole</t>
  </si>
  <si>
    <t xml:space="preserve"> 420 Acorn  –    9,500 Lumen – Smooth Pole</t>
  </si>
  <si>
    <t xml:space="preserve"> 430 Acorn  –    9,500 Lumen – Fluted Pole</t>
  </si>
  <si>
    <t xml:space="preserve"> 414 Victorian  5,800 Lumen – Fluted Pole</t>
  </si>
  <si>
    <t xml:space="preserve"> 415 Victorian  9,500 Lumen – Fluted Pole</t>
  </si>
  <si>
    <t xml:space="preserve"> 476 Contemporary –  5,800 Lumen – Fixture/Pole</t>
  </si>
  <si>
    <t xml:space="preserve"> 492 Contemporary –  5,800 Lumen – 2nd Fixture </t>
  </si>
  <si>
    <t xml:space="preserve"> 477 Contemporary –  9,500 Lumen – Fixture/Pole</t>
  </si>
  <si>
    <t xml:space="preserve"> 497 Contemporary –  9,500 Lumen – 2nd Fixture</t>
  </si>
  <si>
    <t xml:space="preserve"> 478 Contemporary– 22,000 Lumen – Fixture/Pole</t>
  </si>
  <si>
    <t xml:space="preserve"> 498 Contemporary– 22,000 Lumen – 2nd Fixture</t>
  </si>
  <si>
    <t xml:space="preserve"> 479 Contemporary– 50,000 Lumen – Fixture/Pole</t>
  </si>
  <si>
    <t xml:space="preserve"> 499 Contemporary– 50,000 Lumen – 2nd Fixture</t>
  </si>
  <si>
    <t xml:space="preserve"> 300 Dark Sky – 4,000 Lumen</t>
  </si>
  <si>
    <t xml:space="preserve"> 301 Dark Sky – 9,500 Lumen</t>
  </si>
  <si>
    <t xml:space="preserve"> 490 Contemporary –   12,000 Lumen– Fixture Only</t>
  </si>
  <si>
    <t xml:space="preserve"> 494 Contemporary –   12,000 Lumen– Smooth Pole</t>
  </si>
  <si>
    <t xml:space="preserve"> 491 Contemporary –   32,000 Lumen– Fixture Only</t>
  </si>
  <si>
    <t xml:space="preserve"> 495 Contemporary –   32,000 Lumen–Smooth Pole</t>
  </si>
  <si>
    <t xml:space="preserve"> 493 Contemporary – 107,800 Lumen– Fixture Only</t>
  </si>
  <si>
    <t xml:space="preserve"> 496 Contemporary – 107,800 Lumen–Smooth Pole</t>
  </si>
  <si>
    <t xml:space="preserve">  High Pressure Sodium</t>
  </si>
  <si>
    <t xml:space="preserve"> 461 Cobra Head –   4,000 Lumen – Fixture Only</t>
  </si>
  <si>
    <t xml:space="preserve"> 471 Cobra Head –   4,000 Lumen – Fixture &amp; Pole </t>
  </si>
  <si>
    <t xml:space="preserve"> 409 Cobra Head – 50,000 Lumen – Fixture Only</t>
  </si>
  <si>
    <t xml:space="preserve"> 426 Open Bottom – 5,800 Lumen – Fixture Only</t>
  </si>
  <si>
    <t xml:space="preserve">  Metal Halide</t>
  </si>
  <si>
    <t xml:space="preserve"> 454 Direct –   12,000 Lumen–Flood Fixture &amp; Pole</t>
  </si>
  <si>
    <t xml:space="preserve"> 455 Direct –   32,000 Lumen–Flood Fixture &amp; Pole</t>
  </si>
  <si>
    <t xml:space="preserve"> 459 Direct – 107,800 Lumen–Flood Fixture &amp; Pole</t>
  </si>
  <si>
    <t xml:space="preserve"> 446 Cobra Head  –   7,000 Lumen – Fixture Only</t>
  </si>
  <si>
    <t xml:space="preserve"> 456 Cobra Head  –   7,000 Lumen – Fixture &amp; Pole</t>
  </si>
  <si>
    <t xml:space="preserve"> 447 Cobra Head  – 10,000 Lumen – Fixture Only</t>
  </si>
  <si>
    <t xml:space="preserve"> 457 Cobra Head  – 10,000 Lumen – Fixture &amp; Pole</t>
  </si>
  <si>
    <t xml:space="preserve"> 448 Cobra Head  – 20,000 Lumen – Fixture Only</t>
  </si>
  <si>
    <t xml:space="preserve"> 458 Cobra Head  – 20,000 Lumen – Fixture &amp; Pole</t>
  </si>
  <si>
    <t xml:space="preserve"> 404 Open Bottom  – 7,000 Lumen – Fixture Only</t>
  </si>
  <si>
    <t xml:space="preserve"> 421 Tear Drop –  1,000 Lumen – Fixture Only</t>
  </si>
  <si>
    <t xml:space="preserve"> 422 Tear Drop –  2,500 Lumen – Fixture Only</t>
  </si>
  <si>
    <t xml:space="preserve"> 424 Tear Drop –  4,000 Lumen – Fixture Only</t>
  </si>
  <si>
    <t xml:space="preserve"> 425 Tear Drop –  6,000 Lumen – Fixture Only</t>
  </si>
  <si>
    <t>Restricted Lighting Service - Rate RLS</t>
  </si>
  <si>
    <t>Lighting Service - Rate LS</t>
  </si>
  <si>
    <t xml:space="preserve"> 460 Direct –   12,000 Lumen – Flood Fixture &amp; Pole</t>
  </si>
  <si>
    <t xml:space="preserve"> 469 Direct –   32,000 Lumen – Flood Fixture &amp; Pole</t>
  </si>
  <si>
    <t xml:space="preserve"> 470 Direct – 107,800 Lumen – Flood Fixture &amp; Pole</t>
  </si>
  <si>
    <t xml:space="preserve"> 440 Acorn  –    4,000 Lumen – Flood Fixture &amp; Pole</t>
  </si>
  <si>
    <t xml:space="preserve"> 410 Acorn  –    4,000 Lumen – Fluted Pole</t>
  </si>
  <si>
    <t xml:space="preserve"> 466 Colonial – 4,000 Lumen – Smooth Pole</t>
  </si>
  <si>
    <t xml:space="preserve"> 412 Coach   –  5,800 Lumen – Smooth Pole</t>
  </si>
  <si>
    <t xml:space="preserve"> 413 Coach   –  9,500 Lumen – Smooth Pole</t>
  </si>
  <si>
    <t>KU Rate</t>
  </si>
  <si>
    <t>KUUM_360</t>
  </si>
  <si>
    <t>KUUM_361</t>
  </si>
  <si>
    <t>KUUM_362</t>
  </si>
  <si>
    <t>KUUM_363</t>
  </si>
  <si>
    <t>KUUM_364</t>
  </si>
  <si>
    <t>KUUM_365</t>
  </si>
  <si>
    <t>KUUM_366</t>
  </si>
  <si>
    <t>KUUM_367</t>
  </si>
  <si>
    <t>KUUM_368</t>
  </si>
  <si>
    <t>KUUM_370</t>
  </si>
  <si>
    <t>KUUM_372</t>
  </si>
  <si>
    <t>KUUM_373</t>
  </si>
  <si>
    <t>KUUM_374</t>
  </si>
  <si>
    <t>KUUM_375</t>
  </si>
  <si>
    <t>KUUM_376</t>
  </si>
  <si>
    <t>KUUM_377</t>
  </si>
  <si>
    <t>KUUM_378</t>
  </si>
  <si>
    <t>KUUM_401</t>
  </si>
  <si>
    <t>KUUM_404</t>
  </si>
  <si>
    <t>KUUM_409</t>
  </si>
  <si>
    <t>KUUM_410</t>
  </si>
  <si>
    <t>KUUM_411</t>
  </si>
  <si>
    <t>KUUM_412</t>
  </si>
  <si>
    <t>KUUM_413</t>
  </si>
  <si>
    <t>KUUM_414</t>
  </si>
  <si>
    <t>KUUM_415</t>
  </si>
  <si>
    <t>KUUM_420</t>
  </si>
  <si>
    <t>KUUM_421</t>
  </si>
  <si>
    <t>KUUM_422</t>
  </si>
  <si>
    <t>KUUM_424</t>
  </si>
  <si>
    <t>KUUM_425</t>
  </si>
  <si>
    <t>KUUM_426</t>
  </si>
  <si>
    <t>KUUM_428</t>
  </si>
  <si>
    <t>KUUM_430</t>
  </si>
  <si>
    <t>KUUM_434</t>
  </si>
  <si>
    <t>KUUM_440</t>
  </si>
  <si>
    <t>KUUM_446</t>
  </si>
  <si>
    <t>KUUM_447</t>
  </si>
  <si>
    <t>KUUM_448</t>
  </si>
  <si>
    <t>KUUM_450</t>
  </si>
  <si>
    <t>KUUM_451</t>
  </si>
  <si>
    <t>KUUM_452</t>
  </si>
  <si>
    <t>KUUM_454</t>
  </si>
  <si>
    <t>KUUM_455</t>
  </si>
  <si>
    <t>KUUM_456</t>
  </si>
  <si>
    <t>KUUM_457</t>
  </si>
  <si>
    <t>KUUM_458</t>
  </si>
  <si>
    <t>KUUM_459</t>
  </si>
  <si>
    <t>KUUM_460</t>
  </si>
  <si>
    <t>KUUM_461</t>
  </si>
  <si>
    <t>KUUM_462</t>
  </si>
  <si>
    <t>KUUM_463</t>
  </si>
  <si>
    <t>KUUM_464</t>
  </si>
  <si>
    <t>KUUM_465</t>
  </si>
  <si>
    <t>KU</t>
  </si>
  <si>
    <t xml:space="preserve">Monthly </t>
  </si>
  <si>
    <r>
      <t xml:space="preserve">  </t>
    </r>
    <r>
      <rPr>
        <b/>
        <i/>
        <sz val="10"/>
        <rFont val="Arial"/>
        <family val="2"/>
      </rPr>
      <t>High Pressure Sodium</t>
    </r>
  </si>
  <si>
    <r>
      <t xml:space="preserve">  </t>
    </r>
    <r>
      <rPr>
        <b/>
        <i/>
        <sz val="10"/>
        <rFont val="Arial"/>
        <family val="2"/>
      </rPr>
      <t>Mercury Vapor</t>
    </r>
  </si>
  <si>
    <r>
      <t xml:space="preserve">  </t>
    </r>
    <r>
      <rPr>
        <b/>
        <i/>
        <sz val="10"/>
        <rFont val="Arial"/>
        <family val="2"/>
      </rPr>
      <t>Incandescent</t>
    </r>
  </si>
  <si>
    <t>Hours of Use</t>
  </si>
  <si>
    <t>All inputs linked to INPUT tab</t>
  </si>
  <si>
    <t>Residential (Rate RS) / Volunteer Fire Dept (Rate VFD)</t>
  </si>
  <si>
    <t>Rate LE</t>
  </si>
  <si>
    <t>Rate TE</t>
  </si>
  <si>
    <t>Traffic Energy Service - Rate TE</t>
  </si>
  <si>
    <t>Lighting Energy Service - Rate LE</t>
  </si>
  <si>
    <t xml:space="preserve">Pole </t>
  </si>
  <si>
    <t>Attachments</t>
  </si>
  <si>
    <t>per attach</t>
  </si>
  <si>
    <t>Rate RS/VFD</t>
  </si>
  <si>
    <t>PS Secondary</t>
  </si>
  <si>
    <t>PS Primary</t>
  </si>
  <si>
    <t>TOD Secondary</t>
  </si>
  <si>
    <t>TOD Primary</t>
  </si>
  <si>
    <t>RTS</t>
  </si>
  <si>
    <t>FLS</t>
  </si>
  <si>
    <t>DSM Billings</t>
  </si>
  <si>
    <t>ECR Billings</t>
  </si>
  <si>
    <t>DSM / kWh</t>
  </si>
  <si>
    <t>FAC / kWh</t>
  </si>
  <si>
    <t>ECR / kWh</t>
  </si>
  <si>
    <t>TOTAL</t>
  </si>
  <si>
    <t>CSR</t>
  </si>
  <si>
    <t>Minimum</t>
  </si>
  <si>
    <t>Maximum</t>
  </si>
  <si>
    <t>Variance</t>
  </si>
  <si>
    <t>Billing Factors</t>
  </si>
  <si>
    <t>ODL (LS/RLS)</t>
  </si>
  <si>
    <t>Assumes</t>
  </si>
  <si>
    <t>PSP</t>
  </si>
  <si>
    <t>PSS</t>
  </si>
  <si>
    <t>TODP</t>
  </si>
  <si>
    <t>TODS</t>
  </si>
  <si>
    <t>(factor only)</t>
  </si>
  <si>
    <t>Retail Transmission Service (Rate RTS)</t>
  </si>
  <si>
    <t>Time-of-Day Primary (Rate TODP)</t>
  </si>
  <si>
    <t>Time-of-Day Secondary (Rate TODS)</t>
  </si>
  <si>
    <t>Power Service Primary (Rate PSP)</t>
  </si>
  <si>
    <t>Power Service Secondary (Rate PSS)</t>
  </si>
  <si>
    <t>Average Usage (kWh)</t>
  </si>
  <si>
    <t>Source:  Billing Determinants file</t>
  </si>
  <si>
    <t>ratio of usage:</t>
  </si>
  <si>
    <t>Rate Case Constants</t>
  </si>
  <si>
    <t>Rate Case Constants:</t>
  </si>
  <si>
    <t>RS/VFD</t>
  </si>
  <si>
    <t>Company:</t>
  </si>
  <si>
    <t>RTOD-E</t>
  </si>
  <si>
    <t>PSC Case Number:</t>
  </si>
  <si>
    <t>RTOD-D</t>
  </si>
  <si>
    <t>Base Year:</t>
  </si>
  <si>
    <t>Forecasted Test Year:</t>
  </si>
  <si>
    <t>Schedule Description:</t>
  </si>
  <si>
    <t>LE</t>
  </si>
  <si>
    <t>Schedule Number:</t>
  </si>
  <si>
    <t>SCHEDULE N</t>
  </si>
  <si>
    <t>TE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</si>
  <si>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</si>
  <si>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</si>
  <si>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</si>
  <si>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</si>
  <si>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</si>
  <si>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</si>
  <si>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</si>
  <si>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DATA: ____BASE PERIOD__X___FORECASTED PERIOD</t>
  </si>
  <si>
    <t>WORKPAPER REFERENCE NO(S):________</t>
  </si>
  <si>
    <t>WITNESS:</t>
  </si>
  <si>
    <t xml:space="preserve">WITNESS:   </t>
  </si>
  <si>
    <t>KENTUCKY UTILITIES COMPANY</t>
  </si>
  <si>
    <t>AES-S</t>
  </si>
  <si>
    <t>AES-3P</t>
  </si>
  <si>
    <t>GS-3P</t>
  </si>
  <si>
    <t>GS-S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</si>
  <si>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</si>
  <si>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</si>
  <si>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</si>
  <si>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</si>
  <si>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</si>
  <si>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</si>
  <si>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</si>
  <si>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</si>
  <si>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</si>
  <si>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</si>
  <si>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Assumptions:</t>
  </si>
  <si>
    <t>Billing Factors calculated as a unit charge based on forecast period revenues and volumes</t>
  </si>
  <si>
    <t>Current and Proposed Bill calculation uses a blended rate of 5/12 of the summer rate plus 7/12 of the winter rate</t>
  </si>
  <si>
    <t>DSM does not apply to this rate schedule</t>
  </si>
  <si>
    <t>Billing Factors calculated as a unit charge based on forecast period revenues and volumes and assuming October hours of usage</t>
  </si>
  <si>
    <t>Residential/VFD</t>
  </si>
  <si>
    <t>$/kWh</t>
  </si>
  <si>
    <t>Calculations may vary from other schedules due to rounding</t>
  </si>
  <si>
    <t>LS</t>
  </si>
  <si>
    <t>RLS</t>
  </si>
  <si>
    <t xml:space="preserve">Hours </t>
  </si>
  <si>
    <t xml:space="preserve"> of Use</t>
  </si>
  <si>
    <t>Base Rate</t>
  </si>
  <si>
    <t>Fluctuating Load Service -Transmission (Rate FLS)</t>
  </si>
  <si>
    <t>***No KU Customers on this rate schedule***</t>
  </si>
  <si>
    <t>FLS - T</t>
  </si>
  <si>
    <t>FLS - P</t>
  </si>
  <si>
    <t xml:space="preserve">RTOD </t>
  </si>
  <si>
    <t>FAC + OSS Billings</t>
  </si>
  <si>
    <t>FAC+OSS</t>
  </si>
  <si>
    <t>Residential Time-of-Day Demand</t>
  </si>
  <si>
    <t>Source:  Schedule M-2.2 &amp; M2.3</t>
  </si>
  <si>
    <r>
      <t xml:space="preserve">  </t>
    </r>
    <r>
      <rPr>
        <b/>
        <i/>
        <sz val="11"/>
        <rFont val="Times New Roman"/>
        <family val="1"/>
      </rPr>
      <t>Light Emitting Diode (LED)</t>
    </r>
  </si>
  <si>
    <t xml:space="preserve">390 Cobra Head – 8,179 Lumen </t>
  </si>
  <si>
    <t xml:space="preserve">391 Cobra Head – 14,166 Lumen </t>
  </si>
  <si>
    <t xml:space="preserve">392 Cobra Head – 23,214 Lumen </t>
  </si>
  <si>
    <r>
      <t xml:space="preserve">  L</t>
    </r>
    <r>
      <rPr>
        <b/>
        <i/>
        <sz val="11"/>
        <rFont val="Times New Roman"/>
        <family val="1"/>
      </rPr>
      <t>ight Emitting Diode (LED)</t>
    </r>
  </si>
  <si>
    <t xml:space="preserve"> 396 Cobra Head  – 8,179 Lumen</t>
  </si>
  <si>
    <t xml:space="preserve"> 397 Cobra Head  – 14,166 Lumen</t>
  </si>
  <si>
    <t xml:space="preserve"> 398 Cobra Head  – 23,214 Lumen</t>
  </si>
  <si>
    <t>KUUM_390</t>
  </si>
  <si>
    <t>KUUM_391</t>
  </si>
  <si>
    <t>KUUM_392</t>
  </si>
  <si>
    <t>KUUM_393</t>
  </si>
  <si>
    <t>KUUM_396</t>
  </si>
  <si>
    <t>KUUM_397</t>
  </si>
  <si>
    <t>KUUM_398</t>
  </si>
  <si>
    <t>KUUM_399</t>
  </si>
  <si>
    <t>* Transferred from Lighting Service - Rate LS</t>
  </si>
  <si>
    <t>Other Attachment Charges:</t>
  </si>
  <si>
    <t>$  0.81 per year for each linear foot of duct.</t>
  </si>
  <si>
    <r>
      <t xml:space="preserve">  </t>
    </r>
    <r>
      <rPr>
        <b/>
        <i/>
        <sz val="10"/>
        <rFont val="Arial"/>
        <family val="2"/>
      </rPr>
      <t>Light Emitting Diode (LED)</t>
    </r>
  </si>
  <si>
    <t>Residential Time-of-Day Energy</t>
  </si>
  <si>
    <t>Rate OSL</t>
  </si>
  <si>
    <t>EVC</t>
  </si>
  <si>
    <t>PSA</t>
  </si>
  <si>
    <t>OSL-P</t>
  </si>
  <si>
    <t>OSL-S</t>
  </si>
  <si>
    <t xml:space="preserve">    Redundant Capacity Rider</t>
  </si>
  <si>
    <t>Outdoor Sports Lighting Service OSL - Secondary</t>
  </si>
  <si>
    <t>WITNESS:   R. M. CONROY</t>
  </si>
  <si>
    <t>R. M. CONROY</t>
  </si>
  <si>
    <t>Total Energy Charge</t>
  </si>
  <si>
    <t>Pole and Structure Attachment Charges – Rate PSA</t>
  </si>
  <si>
    <t>Solar Capacity Charges</t>
  </si>
  <si>
    <t>KC1 Cobra Head - 2500-4000 lumen</t>
  </si>
  <si>
    <t>KF1 Directional Flood - 4500-6000 lumen</t>
  </si>
  <si>
    <t>KF2 Directional Flood - 14000-17500 lumen</t>
  </si>
  <si>
    <t>KF3 Directional Flood - 22000-28000 lumen</t>
  </si>
  <si>
    <t>KF4 Directional Flood - 35000-50000 lumen</t>
  </si>
  <si>
    <t>KC1</t>
  </si>
  <si>
    <t>KF1</t>
  </si>
  <si>
    <t>KF2</t>
  </si>
  <si>
    <t>KF3</t>
  </si>
  <si>
    <t>KF4</t>
  </si>
  <si>
    <t>KUUM_KC1</t>
  </si>
  <si>
    <t>KUUM_KF1</t>
  </si>
  <si>
    <t>KUUM_KF2</t>
  </si>
  <si>
    <t>KUUM_KF3</t>
  </si>
  <si>
    <t>KUUM_KF4</t>
  </si>
  <si>
    <t>KC2</t>
  </si>
  <si>
    <t>KUUM_KC2</t>
  </si>
  <si>
    <t>KC2 Cobra Head - 2500-4000 lumen</t>
  </si>
  <si>
    <t>moved to RLS</t>
  </si>
  <si>
    <t>KA1</t>
  </si>
  <si>
    <t>KN1</t>
  </si>
  <si>
    <t>KN2</t>
  </si>
  <si>
    <t>KN3</t>
  </si>
  <si>
    <t>KN4</t>
  </si>
  <si>
    <t>KN5</t>
  </si>
  <si>
    <t>KF5</t>
  </si>
  <si>
    <t>KF6</t>
  </si>
  <si>
    <t>KF7</t>
  </si>
  <si>
    <t>KF8</t>
  </si>
  <si>
    <t>KUUM_KA1</t>
  </si>
  <si>
    <t>KUUM_KN1</t>
  </si>
  <si>
    <t>KUUM_KN2</t>
  </si>
  <si>
    <t>KUUM_KN3</t>
  </si>
  <si>
    <t>KUUM_KN4</t>
  </si>
  <si>
    <t>KUUM_KN5</t>
  </si>
  <si>
    <t>KUUM_KF5</t>
  </si>
  <si>
    <t>KUUM_KF6</t>
  </si>
  <si>
    <t>KUUM_KF7</t>
  </si>
  <si>
    <t>KUUM_KF8</t>
  </si>
  <si>
    <t>KA1 Acorn - 4000-7000 lumen</t>
  </si>
  <si>
    <t>KN1 Contemporary - 4000-7000 lumen</t>
  </si>
  <si>
    <t>KN2 Contemporary - 8000-11000 lumen</t>
  </si>
  <si>
    <t>KN5 Contemporary - 45000-50000 lumen</t>
  </si>
  <si>
    <t>KN3 Contemporary - 13500-16500 lumen</t>
  </si>
  <si>
    <t>KN4 Contemporary - 21000-28000 lumen</t>
  </si>
  <si>
    <t>KF5 Directional Flood - 4500-6000 lumen</t>
  </si>
  <si>
    <t>KF6 Directional Flood - 14000-17500 lumen</t>
  </si>
  <si>
    <t>KF7 Directional Flood - 22000-28000 lumen</t>
  </si>
  <si>
    <t>KF8 Directional Flood - 35000-50000 lumen</t>
  </si>
  <si>
    <t>KUUM_PK1</t>
  </si>
  <si>
    <t>KUUM_PK2</t>
  </si>
  <si>
    <t>KUUM_PK3</t>
  </si>
  <si>
    <t>KUUM_PK4</t>
  </si>
  <si>
    <t>PK1</t>
  </si>
  <si>
    <t>PK2</t>
  </si>
  <si>
    <t>PK3</t>
  </si>
  <si>
    <t>PK4</t>
  </si>
  <si>
    <t>PK1 Pole 1 Cobra</t>
  </si>
  <si>
    <t>PK2 Pole 2 Contemporary</t>
  </si>
  <si>
    <t>PK3 Pole 3 Post Top - Decorative Smooth</t>
  </si>
  <si>
    <t>PK4 Pole 4 Post Top - Historic Fluted</t>
  </si>
  <si>
    <t>NA</t>
  </si>
  <si>
    <t>SC</t>
  </si>
  <si>
    <t>Rate PSA</t>
  </si>
  <si>
    <t>per kW (Peak)</t>
  </si>
  <si>
    <t>per kW (Base)</t>
  </si>
  <si>
    <t>Hours</t>
  </si>
  <si>
    <t>per hour</t>
  </si>
  <si>
    <t>**No KU customers on this rate schedule**</t>
  </si>
  <si>
    <t>$36.25 per year for each Wireless Facility.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</si>
  <si>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</si>
  <si>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</si>
  <si>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</si>
  <si>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</si>
  <si>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</si>
  <si>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</si>
  <si>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</si>
  <si>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</si>
  <si>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</si>
  <si>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1, 2021 TO JUNE 30, 2022</t>
  </si>
  <si>
    <t>FROM JULY 1, 2021 TO JUNE 30, 2022</t>
  </si>
  <si>
    <t>FORECAST PERIOD FOR THE 12 MONTHS ENDED JUNE 30, 2022</t>
  </si>
  <si>
    <t>FOR THE 12 MONTHS ENDED JUNE 30, 2022</t>
  </si>
  <si>
    <t>Surcredit</t>
  </si>
  <si>
    <t>L</t>
  </si>
  <si>
    <t>M</t>
  </si>
  <si>
    <t>N</t>
  </si>
  <si>
    <t xml:space="preserve">Bill With </t>
  </si>
  <si>
    <t>K</t>
  </si>
  <si>
    <t>CASE NO. 2020-00349</t>
  </si>
  <si>
    <t>Economic Relief Surcredit</t>
  </si>
  <si>
    <t xml:space="preserve">  Wood Pole</t>
  </si>
  <si>
    <t>PK5</t>
  </si>
  <si>
    <t>KV1 Victorian - 4000-7000 lumen</t>
  </si>
  <si>
    <t>One-Time Conversion Fee</t>
  </si>
  <si>
    <t>Monthly Conversion Fee</t>
  </si>
  <si>
    <t>414 Victorian  5,800 Lumen – Fixture Only</t>
  </si>
  <si>
    <t>415 Victorian  9,500 Lumen – Fixture Only</t>
  </si>
  <si>
    <t>NEW</t>
  </si>
  <si>
    <t>KV1</t>
  </si>
  <si>
    <t xml:space="preserve"> 399 Colonial, 4-Sided – 4000-7000 Lumen</t>
  </si>
  <si>
    <t>Updated  rate name</t>
  </si>
  <si>
    <t>Moved</t>
  </si>
  <si>
    <t>414 Victorian - 5,800 Lumen – Fixture Only</t>
  </si>
  <si>
    <t>415 Victorian - 9,500 Lumen – Fixture Only</t>
  </si>
  <si>
    <t>Outdoor Sports Lighting Service OSL - Primary</t>
  </si>
  <si>
    <t>^ New Rate</t>
  </si>
  <si>
    <t xml:space="preserve">393 Open Bottom – 4500-6000 Lumen </t>
  </si>
  <si>
    <t>PK5 Wood Pole ^</t>
  </si>
  <si>
    <t>PK5 Wood Pole</t>
  </si>
  <si>
    <t>Updated rate name</t>
  </si>
  <si>
    <t>moved</t>
  </si>
  <si>
    <t>Do not include</t>
  </si>
  <si>
    <t>Electric Vehicle Charging Service - Level 2 - EVC-L2</t>
  </si>
  <si>
    <t>Project</t>
  </si>
  <si>
    <t>Elimination</t>
  </si>
  <si>
    <t>ECR Elimination</t>
  </si>
  <si>
    <t>ECR Elimination / kWh</t>
  </si>
  <si>
    <t>Blended Rates</t>
  </si>
  <si>
    <t>Using blended rate of GS Single and GS Three Phase</t>
  </si>
  <si>
    <t>4.01 kWh per Charging Hour</t>
  </si>
  <si>
    <t>per Charging Hour</t>
  </si>
  <si>
    <t>390 Cobra Head, 6,000-8,200 Lumen, Fixture Only</t>
  </si>
  <si>
    <t>391 Cobra Head, 13,000-16,500 Lumen, Fixture Only</t>
  </si>
  <si>
    <t>392 Cobra Head, 22,000-29,000 Lumen, Fixture Only</t>
  </si>
  <si>
    <t>393 Open Bottom, 4,500-6,000 Lumen, Fixture Only</t>
  </si>
  <si>
    <t>KC1 Cobra Head, 2,500-4,000 Lumen, Fixture Only</t>
  </si>
  <si>
    <t>KF1 Directional (Flood), 4,500-6,000 Lumen, Fixture Only</t>
  </si>
  <si>
    <t>KF2 Directional (Flood), 14,000-17,500 Lumen, Fixture Only</t>
  </si>
  <si>
    <t>KF3 Directional (Flood), 22,000-28,000 Lumen, Fixture Only</t>
  </si>
  <si>
    <t>KF4 Directional (Flood), 35,000-50,000 Lumen, Fixture Only</t>
  </si>
  <si>
    <t>396 Cobra Head, 6,000-8,200 Lumen</t>
  </si>
  <si>
    <t>397 Cobra Head, 13,000-16,500 Lumen</t>
  </si>
  <si>
    <t>398 Cobra Head, 22,000-29,000 Lumen</t>
  </si>
  <si>
    <t>399 Colonial, 4-Sided, 4,000-7,000 Lumen</t>
  </si>
  <si>
    <t>KC2 Cobra Head, 2,500-4,000 Lumen</t>
  </si>
  <si>
    <t>KA1 Acorn, 4,000-7,000 Lumen</t>
  </si>
  <si>
    <t>KN1 Contemporary, 4,000-7,000 Lumen</t>
  </si>
  <si>
    <t>KN2 Contemporary, 8,000-11,000 Lumen</t>
  </si>
  <si>
    <t>KN3 Contemporary, 13,500-16,500 Lumen</t>
  </si>
  <si>
    <t>KN4 Contemporary, 21,000-28,000 Lumen</t>
  </si>
  <si>
    <t>KN5 Contemporary, 45,000-50,000 Lumen</t>
  </si>
  <si>
    <t>KF5 Directional (Flood), 4,500-6,000 Lumen</t>
  </si>
  <si>
    <t>KF6 Directional (Flood), 14,000-17,500 Lumen</t>
  </si>
  <si>
    <t>KF7 Directional (Flood), 22,000-28,000 Lumen</t>
  </si>
  <si>
    <t>KF8 Directional (Flood), 35,000-50,000 Lumen</t>
  </si>
  <si>
    <t>KV1 Victorian, 4,000-7,000 Lumen ^</t>
  </si>
  <si>
    <t>PK1 Pole 1 Cobra, Pole</t>
  </si>
  <si>
    <t>PK2 Pole 2 Contemporary, Pole</t>
  </si>
  <si>
    <t>PK3 Pole 3 Post Top - Decorative Smooth, Pole</t>
  </si>
  <si>
    <t>PK4 Pole 4 Post Top - Historic Fluted, Pole</t>
  </si>
  <si>
    <t xml:space="preserve"> 461 Cobra Head, 4,000 Lumen, Fixture Only</t>
  </si>
  <si>
    <t xml:space="preserve"> 471 Cobra Head, 4,000 Lumen, Fixture and Pole</t>
  </si>
  <si>
    <t xml:space="preserve"> 462 Cobra Head, 5,800 Lumen, Fixture Only </t>
  </si>
  <si>
    <t xml:space="preserve"> 472 Cobra Head, 5,800 Lumen, Fixture and Pole</t>
  </si>
  <si>
    <t xml:space="preserve"> 463 Cobra Head, 9,500 Lumen, Fixture Only </t>
  </si>
  <si>
    <t xml:space="preserve"> 473 Cobra Head, 9,500 Lumen, Fixture and Pole</t>
  </si>
  <si>
    <t xml:space="preserve"> 464 Cobra Head, 22,000 Lumen, Fixture Only </t>
  </si>
  <si>
    <t xml:space="preserve"> 474 Cobra Head, 22,000 Lumen, Fixture and Pole </t>
  </si>
  <si>
    <t xml:space="preserve"> 465 Cobra Head, 50,000 Lumen, Fixture Only</t>
  </si>
  <si>
    <t xml:space="preserve"> 475 Cobra Head, 50,000 Lumen, Fixture and Pole</t>
  </si>
  <si>
    <t xml:space="preserve"> 409 Cobra Head, 50,000 Lumen, Fixture Only</t>
  </si>
  <si>
    <t xml:space="preserve"> 426 Open Bottom, 5,800 Lumen, Fixture Only</t>
  </si>
  <si>
    <t xml:space="preserve"> 428 Open Bottom, 9,500 Lumen, Fixture Only</t>
  </si>
  <si>
    <t xml:space="preserve"> 487 Directional (Flood), 9,500 Lumen, Fixture Only</t>
  </si>
  <si>
    <t xml:space="preserve"> 488 Directional (Flood), 22,000 Lumen, Fixture Only</t>
  </si>
  <si>
    <t xml:space="preserve"> 489 Directional (Flood), 50,000 Lumen, Fixture Only</t>
  </si>
  <si>
    <t xml:space="preserve"> 450 Directional (Flood), 12,000 Lumen, Fixture Only</t>
  </si>
  <si>
    <t xml:space="preserve"> 454 Directional (Flood), 12,000 Lumen, Fixture with Pole</t>
  </si>
  <si>
    <t xml:space="preserve"> 455 Directional (Flood), 32,000 Lumen, Fixture with Pole</t>
  </si>
  <si>
    <t xml:space="preserve"> 452 Directional (Flood), 107,800 Lumen, Fixture Only</t>
  </si>
  <si>
    <t xml:space="preserve"> 459 Directional (Flood), 107,800 Lumen, Fixture with Pole</t>
  </si>
  <si>
    <t xml:space="preserve"> 451 Directional (Flood), 32,000 Lumen, Fixture Only</t>
  </si>
  <si>
    <t xml:space="preserve"> 446 Cobra Head, 7,000 Lumen, Fixture Only</t>
  </si>
  <si>
    <t xml:space="preserve"> 456 Cobra Head, 7,000 Lumen, Fixture and Pole</t>
  </si>
  <si>
    <t xml:space="preserve"> 447 Cobra Head, 10,000 Lumen, Fixture Only</t>
  </si>
  <si>
    <t xml:space="preserve"> 457 Cobra Head, 10,000 Lumen, Fixture and Pole</t>
  </si>
  <si>
    <t xml:space="preserve"> 448 Cobra Head, 20,000 Lumen, Fixture Only</t>
  </si>
  <si>
    <t xml:space="preserve"> 458 Cobra Head, 20,000 Lumen, Fixture and Pole</t>
  </si>
  <si>
    <t xml:space="preserve"> 404 Open Bottom, 7,000 Lumen, Fixture Only</t>
  </si>
  <si>
    <t xml:space="preserve"> 421 Tear Drop, 1,000 Lumen, Fixture Only</t>
  </si>
  <si>
    <t xml:space="preserve"> 422 Tear Drop, 2,500 Lumen, Fixture Only</t>
  </si>
  <si>
    <t xml:space="preserve"> 424 Tear Drop, 4,000 Lumen, Fixture Only</t>
  </si>
  <si>
    <t xml:space="preserve"> 425 Tear Drop, 6,000 Lumen, Fixture Only</t>
  </si>
  <si>
    <t xml:space="preserve"> 460 Directional (Flood), 12,000 Lumen, Fixture with Pole</t>
  </si>
  <si>
    <t xml:space="preserve"> 469 Directional (Flood), 32,000 Lumen, Fixture with Pole</t>
  </si>
  <si>
    <t xml:space="preserve"> 470 Directional (Flood), 107,800 Lumen, Fixture with Pole</t>
  </si>
  <si>
    <t xml:space="preserve"> 490 Contemporary, 12,000 Lumen, Fixture Only</t>
  </si>
  <si>
    <t xml:space="preserve"> 491 Contemporary, 32,000 Lumen, Fixture Only </t>
  </si>
  <si>
    <t xml:space="preserve"> 493 Contemporary, 107,800 Lumen, Fixture Only</t>
  </si>
  <si>
    <t xml:space="preserve"> 494 Contemporary, 12,000 Lumen, Decorative Smooth</t>
  </si>
  <si>
    <t xml:space="preserve"> 495 Contemporary, 32,000 Lumen, Contemporary</t>
  </si>
  <si>
    <t xml:space="preserve"> 496 Contemporary, 107,800 Lumen, Decorative Smooth</t>
  </si>
  <si>
    <t xml:space="preserve"> 440 Acorn, 4,000 Lumen, Decorative Smooth</t>
  </si>
  <si>
    <t xml:space="preserve"> 410 Acorn, 4,000 Lumen, Historic Fluted</t>
  </si>
  <si>
    <t xml:space="preserve"> 401 Acorn, 5,800 Lumen, Decorative Smooth</t>
  </si>
  <si>
    <t xml:space="preserve"> 411 Acorn, 5,800 Lumen, Historic Fluted</t>
  </si>
  <si>
    <t xml:space="preserve"> 420 Acorn, 9,500 Lumen, Decorative Smooth</t>
  </si>
  <si>
    <t xml:space="preserve"> 430 Acorn, 9,500 Lumen, Historic Fluted</t>
  </si>
  <si>
    <t xml:space="preserve"> 466 Colonial, 4,000 Lumen, Decorative Smooth</t>
  </si>
  <si>
    <t xml:space="preserve"> 412 Coach, 5,800 Lumen, Decorative Smooth</t>
  </si>
  <si>
    <t xml:space="preserve"> 413 Coach, 9,500 Lumen, Decorative Smooth</t>
  </si>
  <si>
    <t xml:space="preserve"> 467 Colonial, 5,800 Lumen, Decorative Smooth</t>
  </si>
  <si>
    <t xml:space="preserve"> 468 Colonial, 9,500 Lumen, Decorative Smooth</t>
  </si>
  <si>
    <t xml:space="preserve"> 492 Contemporary, 5,800 Lumen, Fixture Only</t>
  </si>
  <si>
    <t xml:space="preserve"> 476 Contemporary, 5,800 Lumen, Contemporary</t>
  </si>
  <si>
    <t xml:space="preserve"> 497 Contemporary, 9,500 Lumen, Fixture Only</t>
  </si>
  <si>
    <t xml:space="preserve"> 477 Contemporary, 9,500 Lumen, Contemporary</t>
  </si>
  <si>
    <t xml:space="preserve"> 498 Contemporary, 22,000 Lumen, Fixture Only</t>
  </si>
  <si>
    <t xml:space="preserve"> 478 Contemporary, 22,000 Lumen, Contemporary</t>
  </si>
  <si>
    <t xml:space="preserve"> 499 Contemporary, 50,000 Lumen, Fixture Only</t>
  </si>
  <si>
    <t xml:space="preserve"> 479 Contemporary, 50,000 Lumen, Contemporary</t>
  </si>
  <si>
    <t xml:space="preserve"> 300 Dark Sky, 4,000 Lumen, Decorative Smooth</t>
  </si>
  <si>
    <t xml:space="preserve"> 301 Dark Sky, 9,500 Lumen, Decorative Smooth</t>
  </si>
  <si>
    <t>414 Victorian, 5,800 Lumen, Fixture Only *</t>
  </si>
  <si>
    <t>415 Victorian, 9,500 Lumen, Fixture Only *</t>
  </si>
  <si>
    <t>RTOD Demand</t>
  </si>
  <si>
    <t>Customer Days</t>
  </si>
  <si>
    <t>Customer Months</t>
  </si>
  <si>
    <t>Peak Percentage</t>
  </si>
  <si>
    <t>Intermediate Percentage</t>
  </si>
  <si>
    <t>Demand Percent</t>
  </si>
  <si>
    <t>PS rates use blended demand</t>
  </si>
  <si>
    <t>Average Demand</t>
  </si>
  <si>
    <t>Summer</t>
  </si>
  <si>
    <t>Winter</t>
  </si>
  <si>
    <t>No customers on FLS Primary</t>
  </si>
  <si>
    <t>No customers on OSL Primary</t>
  </si>
  <si>
    <t>Rate OSL - Primary</t>
  </si>
  <si>
    <t>Rate OSL - Secondary</t>
  </si>
  <si>
    <t>FLS Transmission</t>
  </si>
  <si>
    <t>FLS Primary</t>
  </si>
  <si>
    <t>OSL Secondary</t>
  </si>
  <si>
    <t>OSL Primary</t>
  </si>
  <si>
    <t>Notes: Applicable billing factors are embedded in the Base Rate Current Bill Amount and Proposed Bill Amount.  There were no changes in the ECR component due to project eliminations.</t>
  </si>
  <si>
    <t>Typical Bill Comparison under Current &amp; Proposed Rates</t>
  </si>
  <si>
    <t>Economic</t>
  </si>
  <si>
    <t>Relief</t>
  </si>
  <si>
    <t>Rate EVC-L2</t>
  </si>
  <si>
    <t>EVC-L2</t>
  </si>
  <si>
    <t>Base Revenue As Billed</t>
  </si>
  <si>
    <t>Days/365.25*12</t>
  </si>
  <si>
    <t>Charge Hours</t>
  </si>
  <si>
    <t xml:space="preserve">    1st Two Hours</t>
  </si>
  <si>
    <t xml:space="preserve">   All Additional Hours</t>
  </si>
  <si>
    <t>SS One Capacity Charge</t>
  </si>
  <si>
    <t>Used TODP as proxy for this rate since there are no customers on this rate</t>
  </si>
  <si>
    <t>Monthly</t>
  </si>
  <si>
    <t>Note: EVC mechanism revenues are embedded with base rates</t>
  </si>
  <si>
    <t>Fluctuating Load Service - Primary (Rate FLS)</t>
  </si>
  <si>
    <t>Assumes peak and intermediate demand based on actual customer data</t>
  </si>
  <si>
    <t>Assumes peak demand based on actual customer data</t>
  </si>
  <si>
    <t>Using OSLS billing factors since no customers are currently on rate schedule</t>
  </si>
  <si>
    <t>Using blended rate of AES Single and AES Three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</si>
</sst>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_);\(&quot;$&quot;#,##0.00000\)"/>
    <numFmt numFmtId="167" formatCode="[$-409]mmm\-yy;@"/>
    <numFmt numFmtId="168" formatCode="0.0%"/>
    <numFmt numFmtId="169" formatCode="_(* #,##0.000_);_(* \(#,##0.000\);_(* &quot;-&quot;??_);_(@_)"/>
    <numFmt numFmtId="170" formatCode="_(&quot;$&quot;* #,##0_);_(&quot;$&quot;* \(#,##0\);_(&quot;$&quot;* &quot;-&quot;??_);_(@_)"/>
    <numFmt numFmtId="171" formatCode="_(&quot;$&quot;* #,##0.0000000_);_(&quot;$&quot;* \(#,##0.0000000\);_(&quot;$&quot;* &quot;-&quot;??_);_(@_)"/>
    <numFmt numFmtId="172" formatCode="0.0000%"/>
    <numFmt numFmtId="173" formatCode="0.000E+00"/>
    <numFmt numFmtId="174" formatCode="_(&quot;$&quot;* #,##0.0000_);_(&quot;$&quot;* \(#,##0.0000\);_(&quot;$&quot;* &quot;-&quot;??_);_(@_)"/>
    <numFmt numFmtId="175" formatCode="0.000"/>
    <numFmt numFmtId="176" formatCode="&quot;$&quot;#,##0.0_);[Red]\(&quot;$&quot;#,##0.0\)"/>
    <numFmt numFmtId="177" formatCode="&quot;$&quot;#,##0.00000_);[Red]\(&quot;$&quot;#,##0.00000\)"/>
    <numFmt numFmtId="178" formatCode="#,##0.0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/>
      <sz val="12"/>
      <name val="Times New Roman"/>
      <family val="1"/>
    </font>
    <font>
      <sz val="8"/>
      <color rgb="FF00000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color theme="4" tint="-0.249977111117893"/>
      <name val="Times New Roman"/>
      <family val="1"/>
    </font>
    <font>
      <sz val="10"/>
      <color theme="4" tint="-0.249977111117893"/>
      <name val="Arial"/>
      <family val="2"/>
    </font>
    <font>
      <i/>
      <sz val="11"/>
      <color theme="4" tint="-0.249977111117893"/>
      <name val="Times New Roman"/>
      <family val="1"/>
    </font>
    <font>
      <sz val="8"/>
      <name val="Calibri"/>
      <family val="2"/>
      <scheme val="minor"/>
    </font>
    <font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1" fontId="18" fillId="0" borderId="0"/>
    <xf numFmtId="0" fontId="4" fillId="0" borderId="0"/>
    <xf numFmtId="0" fontId="3" fillId="0" borderId="0"/>
    <xf numFmtId="0" fontId="4" fillId="0" borderId="0"/>
    <xf numFmtId="0" fontId="20" fillId="0" borderId="0"/>
    <xf numFmtId="9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420">
    <xf numFmtId="0" fontId="0" fillId="0" borderId="0" xfId="0"/>
    <xf numFmtId="3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2" applyNumberFormat="1" applyFont="1"/>
    <xf numFmtId="10" fontId="4" fillId="0" borderId="0" xfId="2" applyNumberFormat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/>
    <xf numFmtId="0" fontId="5" fillId="0" borderId="0" xfId="0" applyFont="1" applyAlignment="1">
      <alignment horizontal="right" vertical="top"/>
    </xf>
    <xf numFmtId="7" fontId="0" fillId="0" borderId="0" xfId="0" applyNumberFormat="1"/>
    <xf numFmtId="7" fontId="5" fillId="0" borderId="0" xfId="0" applyNumberFormat="1" applyFont="1" applyAlignment="1">
      <alignment horizontal="center"/>
    </xf>
    <xf numFmtId="7" fontId="5" fillId="0" borderId="0" xfId="0" quotePrefix="1" applyNumberFormat="1" applyFont="1" applyAlignment="1">
      <alignment horizontal="center"/>
    </xf>
    <xf numFmtId="7" fontId="5" fillId="0" borderId="0" xfId="0" applyNumberFormat="1" applyFont="1"/>
    <xf numFmtId="7" fontId="0" fillId="0" borderId="0" xfId="0" applyNumberFormat="1" applyBorder="1"/>
    <xf numFmtId="7" fontId="0" fillId="0" borderId="0" xfId="0" applyNumberFormat="1" applyFill="1"/>
    <xf numFmtId="0" fontId="5" fillId="0" borderId="0" xfId="0" quotePrefix="1" applyFont="1" applyAlignment="1">
      <alignment horizontal="center"/>
    </xf>
    <xf numFmtId="10" fontId="0" fillId="0" borderId="0" xfId="2" applyNumberFormat="1" applyFont="1" applyBorder="1"/>
    <xf numFmtId="44" fontId="7" fillId="0" borderId="0" xfId="3" applyNumberFormat="1"/>
    <xf numFmtId="44" fontId="0" fillId="0" borderId="0" xfId="0" applyNumberFormat="1"/>
    <xf numFmtId="0" fontId="4" fillId="0" borderId="0" xfId="0" applyFont="1"/>
    <xf numFmtId="164" fontId="4" fillId="0" borderId="0" xfId="2" applyNumberFormat="1"/>
    <xf numFmtId="165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/>
    <xf numFmtId="166" fontId="4" fillId="0" borderId="0" xfId="0" applyNumberFormat="1" applyFont="1" applyAlignment="1">
      <alignment horizontal="center"/>
    </xf>
    <xf numFmtId="0" fontId="8" fillId="0" borderId="0" xfId="0" applyFont="1" applyFill="1"/>
    <xf numFmtId="167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8" fontId="0" fillId="0" borderId="0" xfId="2" applyNumberFormat="1" applyFont="1"/>
    <xf numFmtId="167" fontId="5" fillId="0" borderId="0" xfId="0" quotePrefix="1" applyNumberFormat="1" applyFont="1" applyAlignment="1">
      <alignment horizontal="center" wrapText="1"/>
    </xf>
    <xf numFmtId="0" fontId="5" fillId="0" borderId="3" xfId="0" quotePrefix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/>
    <xf numFmtId="0" fontId="5" fillId="0" borderId="0" xfId="0" quotePrefix="1" applyFont="1" applyBorder="1" applyAlignment="1">
      <alignment horizontal="center"/>
    </xf>
    <xf numFmtId="0" fontId="7" fillId="0" borderId="0" xfId="0" quotePrefix="1" applyFont="1" applyFill="1" applyAlignment="1">
      <alignment horizontal="left"/>
    </xf>
    <xf numFmtId="0" fontId="0" fillId="0" borderId="0" xfId="0" quotePrefix="1" applyAlignment="1">
      <alignment horizontal="left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0" xfId="0" applyAlignment="1"/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/>
    </xf>
    <xf numFmtId="0" fontId="13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3" fontId="0" fillId="0" borderId="0" xfId="0" applyNumberFormat="1" applyFill="1"/>
    <xf numFmtId="0" fontId="5" fillId="0" borderId="0" xfId="0" applyFont="1" applyFill="1"/>
    <xf numFmtId="16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4" fillId="0" borderId="0" xfId="0" applyFont="1" applyFill="1"/>
    <xf numFmtId="167" fontId="5" fillId="0" borderId="0" xfId="0" applyNumberFormat="1" applyFont="1" applyFill="1" applyAlignment="1">
      <alignment horizontal="center"/>
    </xf>
    <xf numFmtId="167" fontId="5" fillId="0" borderId="0" xfId="0" quotePrefix="1" applyNumberFormat="1" applyFont="1" applyFill="1" applyAlignment="1">
      <alignment horizontal="center" wrapText="1"/>
    </xf>
    <xf numFmtId="44" fontId="0" fillId="0" borderId="0" xfId="0" applyNumberFormat="1" applyFill="1"/>
    <xf numFmtId="168" fontId="0" fillId="0" borderId="0" xfId="2" applyNumberFormat="1" applyFont="1" applyFill="1" applyAlignment="1">
      <alignment horizont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/>
    <xf numFmtId="10" fontId="4" fillId="0" borderId="0" xfId="0" applyNumberFormat="1" applyFont="1" applyAlignment="1">
      <alignment horizontal="center"/>
    </xf>
    <xf numFmtId="166" fontId="4" fillId="0" borderId="0" xfId="0" applyNumberFormat="1" applyFont="1"/>
    <xf numFmtId="7" fontId="4" fillId="0" borderId="0" xfId="0" applyNumberFormat="1" applyFont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8" fontId="4" fillId="0" borderId="1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8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quotePrefix="1" applyFont="1" applyAlignment="1">
      <alignment horizontal="left"/>
    </xf>
    <xf numFmtId="8" fontId="4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/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center"/>
    </xf>
    <xf numFmtId="8" fontId="5" fillId="0" borderId="0" xfId="0" quotePrefix="1" applyNumberFormat="1" applyFont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quotePrefix="1" applyFont="1" applyBorder="1" applyAlignment="1">
      <alignment horizontal="left"/>
    </xf>
    <xf numFmtId="170" fontId="0" fillId="0" borderId="0" xfId="0" applyNumberFormat="1"/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/>
    <xf numFmtId="165" fontId="5" fillId="0" borderId="0" xfId="0" applyNumberFormat="1" applyFont="1" applyFill="1"/>
    <xf numFmtId="10" fontId="0" fillId="0" borderId="0" xfId="2" applyNumberFormat="1" applyFont="1" applyFill="1"/>
    <xf numFmtId="164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168" fontId="0" fillId="0" borderId="1" xfId="2" applyNumberFormat="1" applyFont="1" applyFill="1" applyBorder="1" applyAlignment="1">
      <alignment horizontal="center"/>
    </xf>
    <xf numFmtId="168" fontId="0" fillId="0" borderId="4" xfId="2" applyNumberFormat="1" applyFont="1" applyFill="1" applyBorder="1" applyAlignment="1">
      <alignment horizontal="center"/>
    </xf>
    <xf numFmtId="171" fontId="0" fillId="0" borderId="0" xfId="0" applyNumberFormat="1"/>
    <xf numFmtId="170" fontId="0" fillId="0" borderId="0" xfId="0" applyNumberFormat="1" applyFill="1"/>
    <xf numFmtId="171" fontId="0" fillId="0" borderId="0" xfId="0" applyNumberFormat="1" applyFill="1"/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5" fillId="2" borderId="0" xfId="0" applyFont="1" applyFill="1"/>
    <xf numFmtId="0" fontId="0" fillId="2" borderId="0" xfId="0" applyFill="1"/>
    <xf numFmtId="3" fontId="0" fillId="2" borderId="0" xfId="0" applyNumberFormat="1" applyFill="1"/>
    <xf numFmtId="168" fontId="0" fillId="0" borderId="0" xfId="0" applyNumberFormat="1"/>
    <xf numFmtId="168" fontId="0" fillId="0" borderId="3" xfId="2" applyNumberFormat="1" applyFont="1" applyBorder="1"/>
    <xf numFmtId="0" fontId="4" fillId="0" borderId="0" xfId="5"/>
    <xf numFmtId="0" fontId="5" fillId="0" borderId="3" xfId="5" applyFont="1" applyBorder="1"/>
    <xf numFmtId="0" fontId="3" fillId="0" borderId="0" xfId="6"/>
    <xf numFmtId="0" fontId="4" fillId="0" borderId="0" xfId="5" quotePrefix="1" applyFont="1" applyAlignment="1">
      <alignment horizontal="left"/>
    </xf>
    <xf numFmtId="0" fontId="4" fillId="0" borderId="0" xfId="5" applyFont="1"/>
    <xf numFmtId="49" fontId="4" fillId="0" borderId="0" xfId="5" applyNumberFormat="1" applyFont="1" applyAlignment="1">
      <alignment horizontal="left"/>
    </xf>
    <xf numFmtId="14" fontId="4" fillId="0" borderId="0" xfId="5" quotePrefix="1" applyNumberFormat="1" applyFont="1" applyAlignment="1">
      <alignment horizontal="left"/>
    </xf>
    <xf numFmtId="14" fontId="4" fillId="0" borderId="0" xfId="5" applyNumberFormat="1" applyFont="1" applyAlignment="1">
      <alignment horizontal="left"/>
    </xf>
    <xf numFmtId="0" fontId="4" fillId="0" borderId="0" xfId="7"/>
    <xf numFmtId="0" fontId="8" fillId="0" borderId="0" xfId="5" applyFont="1"/>
    <xf numFmtId="0" fontId="5" fillId="0" borderId="0" xfId="6" applyFont="1" applyFill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21" fillId="0" borderId="0" xfId="0" quotePrefix="1" applyFont="1" applyAlignment="1">
      <alignment horizontal="left" indent="1"/>
    </xf>
    <xf numFmtId="0" fontId="4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44" fontId="4" fillId="0" borderId="0" xfId="0" applyNumberFormat="1" applyFont="1"/>
    <xf numFmtId="168" fontId="4" fillId="0" borderId="0" xfId="2" applyNumberFormat="1" applyFo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165" fontId="4" fillId="0" borderId="0" xfId="0" applyNumberFormat="1" applyFont="1" applyFill="1"/>
    <xf numFmtId="172" fontId="0" fillId="0" borderId="0" xfId="2" applyNumberFormat="1" applyFont="1"/>
    <xf numFmtId="0" fontId="0" fillId="0" borderId="0" xfId="0" quotePrefix="1" applyFill="1" applyAlignment="1">
      <alignment horizontal="left"/>
    </xf>
    <xf numFmtId="44" fontId="0" fillId="0" borderId="0" xfId="0" applyNumberFormat="1" applyBorder="1"/>
    <xf numFmtId="0" fontId="2" fillId="0" borderId="0" xfId="6" applyFont="1"/>
    <xf numFmtId="0" fontId="4" fillId="0" borderId="0" xfId="7" quotePrefix="1" applyAlignment="1">
      <alignment horizontal="left"/>
    </xf>
    <xf numFmtId="0" fontId="4" fillId="0" borderId="0" xfId="0" applyFont="1" applyBorder="1"/>
    <xf numFmtId="0" fontId="0" fillId="0" borderId="27" xfId="0" applyBorder="1"/>
    <xf numFmtId="0" fontId="0" fillId="0" borderId="29" xfId="0" applyBorder="1"/>
    <xf numFmtId="0" fontId="0" fillId="0" borderId="26" xfId="0" applyBorder="1"/>
    <xf numFmtId="0" fontId="0" fillId="0" borderId="28" xfId="0" applyBorder="1"/>
    <xf numFmtId="0" fontId="22" fillId="0" borderId="0" xfId="6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5" fillId="0" borderId="3" xfId="6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0" xfId="0" quotePrefix="1" applyFont="1" applyFill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/>
    <xf numFmtId="168" fontId="5" fillId="0" borderId="0" xfId="2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3" xfId="0" quotePrefix="1" applyFont="1" applyBorder="1" applyAlignment="1">
      <alignment horizontal="left"/>
    </xf>
    <xf numFmtId="44" fontId="5" fillId="0" borderId="0" xfId="0" applyNumberFormat="1" applyFont="1" applyBorder="1"/>
    <xf numFmtId="168" fontId="5" fillId="0" borderId="0" xfId="2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44" fontId="4" fillId="0" borderId="0" xfId="0" applyNumberFormat="1" applyFont="1" applyBorder="1"/>
    <xf numFmtId="168" fontId="4" fillId="0" borderId="0" xfId="2" applyNumberFormat="1" applyFont="1" applyBorder="1"/>
    <xf numFmtId="167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44" fontId="0" fillId="0" borderId="0" xfId="0" applyNumberFormat="1" applyFill="1" applyBorder="1"/>
    <xf numFmtId="0" fontId="10" fillId="0" borderId="11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68" fontId="4" fillId="0" borderId="0" xfId="2" applyNumberFormat="1" applyFont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7" fontId="0" fillId="0" borderId="0" xfId="1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left"/>
    </xf>
    <xf numFmtId="8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8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6" fontId="24" fillId="0" borderId="0" xfId="0" applyNumberFormat="1" applyFont="1" applyFill="1" applyAlignment="1">
      <alignment horizontal="center"/>
    </xf>
    <xf numFmtId="7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24" fillId="2" borderId="0" xfId="0" applyNumberFormat="1" applyFont="1" applyFill="1"/>
    <xf numFmtId="3" fontId="0" fillId="0" borderId="0" xfId="0" applyNumberFormat="1" applyFill="1" applyBorder="1"/>
    <xf numFmtId="168" fontId="0" fillId="0" borderId="0" xfId="2" applyNumberFormat="1" applyFont="1" applyFill="1" applyBorder="1" applyAlignment="1">
      <alignment horizontal="center"/>
    </xf>
    <xf numFmtId="0" fontId="0" fillId="0" borderId="0" xfId="0" applyFont="1" applyFill="1"/>
    <xf numFmtId="44" fontId="24" fillId="0" borderId="0" xfId="10" applyFont="1" applyFill="1"/>
    <xf numFmtId="0" fontId="5" fillId="0" borderId="3" xfId="0" applyFont="1" applyFill="1" applyBorder="1" applyAlignment="1">
      <alignment horizontal="center"/>
    </xf>
    <xf numFmtId="0" fontId="27" fillId="0" borderId="0" xfId="0" applyFont="1" applyFill="1"/>
    <xf numFmtId="0" fontId="26" fillId="0" borderId="20" xfId="0" applyFont="1" applyFill="1" applyBorder="1" applyAlignment="1">
      <alignment horizontal="center" vertical="center"/>
    </xf>
    <xf numFmtId="8" fontId="26" fillId="0" borderId="0" xfId="0" applyNumberFormat="1" applyFont="1" applyFill="1" applyBorder="1" applyAlignment="1">
      <alignment horizontal="left" vertical="center"/>
    </xf>
    <xf numFmtId="0" fontId="0" fillId="0" borderId="0" xfId="2" applyNumberFormat="1" applyFont="1"/>
    <xf numFmtId="8" fontId="26" fillId="0" borderId="12" xfId="0" applyNumberFormat="1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8" fontId="26" fillId="0" borderId="17" xfId="0" applyNumberFormat="1" applyFont="1" applyFill="1" applyBorder="1" applyAlignment="1">
      <alignment horizontal="left" vertical="center"/>
    </xf>
    <xf numFmtId="8" fontId="26" fillId="0" borderId="17" xfId="0" applyNumberFormat="1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44" fontId="4" fillId="0" borderId="0" xfId="0" applyNumberFormat="1" applyFont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/>
    <xf numFmtId="168" fontId="4" fillId="0" borderId="0" xfId="2" applyNumberFormat="1" applyFont="1" applyFill="1"/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2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1" fillId="0" borderId="0" xfId="0" quotePrefix="1" applyFont="1" applyFill="1" applyAlignment="1">
      <alignment horizontal="left" indent="1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/>
    <xf numFmtId="168" fontId="5" fillId="0" borderId="0" xfId="2" applyNumberFormat="1" applyFont="1" applyFill="1"/>
    <xf numFmtId="44" fontId="5" fillId="0" borderId="0" xfId="0" applyNumberFormat="1" applyFont="1" applyFill="1" applyBorder="1"/>
    <xf numFmtId="168" fontId="5" fillId="0" borderId="0" xfId="2" applyNumberFormat="1" applyFont="1" applyFill="1" applyBorder="1"/>
    <xf numFmtId="0" fontId="9" fillId="0" borderId="0" xfId="0" applyFont="1" applyFill="1" applyAlignment="1">
      <alignment horizontal="left" vertical="center"/>
    </xf>
    <xf numFmtId="10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8" fontId="4" fillId="0" borderId="36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4" fillId="0" borderId="37" xfId="0" applyFont="1" applyBorder="1" applyAlignment="1">
      <alignment horizontal="justify" vertical="center" wrapText="1"/>
    </xf>
    <xf numFmtId="8" fontId="4" fillId="0" borderId="37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8" fontId="4" fillId="0" borderId="38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8" fontId="4" fillId="0" borderId="3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8" fontId="4" fillId="0" borderId="5" xfId="0" applyNumberFormat="1" applyFont="1" applyBorder="1" applyAlignment="1">
      <alignment horizontal="left" vertical="center"/>
    </xf>
    <xf numFmtId="8" fontId="4" fillId="0" borderId="33" xfId="0" applyNumberFormat="1" applyFont="1" applyBorder="1" applyAlignment="1">
      <alignment horizontal="left" vertical="center"/>
    </xf>
    <xf numFmtId="0" fontId="24" fillId="0" borderId="0" xfId="5" quotePrefix="1" applyFont="1" applyFill="1" applyAlignment="1">
      <alignment horizontal="left"/>
    </xf>
    <xf numFmtId="0" fontId="24" fillId="0" borderId="0" xfId="5" applyFont="1" applyFill="1"/>
    <xf numFmtId="0" fontId="24" fillId="0" borderId="0" xfId="5" applyFont="1"/>
    <xf numFmtId="0" fontId="24" fillId="0" borderId="0" xfId="5" quotePrefix="1" applyFont="1" applyAlignment="1">
      <alignment horizontal="left"/>
    </xf>
    <xf numFmtId="174" fontId="0" fillId="0" borderId="0" xfId="0" applyNumberFormat="1"/>
    <xf numFmtId="169" fontId="29" fillId="0" borderId="0" xfId="1" applyNumberFormat="1" applyFont="1" applyFill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10" applyFont="1" applyAlignment="1">
      <alignment horizontal="center"/>
    </xf>
    <xf numFmtId="176" fontId="0" fillId="0" borderId="0" xfId="0" applyNumberFormat="1"/>
    <xf numFmtId="177" fontId="5" fillId="0" borderId="0" xfId="0" quotePrefix="1" applyNumberFormat="1" applyFont="1" applyAlignment="1">
      <alignment horizontal="center"/>
    </xf>
    <xf numFmtId="178" fontId="0" fillId="0" borderId="0" xfId="0" applyNumberFormat="1"/>
    <xf numFmtId="170" fontId="0" fillId="0" borderId="0" xfId="0" applyNumberFormat="1" applyFill="1" applyBorder="1"/>
    <xf numFmtId="49" fontId="5" fillId="0" borderId="0" xfId="0" applyNumberFormat="1" applyFont="1" applyFill="1" applyAlignment="1"/>
    <xf numFmtId="14" fontId="5" fillId="0" borderId="0" xfId="0" applyNumberFormat="1" applyFont="1" applyFill="1" applyAlignment="1"/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4" fillId="0" borderId="0" xfId="5" applyNumberFormat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7" fontId="5" fillId="0" borderId="3" xfId="6" applyNumberFormat="1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quotePrefix="1" applyFont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0" fillId="0" borderId="0" xfId="0" applyNumberFormat="1"/>
    <xf numFmtId="49" fontId="4" fillId="0" borderId="0" xfId="5" quotePrefix="1" applyNumberFormat="1" applyFill="1" applyAlignment="1">
      <alignment horizontal="left"/>
    </xf>
    <xf numFmtId="170" fontId="24" fillId="3" borderId="0" xfId="0" applyNumberFormat="1" applyFont="1" applyFill="1"/>
    <xf numFmtId="37" fontId="24" fillId="3" borderId="0" xfId="1" applyNumberFormat="1" applyFont="1" applyFill="1"/>
    <xf numFmtId="0" fontId="0" fillId="3" borderId="0" xfId="0" applyFill="1"/>
    <xf numFmtId="0" fontId="17" fillId="0" borderId="0" xfId="0" applyFont="1" applyFill="1" applyBorder="1" applyAlignment="1">
      <alignment vertical="center"/>
    </xf>
    <xf numFmtId="0" fontId="4" fillId="3" borderId="0" xfId="0" applyFont="1" applyFill="1"/>
    <xf numFmtId="49" fontId="5" fillId="0" borderId="0" xfId="0" applyNumberFormat="1" applyFont="1" applyBorder="1" applyAlignment="1">
      <alignment horizontal="center" vertical="center"/>
    </xf>
    <xf numFmtId="8" fontId="26" fillId="0" borderId="15" xfId="0" applyNumberFormat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8" fontId="26" fillId="4" borderId="12" xfId="0" applyNumberFormat="1" applyFont="1" applyFill="1" applyBorder="1" applyAlignment="1">
      <alignment horizontal="left" vertical="center"/>
    </xf>
    <xf numFmtId="0" fontId="10" fillId="4" borderId="30" xfId="0" applyFont="1" applyFill="1" applyBorder="1" applyAlignment="1">
      <alignment vertical="center"/>
    </xf>
    <xf numFmtId="8" fontId="26" fillId="4" borderId="15" xfId="0" applyNumberFormat="1" applyFont="1" applyFill="1" applyBorder="1" applyAlignment="1">
      <alignment horizontal="left" vertical="center"/>
    </xf>
    <xf numFmtId="8" fontId="26" fillId="4" borderId="20" xfId="0" applyNumberFormat="1" applyFont="1" applyFill="1" applyBorder="1" applyAlignment="1">
      <alignment horizontal="left" vertical="center"/>
    </xf>
    <xf numFmtId="0" fontId="27" fillId="4" borderId="0" xfId="0" applyFont="1" applyFill="1"/>
    <xf numFmtId="0" fontId="0" fillId="4" borderId="0" xfId="0" applyFill="1"/>
    <xf numFmtId="44" fontId="24" fillId="0" borderId="0" xfId="10" applyFont="1" applyFill="1" applyAlignment="1">
      <alignment horizontal="right"/>
    </xf>
    <xf numFmtId="3" fontId="24" fillId="0" borderId="0" xfId="0" applyNumberFormat="1" applyFont="1" applyFill="1"/>
    <xf numFmtId="8" fontId="26" fillId="0" borderId="10" xfId="0" applyNumberFormat="1" applyFont="1" applyFill="1" applyBorder="1" applyAlignment="1">
      <alignment horizontal="left" vertical="center"/>
    </xf>
    <xf numFmtId="8" fontId="26" fillId="0" borderId="20" xfId="0" applyNumberFormat="1" applyFont="1" applyFill="1" applyBorder="1" applyAlignment="1">
      <alignment horizontal="left" vertical="center"/>
    </xf>
    <xf numFmtId="8" fontId="26" fillId="0" borderId="6" xfId="0" applyNumberFormat="1" applyFont="1" applyFill="1" applyBorder="1" applyAlignment="1">
      <alignment horizontal="left" vertical="center"/>
    </xf>
    <xf numFmtId="8" fontId="26" fillId="0" borderId="31" xfId="0" applyNumberFormat="1" applyFont="1" applyFill="1" applyBorder="1" applyAlignment="1">
      <alignment horizontal="left" vertical="center"/>
    </xf>
    <xf numFmtId="8" fontId="26" fillId="0" borderId="32" xfId="0" applyNumberFormat="1" applyFont="1" applyFill="1" applyBorder="1" applyAlignment="1">
      <alignment horizontal="left" vertical="center"/>
    </xf>
    <xf numFmtId="0" fontId="4" fillId="0" borderId="3" xfId="0" applyFont="1" applyBorder="1" applyAlignment="1"/>
    <xf numFmtId="10" fontId="0" fillId="0" borderId="0" xfId="0" applyNumberFormat="1"/>
    <xf numFmtId="10" fontId="0" fillId="0" borderId="0" xfId="0" applyNumberFormat="1" applyBorder="1"/>
    <xf numFmtId="43" fontId="0" fillId="0" borderId="0" xfId="1" applyFont="1" applyBorder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3" fontId="0" fillId="0" borderId="0" xfId="1" applyFont="1"/>
    <xf numFmtId="43" fontId="0" fillId="0" borderId="0" xfId="1" applyFont="1" applyFill="1"/>
    <xf numFmtId="0" fontId="5" fillId="0" borderId="3" xfId="0" quotePrefix="1" applyFont="1" applyFill="1" applyBorder="1" applyAlignment="1">
      <alignment horizontal="center"/>
    </xf>
    <xf numFmtId="170" fontId="30" fillId="3" borderId="0" xfId="0" applyNumberFormat="1" applyFont="1" applyFill="1"/>
    <xf numFmtId="0" fontId="4" fillId="0" borderId="0" xfId="0" quotePrefix="1" applyFont="1" applyFill="1"/>
    <xf numFmtId="49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173" fontId="5" fillId="0" borderId="0" xfId="0" applyNumberFormat="1" applyFont="1"/>
    <xf numFmtId="10" fontId="4" fillId="0" borderId="0" xfId="2" applyNumberFormat="1" applyFill="1" applyAlignment="1">
      <alignment horizontal="center"/>
    </xf>
    <xf numFmtId="7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3" xfId="0" quotePrefix="1" applyFont="1" applyFill="1" applyBorder="1" applyAlignment="1">
      <alignment horizontal="left"/>
    </xf>
    <xf numFmtId="170" fontId="5" fillId="0" borderId="0" xfId="0" quotePrefix="1" applyNumberFormat="1" applyFont="1" applyFill="1" applyAlignment="1">
      <alignment horizontal="left"/>
    </xf>
    <xf numFmtId="178" fontId="0" fillId="0" borderId="0" xfId="0" applyNumberFormat="1" applyFill="1"/>
    <xf numFmtId="0" fontId="19" fillId="0" borderId="0" xfId="5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3">
    <cellStyle name="Comma" xfId="1" builtinId="3"/>
    <cellStyle name="Currency" xfId="10" builtinId="4"/>
    <cellStyle name="Currency 3" xfId="11" xr:uid="{00000000-0005-0000-0000-000002000000}"/>
    <cellStyle name="Normal" xfId="0" builtinId="0"/>
    <cellStyle name="Normal 10 2" xfId="7" xr:uid="{00000000-0005-0000-0000-000004000000}"/>
    <cellStyle name="Normal 13" xfId="3" xr:uid="{00000000-0005-0000-0000-000005000000}"/>
    <cellStyle name="Normal 2" xfId="6" xr:uid="{00000000-0005-0000-0000-000006000000}"/>
    <cellStyle name="Normal 2 19" xfId="4" xr:uid="{00000000-0005-0000-0000-000007000000}"/>
    <cellStyle name="Normal 2 2" xfId="12" xr:uid="{00000000-0005-0000-0000-000008000000}"/>
    <cellStyle name="Normal 47" xfId="5" xr:uid="{00000000-0005-0000-0000-000009000000}"/>
    <cellStyle name="Normal 48" xfId="8" xr:uid="{00000000-0005-0000-0000-00000A000000}"/>
    <cellStyle name="Percent" xfId="2" builtinId="5"/>
    <cellStyle name="Percent 2" xfId="9" xr:uid="{00000000-0005-0000-0000-00000C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L48"/>
  <sheetViews>
    <sheetView tabSelected="1" zoomScale="75" zoomScaleNormal="75" workbookViewId="0">
      <selection sqref="A1:C1"/>
    </sheetView>
  </sheetViews>
  <sheetFormatPr defaultColWidth="9.1796875" defaultRowHeight="12.5" x14ac:dyDescent="0.25"/>
  <cols>
    <col min="1" max="1" width="39.1796875" style="163" customWidth="1"/>
    <col min="2" max="2" width="3.54296875" style="163" customWidth="1"/>
    <col min="3" max="3" width="39.1796875" style="163" customWidth="1"/>
    <col min="4" max="9" width="9.1796875" style="163"/>
    <col min="10" max="10" width="10.453125" style="163" customWidth="1"/>
    <col min="11" max="11" width="11.453125" style="163" customWidth="1"/>
    <col min="12" max="12" width="15.54296875" style="163" customWidth="1"/>
    <col min="13" max="16384" width="9.1796875" style="163"/>
  </cols>
  <sheetData>
    <row r="1" spans="1:12" ht="15.5" x14ac:dyDescent="0.35">
      <c r="A1" s="400" t="s">
        <v>286</v>
      </c>
      <c r="B1" s="400"/>
      <c r="C1" s="400"/>
    </row>
    <row r="2" spans="1:12" ht="15.5" x14ac:dyDescent="0.35">
      <c r="A2" s="400" t="s">
        <v>261</v>
      </c>
      <c r="B2" s="400"/>
      <c r="C2" s="400"/>
    </row>
    <row r="3" spans="1:12" ht="15.5" x14ac:dyDescent="0.35">
      <c r="A3" s="400" t="s">
        <v>426</v>
      </c>
      <c r="B3" s="400"/>
      <c r="C3" s="400"/>
    </row>
    <row r="8" spans="1:12" ht="14.5" x14ac:dyDescent="0.35">
      <c r="A8" s="164" t="s">
        <v>262</v>
      </c>
      <c r="B8" s="165"/>
      <c r="C8" s="165"/>
      <c r="J8" s="163">
        <v>1</v>
      </c>
      <c r="K8" s="323" t="s">
        <v>263</v>
      </c>
      <c r="L8" s="325" t="str">
        <f t="shared" ref="L8:L30" si="0">("PAGE "&amp;J8&amp;" of "&amp;$J$31)</f>
        <v>PAGE 1 of 24</v>
      </c>
    </row>
    <row r="9" spans="1:12" ht="14.5" x14ac:dyDescent="0.35">
      <c r="A9" s="167" t="s">
        <v>264</v>
      </c>
      <c r="B9" s="165"/>
      <c r="C9" s="168" t="s">
        <v>286</v>
      </c>
      <c r="J9" s="163">
        <f>1+J8</f>
        <v>2</v>
      </c>
      <c r="K9" s="323" t="s">
        <v>265</v>
      </c>
      <c r="L9" s="325" t="str">
        <f t="shared" si="0"/>
        <v>PAGE 2 of 24</v>
      </c>
    </row>
    <row r="10" spans="1:12" ht="14.5" x14ac:dyDescent="0.35">
      <c r="A10" s="167" t="s">
        <v>266</v>
      </c>
      <c r="B10" s="165"/>
      <c r="C10" s="353" t="s">
        <v>445</v>
      </c>
      <c r="J10" s="163">
        <f t="shared" ref="J10:J23" si="1">1+J9</f>
        <v>3</v>
      </c>
      <c r="K10" s="324" t="s">
        <v>267</v>
      </c>
      <c r="L10" s="325" t="str">
        <f t="shared" si="0"/>
        <v>PAGE 3 of 24</v>
      </c>
    </row>
    <row r="11" spans="1:12" ht="14.5" x14ac:dyDescent="0.35">
      <c r="A11" s="167" t="s">
        <v>268</v>
      </c>
      <c r="B11" s="165"/>
      <c r="C11" s="341" t="s">
        <v>427</v>
      </c>
      <c r="J11" s="163">
        <f t="shared" si="1"/>
        <v>4</v>
      </c>
      <c r="K11" s="324" t="s">
        <v>287</v>
      </c>
      <c r="L11" s="325" t="str">
        <f t="shared" si="0"/>
        <v>PAGE 4 of 24</v>
      </c>
    </row>
    <row r="12" spans="1:12" ht="14.5" x14ac:dyDescent="0.35">
      <c r="A12" s="165"/>
      <c r="B12" s="165"/>
      <c r="C12" s="341" t="s">
        <v>428</v>
      </c>
      <c r="J12" s="163">
        <f t="shared" si="1"/>
        <v>5</v>
      </c>
      <c r="K12" s="324" t="s">
        <v>288</v>
      </c>
      <c r="L12" s="325" t="str">
        <f t="shared" si="0"/>
        <v>PAGE 5 of 24</v>
      </c>
    </row>
    <row r="13" spans="1:12" ht="14.5" x14ac:dyDescent="0.35">
      <c r="A13" s="165"/>
      <c r="B13" s="165"/>
      <c r="C13" s="341" t="s">
        <v>429</v>
      </c>
      <c r="J13" s="163">
        <f t="shared" si="1"/>
        <v>6</v>
      </c>
      <c r="K13" s="323" t="s">
        <v>290</v>
      </c>
      <c r="L13" s="325" t="str">
        <f t="shared" si="0"/>
        <v>PAGE 6 of 24</v>
      </c>
    </row>
    <row r="14" spans="1:12" ht="14.5" x14ac:dyDescent="0.35">
      <c r="A14" s="165"/>
      <c r="B14" s="165"/>
      <c r="C14" s="341" t="s">
        <v>430</v>
      </c>
      <c r="J14" s="163">
        <f t="shared" si="1"/>
        <v>7</v>
      </c>
      <c r="K14" s="323" t="s">
        <v>289</v>
      </c>
      <c r="L14" s="325" t="str">
        <f t="shared" si="0"/>
        <v>PAGE 7 of 24</v>
      </c>
    </row>
    <row r="15" spans="1:12" ht="14.5" x14ac:dyDescent="0.35">
      <c r="A15" s="165"/>
      <c r="B15" s="165"/>
      <c r="C15" s="341" t="s">
        <v>431</v>
      </c>
      <c r="J15" s="163">
        <f t="shared" si="1"/>
        <v>8</v>
      </c>
      <c r="K15" s="325" t="s">
        <v>249</v>
      </c>
      <c r="L15" s="325" t="str">
        <f t="shared" si="0"/>
        <v>PAGE 8 of 24</v>
      </c>
    </row>
    <row r="16" spans="1:12" ht="14.5" x14ac:dyDescent="0.35">
      <c r="A16" s="165"/>
      <c r="B16" s="165"/>
      <c r="C16" s="341" t="s">
        <v>432</v>
      </c>
      <c r="J16" s="163">
        <f t="shared" si="1"/>
        <v>9</v>
      </c>
      <c r="K16" s="325" t="s">
        <v>248</v>
      </c>
      <c r="L16" s="325" t="str">
        <f t="shared" si="0"/>
        <v>PAGE 9 of 24</v>
      </c>
    </row>
    <row r="17" spans="1:12" ht="14.5" x14ac:dyDescent="0.35">
      <c r="A17" s="167" t="s">
        <v>269</v>
      </c>
      <c r="B17" s="165"/>
      <c r="C17" s="341" t="s">
        <v>433</v>
      </c>
      <c r="J17" s="163">
        <f t="shared" si="1"/>
        <v>10</v>
      </c>
      <c r="K17" s="326" t="s">
        <v>251</v>
      </c>
      <c r="L17" s="325" t="str">
        <f t="shared" si="0"/>
        <v>PAGE 10 of 24</v>
      </c>
    </row>
    <row r="18" spans="1:12" ht="14.5" x14ac:dyDescent="0.35">
      <c r="A18" s="165"/>
      <c r="B18" s="165"/>
      <c r="C18" s="341" t="s">
        <v>434</v>
      </c>
      <c r="J18" s="163">
        <f t="shared" si="1"/>
        <v>11</v>
      </c>
      <c r="K18" s="325" t="s">
        <v>250</v>
      </c>
      <c r="L18" s="325" t="str">
        <f t="shared" si="0"/>
        <v>PAGE 11 of 24</v>
      </c>
    </row>
    <row r="19" spans="1:12" ht="14.5" x14ac:dyDescent="0.35">
      <c r="A19" s="165"/>
      <c r="B19" s="165"/>
      <c r="C19" s="341" t="s">
        <v>435</v>
      </c>
      <c r="J19" s="163">
        <f t="shared" si="1"/>
        <v>12</v>
      </c>
      <c r="K19" s="325" t="s">
        <v>233</v>
      </c>
      <c r="L19" s="325" t="str">
        <f t="shared" si="0"/>
        <v>PAGE 12 of 24</v>
      </c>
    </row>
    <row r="20" spans="1:12" ht="14.5" x14ac:dyDescent="0.35">
      <c r="A20" s="165"/>
      <c r="B20" s="165"/>
      <c r="C20" s="341" t="s">
        <v>436</v>
      </c>
      <c r="J20" s="163">
        <f t="shared" si="1"/>
        <v>13</v>
      </c>
      <c r="K20" s="326" t="s">
        <v>316</v>
      </c>
      <c r="L20" s="325" t="str">
        <f t="shared" si="0"/>
        <v>PAGE 13 of 24</v>
      </c>
    </row>
    <row r="21" spans="1:12" ht="14.5" x14ac:dyDescent="0.35">
      <c r="A21" s="165"/>
      <c r="B21" s="165"/>
      <c r="C21" s="341" t="s">
        <v>437</v>
      </c>
      <c r="J21" s="163">
        <f t="shared" si="1"/>
        <v>14</v>
      </c>
      <c r="K21" s="326" t="s">
        <v>317</v>
      </c>
      <c r="L21" s="325" t="str">
        <f t="shared" si="0"/>
        <v>PAGE 14 of 24</v>
      </c>
    </row>
    <row r="22" spans="1:12" ht="14.5" x14ac:dyDescent="0.35">
      <c r="A22" s="165"/>
      <c r="B22" s="165"/>
      <c r="C22" s="341" t="s">
        <v>438</v>
      </c>
      <c r="J22" s="163">
        <f t="shared" si="1"/>
        <v>15</v>
      </c>
      <c r="K22" s="326" t="s">
        <v>309</v>
      </c>
      <c r="L22" s="325" t="str">
        <f t="shared" si="0"/>
        <v>PAGE 15 of 24</v>
      </c>
    </row>
    <row r="23" spans="1:12" x14ac:dyDescent="0.25">
      <c r="J23" s="163">
        <f t="shared" si="1"/>
        <v>16</v>
      </c>
      <c r="K23" s="326" t="s">
        <v>309</v>
      </c>
      <c r="L23" s="325" t="str">
        <f t="shared" si="0"/>
        <v>PAGE 16 of 24</v>
      </c>
    </row>
    <row r="24" spans="1:12" ht="14.5" x14ac:dyDescent="0.35">
      <c r="A24" s="166" t="s">
        <v>270</v>
      </c>
      <c r="B24" s="165"/>
      <c r="C24" s="169" t="s">
        <v>591</v>
      </c>
      <c r="J24" s="163">
        <f t="shared" ref="J24:J31" si="2">1+J23</f>
        <v>17</v>
      </c>
      <c r="K24" s="325" t="s">
        <v>310</v>
      </c>
      <c r="L24" s="325" t="str">
        <f t="shared" si="0"/>
        <v>PAGE 17 of 24</v>
      </c>
    </row>
    <row r="25" spans="1:12" ht="14.5" x14ac:dyDescent="0.35">
      <c r="A25" s="166" t="s">
        <v>272</v>
      </c>
      <c r="B25" s="165"/>
      <c r="C25" s="170" t="s">
        <v>273</v>
      </c>
      <c r="J25" s="163">
        <f t="shared" si="2"/>
        <v>18</v>
      </c>
      <c r="K25" s="325" t="s">
        <v>310</v>
      </c>
      <c r="L25" s="325" t="str">
        <f t="shared" si="0"/>
        <v>PAGE 18 of 24</v>
      </c>
    </row>
    <row r="26" spans="1:12" ht="14.5" x14ac:dyDescent="0.35">
      <c r="A26" s="188" t="s">
        <v>301</v>
      </c>
      <c r="B26" s="165"/>
      <c r="C26" s="189" t="s">
        <v>308</v>
      </c>
      <c r="J26" s="163">
        <f t="shared" si="2"/>
        <v>19</v>
      </c>
      <c r="K26" s="325" t="s">
        <v>271</v>
      </c>
      <c r="L26" s="325" t="str">
        <f t="shared" si="0"/>
        <v>PAGE 19 of 24</v>
      </c>
    </row>
    <row r="27" spans="1:12" ht="14.5" x14ac:dyDescent="0.35">
      <c r="A27" s="165"/>
      <c r="B27" s="165"/>
      <c r="C27" s="171"/>
      <c r="J27" s="163">
        <f t="shared" si="2"/>
        <v>20</v>
      </c>
      <c r="K27" s="325" t="s">
        <v>274</v>
      </c>
      <c r="L27" s="325" t="str">
        <f t="shared" si="0"/>
        <v>PAGE 20 of 24</v>
      </c>
    </row>
    <row r="28" spans="1:12" ht="14.5" x14ac:dyDescent="0.35">
      <c r="A28" s="164" t="s">
        <v>275</v>
      </c>
      <c r="B28" s="165"/>
      <c r="C28" s="172"/>
      <c r="J28" s="163">
        <f t="shared" si="2"/>
        <v>21</v>
      </c>
      <c r="K28" s="325" t="s">
        <v>348</v>
      </c>
      <c r="L28" s="325" t="str">
        <f t="shared" si="0"/>
        <v>PAGE 21 of 24</v>
      </c>
    </row>
    <row r="29" spans="1:12" ht="14.5" x14ac:dyDescent="0.35">
      <c r="A29" s="167" t="s">
        <v>276</v>
      </c>
      <c r="B29" s="165"/>
      <c r="C29" s="167" t="s">
        <v>277</v>
      </c>
      <c r="J29" s="163">
        <f t="shared" si="2"/>
        <v>22</v>
      </c>
      <c r="K29" s="325" t="s">
        <v>347</v>
      </c>
      <c r="L29" s="325" t="str">
        <f t="shared" si="0"/>
        <v>PAGE 22 of 24</v>
      </c>
    </row>
    <row r="30" spans="1:12" ht="14.5" x14ac:dyDescent="0.35">
      <c r="A30" s="167" t="s">
        <v>278</v>
      </c>
      <c r="B30" s="165"/>
      <c r="C30" s="167" t="s">
        <v>279</v>
      </c>
      <c r="J30" s="163">
        <f t="shared" si="2"/>
        <v>23</v>
      </c>
      <c r="K30" s="325" t="s">
        <v>345</v>
      </c>
      <c r="L30" s="325" t="str">
        <f t="shared" si="0"/>
        <v>PAGE 23 of 24</v>
      </c>
    </row>
    <row r="31" spans="1:12" ht="14.5" x14ac:dyDescent="0.35">
      <c r="A31" s="167" t="s">
        <v>280</v>
      </c>
      <c r="B31" s="165"/>
      <c r="C31" s="167" t="s">
        <v>281</v>
      </c>
      <c r="J31" s="163">
        <f t="shared" si="2"/>
        <v>24</v>
      </c>
      <c r="K31" s="325" t="s">
        <v>346</v>
      </c>
      <c r="L31" s="325" t="str">
        <f>("PAGE "&amp;J31&amp;" of "&amp;$J$31)</f>
        <v>PAGE 24 of 24</v>
      </c>
    </row>
    <row r="32" spans="1:12" x14ac:dyDescent="0.25">
      <c r="L32" s="325"/>
    </row>
    <row r="33" spans="1:3" ht="14.5" x14ac:dyDescent="0.35">
      <c r="A33" s="165"/>
      <c r="B33" s="165"/>
      <c r="C33" s="171" t="s">
        <v>282</v>
      </c>
    </row>
    <row r="34" spans="1:3" ht="14.5" x14ac:dyDescent="0.35">
      <c r="A34" s="165"/>
      <c r="B34" s="165"/>
      <c r="C34" s="171" t="s">
        <v>283</v>
      </c>
    </row>
    <row r="35" spans="1:3" ht="14.5" x14ac:dyDescent="0.35">
      <c r="A35" s="164" t="s">
        <v>284</v>
      </c>
      <c r="B35" s="165"/>
      <c r="C35" s="165"/>
    </row>
    <row r="36" spans="1:3" ht="14.5" x14ac:dyDescent="0.35">
      <c r="A36" s="167" t="s">
        <v>352</v>
      </c>
      <c r="B36" s="165"/>
      <c r="C36" s="167" t="s">
        <v>351</v>
      </c>
    </row>
    <row r="37" spans="1:3" ht="14.5" x14ac:dyDescent="0.35">
      <c r="A37" s="167"/>
      <c r="B37" s="165"/>
      <c r="C37" s="167" t="s">
        <v>285</v>
      </c>
    </row>
    <row r="38" spans="1:3" ht="14.5" x14ac:dyDescent="0.35">
      <c r="A38" s="165"/>
      <c r="B38" s="165"/>
      <c r="C38" s="167" t="s">
        <v>285</v>
      </c>
    </row>
    <row r="39" spans="1:3" ht="14.5" x14ac:dyDescent="0.35">
      <c r="A39" s="165"/>
      <c r="B39" s="165"/>
      <c r="C39" s="167" t="s">
        <v>285</v>
      </c>
    </row>
    <row r="40" spans="1:3" ht="14.5" x14ac:dyDescent="0.35">
      <c r="A40" s="165"/>
      <c r="B40" s="165"/>
      <c r="C40" s="167" t="s">
        <v>285</v>
      </c>
    </row>
    <row r="41" spans="1:3" ht="14.5" x14ac:dyDescent="0.35">
      <c r="A41" s="165"/>
      <c r="B41" s="165"/>
      <c r="C41" s="167" t="s">
        <v>285</v>
      </c>
    </row>
    <row r="42" spans="1:3" ht="14.5" x14ac:dyDescent="0.35">
      <c r="A42" s="165"/>
      <c r="B42" s="165"/>
      <c r="C42" s="167" t="s">
        <v>285</v>
      </c>
    </row>
    <row r="43" spans="1:3" ht="14.5" x14ac:dyDescent="0.35">
      <c r="A43" s="165"/>
      <c r="B43" s="165"/>
      <c r="C43" s="167" t="s">
        <v>285</v>
      </c>
    </row>
    <row r="44" spans="1:3" ht="14.5" x14ac:dyDescent="0.35">
      <c r="A44" s="165"/>
      <c r="B44" s="165"/>
      <c r="C44" s="167" t="s">
        <v>285</v>
      </c>
    </row>
    <row r="45" spans="1:3" ht="14.5" x14ac:dyDescent="0.35">
      <c r="A45" s="165"/>
      <c r="B45" s="165"/>
      <c r="C45" s="167" t="s">
        <v>285</v>
      </c>
    </row>
    <row r="46" spans="1:3" ht="14.5" x14ac:dyDescent="0.35">
      <c r="A46" s="165"/>
      <c r="B46" s="165"/>
      <c r="C46" s="167" t="s">
        <v>285</v>
      </c>
    </row>
    <row r="47" spans="1:3" ht="14.5" x14ac:dyDescent="0.35">
      <c r="A47" s="165"/>
      <c r="B47" s="165"/>
      <c r="C47" s="167" t="s">
        <v>285</v>
      </c>
    </row>
    <row r="48" spans="1:3" ht="14.5" x14ac:dyDescent="0.35">
      <c r="A48" s="165"/>
      <c r="B48" s="165"/>
      <c r="C48" s="167" t="s">
        <v>285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AL42"/>
  <sheetViews>
    <sheetView zoomScale="80" zoomScaleNormal="80" zoomScaleSheetLayoutView="100" workbookViewId="0">
      <selection sqref="A1:P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0.81640625" bestFit="1" customWidth="1"/>
    <col min="7" max="7" width="9.26953125" bestFit="1" customWidth="1"/>
    <col min="8" max="8" width="10.7265625" bestFit="1" customWidth="1"/>
    <col min="9" max="9" width="10" bestFit="1" customWidth="1"/>
    <col min="10" max="10" width="10" customWidth="1"/>
    <col min="11" max="11" width="12.26953125" bestFit="1" customWidth="1"/>
    <col min="12" max="12" width="10.453125" bestFit="1" customWidth="1"/>
    <col min="13" max="13" width="9.26953125" bestFit="1" customWidth="1"/>
    <col min="14" max="14" width="9.26953125" customWidth="1"/>
    <col min="15" max="15" width="10.1796875" bestFit="1" customWidth="1"/>
    <col min="16" max="16" width="9.26953125" customWidth="1"/>
    <col min="17" max="20" width="3.54296875" customWidth="1"/>
    <col min="21" max="21" width="11.81640625" customWidth="1"/>
    <col min="22" max="22" width="9.81640625" customWidth="1"/>
    <col min="23" max="24" width="9.54296875" customWidth="1"/>
    <col min="25" max="25" width="7.1796875" customWidth="1"/>
    <col min="26" max="26" width="11.54296875" customWidth="1"/>
    <col min="27" max="27" width="9.54296875" customWidth="1"/>
    <col min="28" max="28" width="9.1796875" bestFit="1" customWidth="1"/>
    <col min="29" max="29" width="12.81640625" bestFit="1" customWidth="1"/>
    <col min="30" max="30" width="9" bestFit="1" customWidth="1"/>
    <col min="33" max="34" width="3" customWidth="1"/>
    <col min="36" max="36" width="2.7265625" customWidth="1"/>
  </cols>
  <sheetData>
    <row r="1" spans="1:38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38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38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1:38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38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38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3"/>
      <c r="O6" s="203"/>
      <c r="P6" s="203"/>
    </row>
    <row r="7" spans="1:38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N7" s="209"/>
      <c r="O7" s="209"/>
      <c r="P7" s="209" t="str">
        <f>+'Rate Case Constants'!C25</f>
        <v>SCHEDULE N</v>
      </c>
    </row>
    <row r="8" spans="1:38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N8" s="203"/>
      <c r="O8" s="203"/>
      <c r="P8" s="203" t="str">
        <f>+'Rate Case Constants'!L14</f>
        <v>PAGE 7 of 24</v>
      </c>
    </row>
    <row r="9" spans="1:38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N9" s="203"/>
      <c r="O9" s="203"/>
      <c r="P9" s="203" t="str">
        <f>+'Rate Case Constants'!C36</f>
        <v>WITNESS:   R. M. CONROY</v>
      </c>
      <c r="U9" s="29" t="s">
        <v>475</v>
      </c>
    </row>
    <row r="10" spans="1:38" ht="13" x14ac:dyDescent="0.3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  <c r="N10" s="203"/>
      <c r="O10" s="203"/>
      <c r="P10" s="203"/>
      <c r="U10" s="83" t="s">
        <v>68</v>
      </c>
      <c r="V10" s="2">
        <f>INPUT!M67</f>
        <v>-1.3521567507700039E-3</v>
      </c>
    </row>
    <row r="11" spans="1:38" ht="13" x14ac:dyDescent="0.3">
      <c r="A11" s="124" t="s">
        <v>75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3" t="s">
        <v>70</v>
      </c>
      <c r="V11" s="2">
        <f>INPUT!N67</f>
        <v>2.3410632927024174E-3</v>
      </c>
      <c r="W11" s="29"/>
      <c r="X11" s="29"/>
      <c r="Y11" s="29"/>
      <c r="Z11" s="32"/>
      <c r="AA11" s="29"/>
      <c r="AB11" s="29"/>
      <c r="AC11" s="29"/>
      <c r="AD11" s="29"/>
      <c r="AE11" s="29"/>
      <c r="AF11" s="29"/>
    </row>
    <row r="12" spans="1:38" ht="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3" t="s">
        <v>69</v>
      </c>
      <c r="V12" s="2">
        <f>INPUT!O67</f>
        <v>1.1753405075987379E-2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8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29"/>
      <c r="R13" s="29"/>
      <c r="S13" s="29"/>
      <c r="T13" s="29"/>
      <c r="U13" s="29"/>
      <c r="V13" s="29"/>
      <c r="W13" s="29"/>
      <c r="Y13" s="29"/>
      <c r="Z13" s="29"/>
      <c r="AA13" s="29"/>
      <c r="AB13" s="29"/>
      <c r="AC13" s="29"/>
      <c r="AD13" s="29"/>
      <c r="AE13" s="29"/>
      <c r="AF13" s="29"/>
    </row>
    <row r="14" spans="1:38" ht="13" x14ac:dyDescent="0.3">
      <c r="C14" s="195" t="s">
        <v>313</v>
      </c>
      <c r="D14" s="195" t="s">
        <v>313</v>
      </c>
      <c r="E14" s="195" t="s">
        <v>69</v>
      </c>
      <c r="H14" s="17"/>
      <c r="I14" s="17"/>
      <c r="J14" s="17"/>
      <c r="K14" s="3" t="s">
        <v>5</v>
      </c>
      <c r="L14" s="3" t="s">
        <v>5</v>
      </c>
      <c r="N14" s="85" t="s">
        <v>592</v>
      </c>
      <c r="O14" s="85" t="s">
        <v>5</v>
      </c>
      <c r="P14" s="17"/>
      <c r="U14" s="46" t="s">
        <v>56</v>
      </c>
      <c r="V14" s="46"/>
      <c r="W14" s="46"/>
      <c r="X14" s="3"/>
      <c r="Z14" s="46" t="s">
        <v>57</v>
      </c>
      <c r="AA14" s="46"/>
      <c r="AB14" s="46"/>
      <c r="AC14" s="377" t="s">
        <v>475</v>
      </c>
      <c r="AD14" s="46"/>
      <c r="AE14" s="3"/>
      <c r="AF14" s="56"/>
    </row>
    <row r="15" spans="1:38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07" t="s">
        <v>245</v>
      </c>
      <c r="I15" s="407"/>
      <c r="J15" s="408"/>
      <c r="K15" s="3" t="s">
        <v>1</v>
      </c>
      <c r="L15" s="3" t="s">
        <v>71</v>
      </c>
      <c r="M15" s="3"/>
      <c r="N15" s="85" t="s">
        <v>593</v>
      </c>
      <c r="O15" s="85" t="s">
        <v>71</v>
      </c>
      <c r="P15" s="85"/>
      <c r="U15" s="25" t="s">
        <v>59</v>
      </c>
      <c r="V15" s="3"/>
      <c r="W15" s="25"/>
      <c r="X15" s="3"/>
      <c r="Z15" s="25" t="s">
        <v>59</v>
      </c>
      <c r="AA15" s="3"/>
      <c r="AB15" s="25"/>
      <c r="AC15" s="86"/>
      <c r="AD15" s="83" t="s">
        <v>592</v>
      </c>
      <c r="AE15" s="3"/>
      <c r="AF15" s="25"/>
    </row>
    <row r="16" spans="1:38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85" t="s">
        <v>70</v>
      </c>
      <c r="J16" s="85" t="s">
        <v>69</v>
      </c>
      <c r="K16" s="3" t="s">
        <v>4</v>
      </c>
      <c r="L16" s="3" t="s">
        <v>4</v>
      </c>
      <c r="M16" s="3" t="s">
        <v>72</v>
      </c>
      <c r="N16" s="85" t="s">
        <v>439</v>
      </c>
      <c r="O16" s="85" t="s">
        <v>443</v>
      </c>
      <c r="P16" s="85" t="s">
        <v>72</v>
      </c>
      <c r="Q16" s="3"/>
      <c r="R16" s="3"/>
      <c r="S16" s="3"/>
      <c r="T16" s="3"/>
      <c r="U16" s="25" t="s">
        <v>58</v>
      </c>
      <c r="V16" s="3" t="s">
        <v>53</v>
      </c>
      <c r="W16" s="25" t="s">
        <v>5</v>
      </c>
      <c r="X16" s="3"/>
      <c r="Z16" s="25" t="s">
        <v>58</v>
      </c>
      <c r="AA16" s="3" t="s">
        <v>53</v>
      </c>
      <c r="AB16" s="25" t="s">
        <v>5</v>
      </c>
      <c r="AC16" s="86" t="s">
        <v>69</v>
      </c>
      <c r="AD16" s="85" t="s">
        <v>593</v>
      </c>
      <c r="AE16" s="3"/>
      <c r="AF16" s="25"/>
      <c r="AH16" s="2"/>
      <c r="AI16" s="85"/>
      <c r="AJ16" s="85"/>
      <c r="AK16" s="85"/>
      <c r="AL16" s="3"/>
    </row>
    <row r="17" spans="1:38" ht="13" x14ac:dyDescent="0.3">
      <c r="A17" s="3" t="s">
        <v>46</v>
      </c>
      <c r="B17" s="3"/>
      <c r="C17" s="3"/>
      <c r="D17" s="3"/>
      <c r="E17" s="85"/>
      <c r="F17" s="3" t="s">
        <v>66</v>
      </c>
      <c r="G17" s="25" t="s">
        <v>67</v>
      </c>
      <c r="H17" s="88"/>
      <c r="I17" s="88"/>
      <c r="J17" s="89"/>
      <c r="K17" s="3" t="s">
        <v>66</v>
      </c>
      <c r="L17" s="3" t="s">
        <v>66</v>
      </c>
      <c r="M17" s="25" t="s">
        <v>67</v>
      </c>
      <c r="N17" s="86"/>
      <c r="O17" s="86" t="s">
        <v>439</v>
      </c>
      <c r="P17" s="86" t="s">
        <v>67</v>
      </c>
      <c r="Q17" s="3"/>
      <c r="R17" s="3"/>
      <c r="S17" s="3"/>
      <c r="T17" s="3"/>
      <c r="U17" s="183" t="s">
        <v>3</v>
      </c>
      <c r="V17" s="80" t="s">
        <v>3</v>
      </c>
      <c r="W17" s="183" t="s">
        <v>4</v>
      </c>
      <c r="X17" s="206"/>
      <c r="Z17" s="183" t="s">
        <v>3</v>
      </c>
      <c r="AA17" s="80" t="s">
        <v>3</v>
      </c>
      <c r="AB17" s="183" t="s">
        <v>4</v>
      </c>
      <c r="AC17" s="386" t="s">
        <v>471</v>
      </c>
      <c r="AD17" s="342" t="s">
        <v>439</v>
      </c>
      <c r="AE17" s="206"/>
      <c r="AF17" s="57"/>
      <c r="AH17" s="2"/>
      <c r="AI17" s="85"/>
      <c r="AJ17" s="85"/>
      <c r="AK17" s="85"/>
      <c r="AL17" s="3"/>
    </row>
    <row r="18" spans="1:38" ht="13" x14ac:dyDescent="0.3">
      <c r="A18" s="80"/>
      <c r="B18" s="80"/>
      <c r="C18" s="80"/>
      <c r="D18" s="80"/>
      <c r="E18" s="343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3"/>
      <c r="R18" s="3"/>
      <c r="S18" s="3"/>
      <c r="T18" s="3"/>
      <c r="U18" s="25"/>
      <c r="V18" s="31">
        <f>+INPUT!$F$6</f>
        <v>0.11225</v>
      </c>
      <c r="W18" s="25"/>
      <c r="X18" s="40"/>
      <c r="Z18" s="25"/>
      <c r="AA18" s="31">
        <f>INPUT!$F$34</f>
        <v>0.12469000000000001</v>
      </c>
      <c r="AB18" s="25"/>
      <c r="AC18" s="86">
        <f>INPUT!Q67</f>
        <v>2.8516806352290903E-3</v>
      </c>
      <c r="AD18" s="86">
        <f>INPUT!F52</f>
        <v>-6.8000000000000005E-4</v>
      </c>
      <c r="AE18" s="40"/>
      <c r="AF18" s="25"/>
      <c r="AH18" s="2"/>
      <c r="AI18" s="85"/>
      <c r="AJ18" s="85"/>
      <c r="AK18" s="85"/>
      <c r="AL18" s="3"/>
    </row>
    <row r="19" spans="1:38" ht="13" x14ac:dyDescent="0.3">
      <c r="A19" s="3"/>
      <c r="B19" s="3"/>
      <c r="C19" s="3"/>
      <c r="D19" s="3"/>
      <c r="E19" s="85"/>
      <c r="F19" s="3"/>
      <c r="G19" s="3"/>
      <c r="H19" s="3"/>
      <c r="I19" s="3"/>
      <c r="J19" s="3"/>
      <c r="K19" s="3"/>
      <c r="L19" s="3"/>
      <c r="M19" s="3"/>
      <c r="N19" s="85"/>
      <c r="O19" s="85"/>
      <c r="P19" s="85"/>
      <c r="Q19" s="3"/>
      <c r="R19" s="3"/>
      <c r="S19" s="3"/>
      <c r="T19" s="3"/>
      <c r="U19" s="25"/>
      <c r="V19" s="3" t="s">
        <v>11</v>
      </c>
      <c r="W19" s="25"/>
      <c r="X19" s="3"/>
      <c r="Z19" s="25"/>
      <c r="AA19" s="3" t="s">
        <v>11</v>
      </c>
      <c r="AB19" s="25"/>
      <c r="AC19" s="86" t="s">
        <v>11</v>
      </c>
      <c r="AD19" s="86" t="s">
        <v>11</v>
      </c>
      <c r="AE19" s="3"/>
      <c r="AF19" s="25"/>
      <c r="AH19" s="2"/>
      <c r="AI19" s="85"/>
      <c r="AJ19" s="85"/>
      <c r="AK19" s="85"/>
      <c r="AL19" s="3"/>
    </row>
    <row r="20" spans="1:38" ht="13" x14ac:dyDescent="0.3">
      <c r="A20" s="3"/>
      <c r="B20" s="3"/>
      <c r="C20" s="3"/>
      <c r="D20" s="3"/>
      <c r="E20" s="85"/>
      <c r="F20" s="3"/>
      <c r="G20" s="3"/>
      <c r="H20" s="85"/>
      <c r="I20" s="85"/>
      <c r="J20" s="85"/>
      <c r="K20" s="85"/>
      <c r="L20" s="3"/>
      <c r="M20" s="3"/>
      <c r="N20" s="85"/>
      <c r="O20" s="85"/>
      <c r="P20" s="85"/>
      <c r="Q20" s="3"/>
      <c r="R20" s="3"/>
      <c r="S20" s="3"/>
      <c r="T20" s="3"/>
      <c r="V20" s="3"/>
      <c r="W20" s="3"/>
      <c r="X20" s="3"/>
      <c r="AA20" s="3"/>
      <c r="AB20" s="3"/>
      <c r="AC20" s="85"/>
      <c r="AD20" s="85"/>
      <c r="AE20" s="3"/>
      <c r="AF20" s="3"/>
      <c r="AI20" s="17"/>
      <c r="AJ20" s="17"/>
      <c r="AK20" s="17"/>
    </row>
    <row r="21" spans="1:38" x14ac:dyDescent="0.25">
      <c r="A21" s="1">
        <v>500</v>
      </c>
      <c r="C21" s="90">
        <f>+W21</f>
        <v>106.65125</v>
      </c>
      <c r="D21" s="90">
        <f>+AB21</f>
        <v>127.78562500000001</v>
      </c>
      <c r="E21" s="90">
        <f>AC21</f>
        <v>1.4258403176145451</v>
      </c>
      <c r="F21" s="90">
        <f>+D21-(E21+C21)</f>
        <v>19.708534682385462</v>
      </c>
      <c r="G21" s="54">
        <f>ROUND(+F21/C21,4)</f>
        <v>0.18479999999999999</v>
      </c>
      <c r="H21" s="90">
        <f>ROUND($V$10*$A21,2)</f>
        <v>-0.68</v>
      </c>
      <c r="I21" s="90">
        <f>ROUND($V$11*$A21,2)</f>
        <v>1.17</v>
      </c>
      <c r="J21" s="90">
        <f>ROUND($V$12*$A21,2)</f>
        <v>5.88</v>
      </c>
      <c r="K21" s="90">
        <f>+C21+E21+H21+I21+J21</f>
        <v>114.44709031761454</v>
      </c>
      <c r="L21" s="28">
        <f>+D21+H21+I21+J21</f>
        <v>134.15562499999999</v>
      </c>
      <c r="M21" s="54">
        <f>ROUND((L21-K21)/K21,4)</f>
        <v>0.17219999999999999</v>
      </c>
      <c r="N21" s="90">
        <f>AD21</f>
        <v>-0.34</v>
      </c>
      <c r="O21" s="90">
        <f>L21+N21</f>
        <v>133.81562499999998</v>
      </c>
      <c r="P21" s="91">
        <f>ROUND((O21-K21)/K21,4)</f>
        <v>0.16919999999999999</v>
      </c>
      <c r="U21" s="7">
        <f>+INPUT!$F$4</f>
        <v>50.526249999999997</v>
      </c>
      <c r="V21" s="6">
        <f>A21*$V$18</f>
        <v>56.125</v>
      </c>
      <c r="W21" s="6">
        <f>U21+V21</f>
        <v>106.65125</v>
      </c>
      <c r="X21" s="6"/>
      <c r="Z21" s="7">
        <f>INPUT!$F$32</f>
        <v>65.440624999999997</v>
      </c>
      <c r="AA21" s="6">
        <f>+$A21*AA$18</f>
        <v>62.345000000000006</v>
      </c>
      <c r="AB21" s="6">
        <f>Z21+AA21</f>
        <v>127.78562500000001</v>
      </c>
      <c r="AC21" s="84">
        <f>$AC$18*A21</f>
        <v>1.4258403176145451</v>
      </c>
      <c r="AD21" s="84">
        <f>$AD$18*A21</f>
        <v>-0.34</v>
      </c>
      <c r="AE21" s="6"/>
      <c r="AF21" s="6"/>
      <c r="AI21" s="84"/>
      <c r="AJ21" s="17"/>
      <c r="AK21" s="141"/>
      <c r="AL21" s="8"/>
    </row>
    <row r="22" spans="1:38" x14ac:dyDescent="0.25">
      <c r="C22" s="17"/>
      <c r="D22" s="17"/>
      <c r="E22" s="17"/>
      <c r="F22" s="90"/>
      <c r="H22" s="17"/>
      <c r="I22" s="17"/>
      <c r="J22" s="17"/>
      <c r="K22" s="90"/>
      <c r="N22" s="17"/>
      <c r="O22" s="17"/>
      <c r="P22" s="17"/>
      <c r="U22" s="7"/>
      <c r="V22" s="6"/>
      <c r="W22" s="6"/>
      <c r="X22" s="6"/>
      <c r="Z22" s="7"/>
      <c r="AA22" s="6"/>
      <c r="AB22" s="6"/>
      <c r="AC22" s="84"/>
      <c r="AD22" s="84"/>
      <c r="AE22" s="6"/>
      <c r="AF22" s="6"/>
      <c r="AI22" s="17"/>
      <c r="AJ22" s="17"/>
      <c r="AK22" s="141"/>
      <c r="AL22" s="8"/>
    </row>
    <row r="23" spans="1:38" x14ac:dyDescent="0.25">
      <c r="A23" s="1">
        <v>1000</v>
      </c>
      <c r="C23" s="90">
        <f>+W23</f>
        <v>162.77625</v>
      </c>
      <c r="D23" s="90">
        <f>+AB23</f>
        <v>190.13062500000001</v>
      </c>
      <c r="E23" s="90">
        <f t="shared" ref="E23:E35" si="0">AC23</f>
        <v>2.8516806352290902</v>
      </c>
      <c r="F23" s="90">
        <f t="shared" ref="F23:F35" si="1">+D23-(E23+C23)</f>
        <v>24.502694364770917</v>
      </c>
      <c r="G23" s="54">
        <f>ROUND(+F23/C23,4)</f>
        <v>0.15049999999999999</v>
      </c>
      <c r="H23" s="90">
        <f>ROUND($V$10*$A23,2)</f>
        <v>-1.35</v>
      </c>
      <c r="I23" s="90">
        <f>ROUND($V$11*$A23,2)</f>
        <v>2.34</v>
      </c>
      <c r="J23" s="90">
        <f>ROUND($V$12*$A23,2)</f>
        <v>11.75</v>
      </c>
      <c r="K23" s="90">
        <f t="shared" ref="K23:K33" si="2">+C23+E23+H23+I23+J23</f>
        <v>178.3679306352291</v>
      </c>
      <c r="L23" s="28">
        <f>+D23+H23+I23+J23</f>
        <v>202.87062500000002</v>
      </c>
      <c r="M23" s="54">
        <f>ROUND((L23-K23)/K23,4)</f>
        <v>0.13739999999999999</v>
      </c>
      <c r="N23" s="90">
        <f t="shared" ref="N23:N35" si="3">AD23</f>
        <v>-0.68</v>
      </c>
      <c r="O23" s="90">
        <f t="shared" ref="O23:O35" si="4">L23+N23</f>
        <v>202.19062500000001</v>
      </c>
      <c r="P23" s="91">
        <f t="shared" ref="P23:P35" si="5">ROUND((O23-K23)/K23,4)</f>
        <v>0.1336</v>
      </c>
      <c r="U23" s="7">
        <f>$U$21</f>
        <v>50.526249999999997</v>
      </c>
      <c r="V23" s="6">
        <f>A23*$V$18</f>
        <v>112.25</v>
      </c>
      <c r="W23" s="6">
        <f>U23+V23</f>
        <v>162.77625</v>
      </c>
      <c r="X23" s="6"/>
      <c r="Z23" s="7">
        <f>+$Z$21</f>
        <v>65.440624999999997</v>
      </c>
      <c r="AA23" s="6">
        <f>+$A23*AA$18</f>
        <v>124.69000000000001</v>
      </c>
      <c r="AB23" s="6">
        <f>Z23+AA23</f>
        <v>190.13062500000001</v>
      </c>
      <c r="AC23" s="84">
        <f t="shared" ref="AC23:AC33" si="6">$AC$18*A23</f>
        <v>2.8516806352290902</v>
      </c>
      <c r="AD23" s="84">
        <f t="shared" ref="AD23:AD33" si="7">$AD$18*A23</f>
        <v>-0.68</v>
      </c>
      <c r="AE23" s="6"/>
      <c r="AF23" s="6"/>
      <c r="AI23" s="84"/>
      <c r="AJ23" s="17"/>
      <c r="AK23" s="141"/>
      <c r="AL23" s="8"/>
    </row>
    <row r="24" spans="1:38" x14ac:dyDescent="0.25">
      <c r="C24" s="90"/>
      <c r="D24" s="90"/>
      <c r="E24" s="90"/>
      <c r="F24" s="90"/>
      <c r="G24" s="54"/>
      <c r="H24" s="90"/>
      <c r="I24" s="90"/>
      <c r="J24" s="90"/>
      <c r="K24" s="90"/>
      <c r="L24" s="28"/>
      <c r="M24" s="54"/>
      <c r="N24" s="90"/>
      <c r="O24" s="90"/>
      <c r="P24" s="91"/>
      <c r="U24" s="55"/>
      <c r="V24" s="6"/>
      <c r="W24" s="6"/>
      <c r="X24" s="6"/>
      <c r="Z24" s="7"/>
      <c r="AA24" s="6"/>
      <c r="AB24" s="6"/>
      <c r="AC24" s="84"/>
      <c r="AD24" s="84"/>
      <c r="AE24" s="6"/>
      <c r="AF24" s="6"/>
      <c r="AI24" s="17"/>
      <c r="AJ24" s="17"/>
      <c r="AK24" s="143"/>
      <c r="AL24" s="26"/>
    </row>
    <row r="25" spans="1:38" s="10" customFormat="1" x14ac:dyDescent="0.25">
      <c r="A25" s="1">
        <v>2500</v>
      </c>
      <c r="B25"/>
      <c r="C25" s="90">
        <f>+W25</f>
        <v>331.15125</v>
      </c>
      <c r="D25" s="90">
        <f>+AB25</f>
        <v>377.16562500000003</v>
      </c>
      <c r="E25" s="90">
        <f t="shared" si="0"/>
        <v>7.1292015880727257</v>
      </c>
      <c r="F25" s="90">
        <f t="shared" si="1"/>
        <v>38.885173411927326</v>
      </c>
      <c r="G25" s="54">
        <f>ROUND(+F25/C25,4)</f>
        <v>0.1174</v>
      </c>
      <c r="H25" s="90">
        <f>ROUND($V$10*$A25,2)</f>
        <v>-3.38</v>
      </c>
      <c r="I25" s="90">
        <f>ROUND($V$11*$A25,2)</f>
        <v>5.85</v>
      </c>
      <c r="J25" s="90">
        <f>ROUND($V$12*$A25,2)</f>
        <v>29.38</v>
      </c>
      <c r="K25" s="90">
        <f t="shared" si="2"/>
        <v>370.13045158807273</v>
      </c>
      <c r="L25" s="28">
        <f>+D25+H25+I25+J25</f>
        <v>409.01562500000006</v>
      </c>
      <c r="M25" s="54">
        <f>ROUND((L25-K25)/K25,4)</f>
        <v>0.1051</v>
      </c>
      <c r="N25" s="90">
        <f t="shared" si="3"/>
        <v>-1.7000000000000002</v>
      </c>
      <c r="O25" s="90">
        <f t="shared" si="4"/>
        <v>407.31562500000007</v>
      </c>
      <c r="P25" s="91">
        <f t="shared" si="5"/>
        <v>0.10050000000000001</v>
      </c>
      <c r="U25" s="55">
        <f>$U$21</f>
        <v>50.526249999999997</v>
      </c>
      <c r="V25" s="6">
        <f>A25*$V$18</f>
        <v>280.625</v>
      </c>
      <c r="W25" s="11">
        <f>U25+V25</f>
        <v>331.15125</v>
      </c>
      <c r="X25" s="6"/>
      <c r="Z25" s="7">
        <f>+$Z$21</f>
        <v>65.440624999999997</v>
      </c>
      <c r="AA25" s="6">
        <f>+$A25*AA$18</f>
        <v>311.72500000000002</v>
      </c>
      <c r="AB25" s="11">
        <f>Z25+AA25</f>
        <v>377.16562500000003</v>
      </c>
      <c r="AC25" s="84">
        <f t="shared" si="6"/>
        <v>7.1292015880727257</v>
      </c>
      <c r="AD25" s="84">
        <f t="shared" si="7"/>
        <v>-1.7000000000000002</v>
      </c>
      <c r="AE25" s="6"/>
      <c r="AF25" s="11"/>
      <c r="AI25" s="145"/>
      <c r="AJ25" s="144"/>
      <c r="AK25" s="143"/>
      <c r="AL25" s="26"/>
    </row>
    <row r="26" spans="1:38" x14ac:dyDescent="0.25">
      <c r="C26" s="17"/>
      <c r="D26" s="17"/>
      <c r="E26" s="17"/>
      <c r="F26" s="90"/>
      <c r="H26" s="17"/>
      <c r="I26" s="17"/>
      <c r="J26" s="17"/>
      <c r="K26" s="90"/>
      <c r="N26" s="17"/>
      <c r="O26" s="17"/>
      <c r="P26" s="17"/>
      <c r="U26" s="7"/>
      <c r="V26" s="6"/>
      <c r="W26" s="6"/>
      <c r="X26" s="6"/>
      <c r="Z26" s="7"/>
      <c r="AA26" s="6"/>
      <c r="AB26" s="6"/>
      <c r="AC26" s="84"/>
      <c r="AD26" s="84"/>
      <c r="AE26" s="6"/>
      <c r="AF26" s="6"/>
      <c r="AI26" s="17"/>
      <c r="AJ26" s="17"/>
      <c r="AK26" s="141"/>
      <c r="AL26" s="8"/>
    </row>
    <row r="27" spans="1:38" x14ac:dyDescent="0.25">
      <c r="A27" s="14">
        <v>5000</v>
      </c>
      <c r="C27" s="90">
        <f>+W27</f>
        <v>611.77625</v>
      </c>
      <c r="D27" s="90">
        <f>+AB27</f>
        <v>688.890625</v>
      </c>
      <c r="E27" s="90">
        <f t="shared" si="0"/>
        <v>14.258403176145451</v>
      </c>
      <c r="F27" s="90">
        <f t="shared" si="1"/>
        <v>62.855971823854588</v>
      </c>
      <c r="G27" s="54">
        <f>ROUND(+F27/C27,4)</f>
        <v>0.1027</v>
      </c>
      <c r="H27" s="90">
        <f>ROUND($V$10*$A27,2)</f>
        <v>-6.76</v>
      </c>
      <c r="I27" s="90">
        <f>ROUND($V$11*$A27,2)</f>
        <v>11.71</v>
      </c>
      <c r="J27" s="90">
        <f>ROUND($V$12*$A27,2)</f>
        <v>58.77</v>
      </c>
      <c r="K27" s="90">
        <f t="shared" si="2"/>
        <v>689.75465317614544</v>
      </c>
      <c r="L27" s="28">
        <f>+D27+H27+I27+J27</f>
        <v>752.61062500000003</v>
      </c>
      <c r="M27" s="54">
        <f>ROUND((L27-K27)/K27,4)</f>
        <v>9.11E-2</v>
      </c>
      <c r="N27" s="90">
        <f t="shared" si="3"/>
        <v>-3.4000000000000004</v>
      </c>
      <c r="O27" s="90">
        <f t="shared" si="4"/>
        <v>749.21062500000005</v>
      </c>
      <c r="P27" s="91">
        <f t="shared" si="5"/>
        <v>8.6199999999999999E-2</v>
      </c>
      <c r="U27" s="7">
        <f>$U$21</f>
        <v>50.526249999999997</v>
      </c>
      <c r="V27" s="6">
        <f>A27*$V$18</f>
        <v>561.25</v>
      </c>
      <c r="W27" s="6">
        <f>U27+V27</f>
        <v>611.77625</v>
      </c>
      <c r="X27" s="6"/>
      <c r="Z27" s="7">
        <f>+$Z$21</f>
        <v>65.440624999999997</v>
      </c>
      <c r="AA27" s="6">
        <f>+$A27*AA$18</f>
        <v>623.45000000000005</v>
      </c>
      <c r="AB27" s="6">
        <f>Z27+AA27</f>
        <v>688.890625</v>
      </c>
      <c r="AC27" s="84">
        <f t="shared" si="6"/>
        <v>14.258403176145451</v>
      </c>
      <c r="AD27" s="84">
        <f t="shared" si="7"/>
        <v>-3.4000000000000004</v>
      </c>
      <c r="AE27" s="6"/>
      <c r="AF27" s="6"/>
      <c r="AI27" s="84"/>
      <c r="AJ27" s="17"/>
      <c r="AK27" s="141"/>
      <c r="AL27" s="8"/>
    </row>
    <row r="28" spans="1:38" x14ac:dyDescent="0.25">
      <c r="C28" s="17"/>
      <c r="D28" s="17"/>
      <c r="E28" s="17"/>
      <c r="F28" s="90"/>
      <c r="H28" s="17"/>
      <c r="I28" s="17"/>
      <c r="J28" s="17"/>
      <c r="K28" s="90"/>
      <c r="N28" s="17"/>
      <c r="O28" s="17"/>
      <c r="P28" s="17"/>
      <c r="U28" s="7"/>
      <c r="V28" s="6"/>
      <c r="W28" s="6"/>
      <c r="X28" s="6"/>
      <c r="Z28" s="7"/>
      <c r="AA28" s="6"/>
      <c r="AB28" s="6"/>
      <c r="AC28" s="84"/>
      <c r="AD28" s="84"/>
      <c r="AE28" s="6"/>
      <c r="AF28" s="6"/>
      <c r="AI28" s="17"/>
      <c r="AJ28" s="17"/>
      <c r="AK28" s="141"/>
      <c r="AL28" s="8"/>
    </row>
    <row r="29" spans="1:38" x14ac:dyDescent="0.25">
      <c r="A29" s="1">
        <v>7500</v>
      </c>
      <c r="C29" s="90">
        <f>+W29</f>
        <v>892.40125</v>
      </c>
      <c r="D29" s="90">
        <f>+AB29</f>
        <v>1000.615625</v>
      </c>
      <c r="E29" s="90">
        <f t="shared" si="0"/>
        <v>21.387604764218178</v>
      </c>
      <c r="F29" s="90">
        <f t="shared" si="1"/>
        <v>86.826770235781851</v>
      </c>
      <c r="G29" s="54">
        <f>ROUND(+F29/C29,4)</f>
        <v>9.7299999999999998E-2</v>
      </c>
      <c r="H29" s="90">
        <f>ROUND($V$10*$A29,2)</f>
        <v>-10.14</v>
      </c>
      <c r="I29" s="90">
        <f>ROUND($V$11*$A29,2)</f>
        <v>17.559999999999999</v>
      </c>
      <c r="J29" s="90">
        <f>ROUND($V$12*$A29,2)</f>
        <v>88.15</v>
      </c>
      <c r="K29" s="90">
        <f t="shared" si="2"/>
        <v>1009.3588547642181</v>
      </c>
      <c r="L29" s="28">
        <f>+D29+H29+I29+J29</f>
        <v>1096.1856250000001</v>
      </c>
      <c r="M29" s="54">
        <f>ROUND((L29-K29)/K29,4)</f>
        <v>8.5999999999999993E-2</v>
      </c>
      <c r="N29" s="90">
        <f t="shared" si="3"/>
        <v>-5.1000000000000005</v>
      </c>
      <c r="O29" s="90">
        <f t="shared" si="4"/>
        <v>1091.0856250000002</v>
      </c>
      <c r="P29" s="91">
        <f t="shared" si="5"/>
        <v>8.1000000000000003E-2</v>
      </c>
      <c r="U29" s="7">
        <f>$U$21</f>
        <v>50.526249999999997</v>
      </c>
      <c r="V29" s="6">
        <f>A29*$V$18</f>
        <v>841.875</v>
      </c>
      <c r="W29" s="6">
        <f>U29+V29</f>
        <v>892.40125</v>
      </c>
      <c r="X29" s="6"/>
      <c r="Z29" s="7">
        <f>+$Z$21</f>
        <v>65.440624999999997</v>
      </c>
      <c r="AA29" s="6">
        <f>+$A29*AA$18</f>
        <v>935.17500000000007</v>
      </c>
      <c r="AB29" s="6">
        <f>Z29+AA29</f>
        <v>1000.615625</v>
      </c>
      <c r="AC29" s="84">
        <f t="shared" si="6"/>
        <v>21.387604764218178</v>
      </c>
      <c r="AD29" s="84">
        <f t="shared" si="7"/>
        <v>-5.1000000000000005</v>
      </c>
      <c r="AE29" s="6"/>
      <c r="AF29" s="6"/>
      <c r="AI29" s="84"/>
      <c r="AJ29" s="17"/>
      <c r="AK29" s="141"/>
      <c r="AL29" s="8"/>
    </row>
    <row r="30" spans="1:38" x14ac:dyDescent="0.25">
      <c r="C30" s="17"/>
      <c r="D30" s="17"/>
      <c r="E30" s="17"/>
      <c r="F30" s="90"/>
      <c r="H30" s="17"/>
      <c r="I30" s="17"/>
      <c r="J30" s="17"/>
      <c r="K30" s="90"/>
      <c r="N30" s="17"/>
      <c r="O30" s="17"/>
      <c r="P30" s="17"/>
      <c r="U30" s="7"/>
      <c r="V30" s="6"/>
      <c r="W30" s="6"/>
      <c r="X30" s="6"/>
      <c r="Z30" s="7"/>
      <c r="AA30" s="6"/>
      <c r="AB30" s="6"/>
      <c r="AC30" s="84"/>
      <c r="AD30" s="84"/>
      <c r="AE30" s="6"/>
      <c r="AF30" s="6"/>
      <c r="AI30" s="17"/>
      <c r="AJ30" s="17"/>
      <c r="AK30" s="141"/>
      <c r="AL30" s="8"/>
    </row>
    <row r="31" spans="1:38" x14ac:dyDescent="0.25">
      <c r="A31" s="1">
        <v>10000</v>
      </c>
      <c r="C31" s="90">
        <f>+W31</f>
        <v>1173.0262499999999</v>
      </c>
      <c r="D31" s="90">
        <f>+AB31</f>
        <v>1312.340625</v>
      </c>
      <c r="E31" s="90">
        <f t="shared" si="0"/>
        <v>28.516806352290903</v>
      </c>
      <c r="F31" s="90">
        <f t="shared" si="1"/>
        <v>110.79756864770934</v>
      </c>
      <c r="G31" s="54">
        <f>ROUND(+F31/C31,4)</f>
        <v>9.4500000000000001E-2</v>
      </c>
      <c r="H31" s="90">
        <f>ROUND($V$10*$A31,2)</f>
        <v>-13.52</v>
      </c>
      <c r="I31" s="90">
        <f>ROUND($V$11*$A31,2)</f>
        <v>23.41</v>
      </c>
      <c r="J31" s="90">
        <f>ROUND($V$12*$A31,2)</f>
        <v>117.53</v>
      </c>
      <c r="K31" s="90">
        <f t="shared" si="2"/>
        <v>1328.9630563522908</v>
      </c>
      <c r="L31" s="28">
        <f>+D31+H31+I31+J31</f>
        <v>1439.7606250000001</v>
      </c>
      <c r="M31" s="54">
        <f>ROUND((L31-K31)/K31,4)</f>
        <v>8.3400000000000002E-2</v>
      </c>
      <c r="N31" s="90">
        <f t="shared" si="3"/>
        <v>-6.8000000000000007</v>
      </c>
      <c r="O31" s="90">
        <f t="shared" si="4"/>
        <v>1432.9606250000002</v>
      </c>
      <c r="P31" s="91">
        <f t="shared" si="5"/>
        <v>7.8299999999999995E-2</v>
      </c>
      <c r="U31" s="7">
        <f>$U$21</f>
        <v>50.526249999999997</v>
      </c>
      <c r="V31" s="6">
        <f>A31*$V$18</f>
        <v>1122.5</v>
      </c>
      <c r="W31" s="6">
        <f>U31+V31</f>
        <v>1173.0262499999999</v>
      </c>
      <c r="X31" s="6"/>
      <c r="Z31" s="7">
        <f>+$Z$21</f>
        <v>65.440624999999997</v>
      </c>
      <c r="AA31" s="6">
        <f>+$A31*AA$18</f>
        <v>1246.9000000000001</v>
      </c>
      <c r="AB31" s="6">
        <f>Z31+AA31</f>
        <v>1312.340625</v>
      </c>
      <c r="AC31" s="84">
        <f t="shared" si="6"/>
        <v>28.516806352290903</v>
      </c>
      <c r="AD31" s="84">
        <f t="shared" si="7"/>
        <v>-6.8000000000000007</v>
      </c>
      <c r="AE31" s="6"/>
      <c r="AF31" s="6"/>
      <c r="AI31" s="84"/>
      <c r="AJ31" s="17"/>
      <c r="AK31" s="141"/>
      <c r="AL31" s="8"/>
    </row>
    <row r="32" spans="1:38" x14ac:dyDescent="0.25">
      <c r="A32" s="1"/>
      <c r="C32" s="17"/>
      <c r="D32" s="17"/>
      <c r="E32" s="17"/>
      <c r="F32" s="90"/>
      <c r="H32" s="17"/>
      <c r="I32" s="17"/>
      <c r="J32" s="17"/>
      <c r="K32" s="90"/>
      <c r="N32" s="17"/>
      <c r="O32" s="17"/>
      <c r="P32" s="17"/>
      <c r="U32" s="7"/>
      <c r="V32" s="6"/>
      <c r="W32" s="6"/>
      <c r="X32" s="6"/>
      <c r="Z32" s="7"/>
      <c r="AA32" s="6"/>
      <c r="AB32" s="6"/>
      <c r="AC32" s="84"/>
      <c r="AD32" s="84"/>
      <c r="AE32" s="6"/>
      <c r="AF32" s="6"/>
      <c r="AI32" s="17"/>
      <c r="AJ32" s="17"/>
      <c r="AK32" s="141"/>
      <c r="AL32" s="8"/>
    </row>
    <row r="33" spans="1:38" x14ac:dyDescent="0.25">
      <c r="A33" s="1">
        <v>15000</v>
      </c>
      <c r="C33" s="90">
        <f>+W33</f>
        <v>1734.2762499999999</v>
      </c>
      <c r="D33" s="90">
        <f>+AB33</f>
        <v>1935.7906250000001</v>
      </c>
      <c r="E33" s="90">
        <f t="shared" si="0"/>
        <v>42.775209528436356</v>
      </c>
      <c r="F33" s="90">
        <f t="shared" si="1"/>
        <v>158.73916547156387</v>
      </c>
      <c r="G33" s="54">
        <f>ROUND(+F33/C33,4)</f>
        <v>9.1499999999999998E-2</v>
      </c>
      <c r="H33" s="90">
        <f>ROUND($V$10*$A33,2)</f>
        <v>-20.28</v>
      </c>
      <c r="I33" s="90">
        <f>ROUND($V$11*$A33,2)</f>
        <v>35.119999999999997</v>
      </c>
      <c r="J33" s="90">
        <f>ROUND($V$12*$A33,2)</f>
        <v>176.3</v>
      </c>
      <c r="K33" s="90">
        <f t="shared" si="2"/>
        <v>1968.1914595284361</v>
      </c>
      <c r="L33" s="28">
        <f>+D33+H33+I33+J33</f>
        <v>2126.930625</v>
      </c>
      <c r="M33" s="54">
        <f>ROUND((L33-K33)/K33,4)</f>
        <v>8.0699999999999994E-2</v>
      </c>
      <c r="N33" s="90">
        <f t="shared" si="3"/>
        <v>-10.200000000000001</v>
      </c>
      <c r="O33" s="90">
        <f t="shared" si="4"/>
        <v>2116.7306250000001</v>
      </c>
      <c r="P33" s="91">
        <f t="shared" si="5"/>
        <v>7.5499999999999998E-2</v>
      </c>
      <c r="U33" s="7">
        <f>$U$21</f>
        <v>50.526249999999997</v>
      </c>
      <c r="V33" s="6">
        <f>A33*$V$18</f>
        <v>1683.75</v>
      </c>
      <c r="W33" s="6">
        <f>U33+V33</f>
        <v>1734.2762499999999</v>
      </c>
      <c r="X33" s="6"/>
      <c r="Z33" s="7">
        <f>+$Z$21</f>
        <v>65.440624999999997</v>
      </c>
      <c r="AA33" s="6">
        <f>+$A33*AA$18</f>
        <v>1870.3500000000001</v>
      </c>
      <c r="AB33" s="6">
        <f>Z33+AA33</f>
        <v>1935.7906250000001</v>
      </c>
      <c r="AC33" s="84">
        <f t="shared" si="6"/>
        <v>42.775209528436356</v>
      </c>
      <c r="AD33" s="84">
        <f t="shared" si="7"/>
        <v>-10.200000000000001</v>
      </c>
      <c r="AE33" s="6"/>
      <c r="AF33" s="6"/>
      <c r="AI33" s="84"/>
      <c r="AJ33" s="17"/>
      <c r="AK33" s="141"/>
      <c r="AL33" s="8"/>
    </row>
    <row r="34" spans="1:38" x14ac:dyDescent="0.25">
      <c r="C34" s="17"/>
      <c r="D34" s="17"/>
      <c r="E34" s="17"/>
      <c r="F34" s="90"/>
      <c r="H34" s="17"/>
      <c r="I34" s="17"/>
      <c r="J34" s="17"/>
      <c r="K34" s="90"/>
      <c r="N34" s="17"/>
      <c r="O34" s="17"/>
      <c r="P34" s="17"/>
      <c r="U34" s="7"/>
      <c r="V34" s="6"/>
      <c r="W34" s="6"/>
      <c r="X34" s="6"/>
      <c r="Z34" s="7"/>
      <c r="AA34" s="6"/>
      <c r="AB34" s="6"/>
      <c r="AC34" s="84"/>
      <c r="AD34" s="84"/>
      <c r="AE34" s="6"/>
      <c r="AF34" s="6"/>
      <c r="AK34" s="8"/>
      <c r="AL34" s="8"/>
    </row>
    <row r="35" spans="1:38" x14ac:dyDescent="0.25">
      <c r="A35" s="1">
        <v>20000</v>
      </c>
      <c r="C35" s="90">
        <f>+W35</f>
        <v>2295.5262499999999</v>
      </c>
      <c r="D35" s="90">
        <f>+AB35</f>
        <v>2559.2406250000004</v>
      </c>
      <c r="E35" s="90">
        <f t="shared" si="0"/>
        <v>57.033612704581806</v>
      </c>
      <c r="F35" s="90">
        <f t="shared" si="1"/>
        <v>206.68076229541884</v>
      </c>
      <c r="G35" s="54">
        <f>ROUND(+F35/C35,4)</f>
        <v>0.09</v>
      </c>
      <c r="H35" s="90">
        <f>ROUND($V$10*$A35,2)</f>
        <v>-27.04</v>
      </c>
      <c r="I35" s="90">
        <f>ROUND($V$11*$A35,2)</f>
        <v>46.82</v>
      </c>
      <c r="J35" s="90">
        <f>ROUND($V$12*$A35,2)</f>
        <v>235.07</v>
      </c>
      <c r="K35" s="90">
        <f>+C35+E35+H35+I35+J35</f>
        <v>2607.4098627045819</v>
      </c>
      <c r="L35" s="28">
        <f>+D35+H35+I35+J35</f>
        <v>2814.0906250000007</v>
      </c>
      <c r="M35" s="54">
        <f>ROUND((L35-K35)/K35,4)</f>
        <v>7.9299999999999995E-2</v>
      </c>
      <c r="N35" s="90">
        <f t="shared" si="3"/>
        <v>-13.600000000000001</v>
      </c>
      <c r="O35" s="90">
        <f t="shared" si="4"/>
        <v>2800.4906250000008</v>
      </c>
      <c r="P35" s="91">
        <f t="shared" si="5"/>
        <v>7.4099999999999999E-2</v>
      </c>
      <c r="U35" s="7">
        <f>$U$21</f>
        <v>50.526249999999997</v>
      </c>
      <c r="V35" s="6">
        <f>A35*$V$18</f>
        <v>2245</v>
      </c>
      <c r="W35" s="6">
        <f>U35+V35</f>
        <v>2295.5262499999999</v>
      </c>
      <c r="X35" s="6"/>
      <c r="Z35" s="7">
        <f>+$Z$21</f>
        <v>65.440624999999997</v>
      </c>
      <c r="AA35" s="6">
        <f>+$A35*AA$18</f>
        <v>2493.8000000000002</v>
      </c>
      <c r="AB35" s="6">
        <f>Z35+AA35</f>
        <v>2559.2406250000004</v>
      </c>
      <c r="AC35" s="84">
        <f>$AC$18*A35</f>
        <v>57.033612704581806</v>
      </c>
      <c r="AD35" s="84">
        <f>$AD$18*A35</f>
        <v>-13.600000000000001</v>
      </c>
      <c r="AE35" s="6"/>
      <c r="AF35" s="6"/>
      <c r="AK35" s="8"/>
      <c r="AL35" s="8"/>
    </row>
    <row r="36" spans="1:38" x14ac:dyDescent="0.25">
      <c r="H36" s="17"/>
      <c r="I36" s="17"/>
      <c r="J36" s="17"/>
      <c r="K36" s="17"/>
      <c r="U36" s="7"/>
      <c r="V36" s="6"/>
      <c r="W36" s="6"/>
      <c r="X36" s="6"/>
      <c r="Z36" s="7"/>
      <c r="AA36" s="6"/>
      <c r="AB36" s="6"/>
      <c r="AC36" s="6"/>
      <c r="AD36" s="6"/>
      <c r="AE36" s="6"/>
      <c r="AF36" s="6"/>
      <c r="AK36" s="8"/>
      <c r="AL36" s="8"/>
    </row>
    <row r="37" spans="1:38" x14ac:dyDescent="0.25">
      <c r="A37" s="17" t="s">
        <v>301</v>
      </c>
      <c r="U37" s="7"/>
    </row>
    <row r="38" spans="1:38" x14ac:dyDescent="0.25">
      <c r="A38" s="174" t="str">
        <f>("Average Usage = "&amp;TEXT(INPUT!$F$26*1,"0,000")&amp;" kWh per month")</f>
        <v>Average Usage = 4,214 kWh per month</v>
      </c>
    </row>
    <row r="39" spans="1:38" x14ac:dyDescent="0.25">
      <c r="A39" s="175" t="s">
        <v>302</v>
      </c>
    </row>
    <row r="40" spans="1:38" x14ac:dyDescent="0.25">
      <c r="A40" s="175" t="str">
        <f>+'Rate Case Constants'!$C$26</f>
        <v>Calculations may vary from other schedules due to rounding</v>
      </c>
    </row>
    <row r="42" spans="1:38" ht="12" customHeight="1" x14ac:dyDescent="0.25">
      <c r="A42" s="175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AV47"/>
  <sheetViews>
    <sheetView zoomScale="80" zoomScaleNormal="80" zoomScaleSheetLayoutView="80" workbookViewId="0">
      <selection sqref="A1:T1"/>
    </sheetView>
  </sheetViews>
  <sheetFormatPr defaultRowHeight="12.5" x14ac:dyDescent="0.25"/>
  <cols>
    <col min="1" max="1" width="6.1796875" customWidth="1"/>
    <col min="2" max="2" width="2.1796875" customWidth="1"/>
    <col min="3" max="3" width="7.90625" bestFit="1" customWidth="1"/>
    <col min="4" max="4" width="2.54296875" customWidth="1"/>
    <col min="5" max="5" width="8.1796875" customWidth="1"/>
    <col min="6" max="6" width="3" customWidth="1"/>
    <col min="7" max="8" width="12.26953125" bestFit="1" customWidth="1"/>
    <col min="9" max="9" width="12.26953125" customWidth="1"/>
    <col min="10" max="10" width="12.1796875" bestFit="1" customWidth="1"/>
    <col min="11" max="11" width="9.26953125" bestFit="1" customWidth="1"/>
    <col min="12" max="12" width="10.7265625" bestFit="1" customWidth="1"/>
    <col min="13" max="13" width="10" bestFit="1" customWidth="1"/>
    <col min="14" max="14" width="11.54296875" customWidth="1"/>
    <col min="15" max="15" width="12.7265625" bestFit="1" customWidth="1"/>
    <col min="16" max="16" width="12.26953125" bestFit="1" customWidth="1"/>
    <col min="17" max="18" width="10.81640625" customWidth="1"/>
    <col min="19" max="19" width="11.26953125" bestFit="1" customWidth="1"/>
    <col min="20" max="20" width="9.36328125" customWidth="1"/>
    <col min="21" max="21" width="5.54296875" customWidth="1"/>
    <col min="22" max="22" width="5" customWidth="1"/>
    <col min="23" max="23" width="10.81640625" customWidth="1"/>
    <col min="24" max="24" width="10.81640625" bestFit="1" customWidth="1"/>
    <col min="25" max="25" width="11.453125" customWidth="1"/>
    <col min="26" max="26" width="2" customWidth="1"/>
    <col min="27" max="27" width="11.81640625" bestFit="1" customWidth="1"/>
    <col min="28" max="28" width="4.7265625" customWidth="1"/>
    <col min="29" max="29" width="13" customWidth="1"/>
    <col min="30" max="30" width="5" customWidth="1"/>
    <col min="31" max="31" width="3.1796875" customWidth="1"/>
    <col min="32" max="32" width="16.26953125" bestFit="1" customWidth="1"/>
    <col min="33" max="34" width="12" bestFit="1" customWidth="1"/>
    <col min="35" max="35" width="4.54296875" customWidth="1"/>
    <col min="36" max="36" width="12" bestFit="1" customWidth="1"/>
    <col min="37" max="37" width="11.453125" bestFit="1" customWidth="1"/>
    <col min="38" max="38" width="9" bestFit="1" customWidth="1"/>
    <col min="39" max="39" width="3.26953125" customWidth="1"/>
    <col min="40" max="40" width="12.1796875" bestFit="1" customWidth="1"/>
    <col min="41" max="42" width="12.54296875" bestFit="1" customWidth="1"/>
  </cols>
  <sheetData>
    <row r="1" spans="1:48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8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8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8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8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8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8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8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Constants'!L15</f>
        <v>PAGE 8 of 24</v>
      </c>
    </row>
    <row r="9" spans="1:48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8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+INPUT!H70</f>
        <v>-1.3918126001514954E-3</v>
      </c>
    </row>
    <row r="11" spans="1:48" ht="13" x14ac:dyDescent="0.3">
      <c r="A11" s="124" t="s">
        <v>257</v>
      </c>
      <c r="B11" s="2"/>
      <c r="C11" s="2"/>
      <c r="W11" s="83" t="s">
        <v>70</v>
      </c>
      <c r="X11" s="2">
        <f>+INPUT!I70</f>
        <v>2.6213143182804834E-4</v>
      </c>
    </row>
    <row r="12" spans="1:48" ht="13" x14ac:dyDescent="0.3">
      <c r="B12" s="2"/>
      <c r="C12" s="2"/>
      <c r="W12" s="83" t="s">
        <v>69</v>
      </c>
      <c r="X12" s="2">
        <f>+INPUT!J70</f>
        <v>1.5615503608385831E-3</v>
      </c>
    </row>
    <row r="13" spans="1:48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AC13" s="3"/>
      <c r="AD13" s="3"/>
      <c r="AM13" s="29"/>
      <c r="AN13" s="3"/>
      <c r="AO13" s="29"/>
      <c r="AP13" s="29"/>
      <c r="AQ13" s="29"/>
      <c r="AR13" s="29"/>
      <c r="AS13" s="29"/>
      <c r="AT13" s="29"/>
      <c r="AU13" s="29"/>
      <c r="AV13" s="29"/>
    </row>
    <row r="14" spans="1:48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1</v>
      </c>
      <c r="AA14" s="3" t="s">
        <v>1</v>
      </c>
      <c r="AC14" s="3"/>
      <c r="AD14" s="3"/>
      <c r="AF14" s="3" t="s">
        <v>6</v>
      </c>
      <c r="AG14" s="3" t="s">
        <v>6</v>
      </c>
      <c r="AH14" s="20" t="s">
        <v>6</v>
      </c>
      <c r="AI14" s="19"/>
      <c r="AJ14" s="20" t="s">
        <v>6</v>
      </c>
      <c r="AK14" s="20"/>
      <c r="AL14" s="83" t="s">
        <v>592</v>
      </c>
      <c r="AM14" s="19"/>
      <c r="AN14" s="3"/>
      <c r="AO14" s="19"/>
      <c r="AQ14" s="29"/>
      <c r="AS14" s="29"/>
      <c r="AT14" s="29"/>
    </row>
    <row r="15" spans="1:48" ht="13" x14ac:dyDescent="0.3">
      <c r="C15" s="3" t="s">
        <v>24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25</v>
      </c>
      <c r="Z15" s="3"/>
      <c r="AA15" s="3" t="s">
        <v>5</v>
      </c>
      <c r="AC15" s="3"/>
      <c r="AD15" s="3"/>
      <c r="AF15" s="25" t="s">
        <v>52</v>
      </c>
      <c r="AG15" s="3" t="s">
        <v>53</v>
      </c>
      <c r="AH15" s="21" t="s">
        <v>15</v>
      </c>
      <c r="AI15" s="20"/>
      <c r="AJ15" s="20" t="s">
        <v>5</v>
      </c>
      <c r="AK15" s="86" t="s">
        <v>69</v>
      </c>
      <c r="AL15" s="85" t="s">
        <v>593</v>
      </c>
      <c r="AM15" s="22"/>
      <c r="AN15" s="3"/>
      <c r="AO15" s="395"/>
      <c r="AP15" s="85"/>
      <c r="AQ15" s="45"/>
      <c r="AR15" s="45"/>
      <c r="AS15" s="44"/>
      <c r="AT15" s="44"/>
      <c r="AU15" s="44"/>
      <c r="AV15" s="44"/>
    </row>
    <row r="16" spans="1:48" ht="13" x14ac:dyDescent="0.3">
      <c r="A16" s="3" t="s">
        <v>48</v>
      </c>
      <c r="C16" s="3" t="s">
        <v>21</v>
      </c>
      <c r="E16" s="3" t="s">
        <v>47</v>
      </c>
      <c r="F16" s="3"/>
      <c r="G16" s="25" t="s">
        <v>4</v>
      </c>
      <c r="H16" s="25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25" t="s">
        <v>4</v>
      </c>
      <c r="P16" s="25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54</v>
      </c>
      <c r="Z16" s="3"/>
      <c r="AA16" s="3" t="s">
        <v>4</v>
      </c>
      <c r="AC16" s="3"/>
      <c r="AD16" s="3"/>
      <c r="AF16" s="25" t="s">
        <v>3</v>
      </c>
      <c r="AG16" s="3" t="s">
        <v>3</v>
      </c>
      <c r="AH16" s="21" t="s">
        <v>51</v>
      </c>
      <c r="AI16" s="20"/>
      <c r="AJ16" s="20" t="s">
        <v>4</v>
      </c>
      <c r="AK16" s="386" t="s">
        <v>471</v>
      </c>
      <c r="AL16" s="342" t="s">
        <v>439</v>
      </c>
      <c r="AM16" s="22"/>
      <c r="AN16" s="3"/>
      <c r="AO16" s="395"/>
      <c r="AP16" s="85"/>
      <c r="AR16" s="29"/>
      <c r="AS16" s="29"/>
      <c r="AT16" s="29"/>
      <c r="AU16" s="29"/>
      <c r="AV16" s="29"/>
    </row>
    <row r="17" spans="1:47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+INPUT!$J$6</f>
        <v>3.2489999999999998E-2</v>
      </c>
      <c r="Y17" s="43">
        <f>+INPUT!$J$11</f>
        <v>22.77</v>
      </c>
      <c r="Z17" s="42" t="s">
        <v>64</v>
      </c>
      <c r="AA17" s="3"/>
      <c r="AC17" s="40"/>
      <c r="AD17" s="40"/>
      <c r="AF17" s="25"/>
      <c r="AG17" s="40">
        <f>+INPUT!$J$34</f>
        <v>3.2479999999999995E-2</v>
      </c>
      <c r="AH17" s="43">
        <f>INPUT!$J$39</f>
        <v>26.569999999999997</v>
      </c>
      <c r="AI17" s="42" t="s">
        <v>64</v>
      </c>
      <c r="AJ17" s="20"/>
      <c r="AK17" s="86">
        <f>INPUT!K70</f>
        <v>1.6300047736440506E-4</v>
      </c>
      <c r="AL17" s="86">
        <f>INPUT!J52</f>
        <v>-6.8000000000000005E-4</v>
      </c>
      <c r="AM17" s="22"/>
      <c r="AN17" s="40"/>
      <c r="AO17" s="395"/>
      <c r="AP17" s="85"/>
      <c r="AS17" s="29"/>
      <c r="AT17" s="44"/>
      <c r="AU17" s="29"/>
    </row>
    <row r="18" spans="1:47" ht="13" x14ac:dyDescent="0.3">
      <c r="A18" s="80"/>
      <c r="B18" s="16"/>
      <c r="C18" s="80"/>
      <c r="D18" s="16"/>
      <c r="E18" s="80"/>
      <c r="F18" s="80"/>
      <c r="G18" s="80"/>
      <c r="H18" s="80"/>
      <c r="I18" s="343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W18" s="25"/>
      <c r="X18" s="3" t="s">
        <v>11</v>
      </c>
      <c r="Y18" s="43">
        <f>+INPUT!$J$12</f>
        <v>20.39</v>
      </c>
      <c r="Z18" s="42" t="s">
        <v>65</v>
      </c>
      <c r="AA18" s="3"/>
      <c r="AC18" s="3"/>
      <c r="AD18" s="3"/>
      <c r="AF18" s="25"/>
      <c r="AG18" s="3" t="s">
        <v>11</v>
      </c>
      <c r="AH18" s="43">
        <f>INPUT!$J$40</f>
        <v>23.8</v>
      </c>
      <c r="AI18" s="42" t="s">
        <v>65</v>
      </c>
      <c r="AJ18" s="20"/>
      <c r="AK18" s="86" t="s">
        <v>11</v>
      </c>
      <c r="AL18" s="86" t="s">
        <v>11</v>
      </c>
      <c r="AM18" s="22"/>
      <c r="AN18" s="3"/>
      <c r="AO18" s="395"/>
      <c r="AP18" s="85"/>
    </row>
    <row r="19" spans="1:47" ht="13" x14ac:dyDescent="0.3">
      <c r="A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51"/>
      <c r="R19" s="85"/>
      <c r="S19" s="85"/>
      <c r="T19" s="85"/>
      <c r="U19" s="3"/>
      <c r="V19" s="3"/>
      <c r="X19" s="3"/>
      <c r="Y19" s="3"/>
      <c r="Z19" s="3"/>
      <c r="AA19" s="3"/>
      <c r="AC19" s="3"/>
      <c r="AD19" s="3"/>
      <c r="AG19" s="20"/>
      <c r="AH19" s="20"/>
      <c r="AI19" s="20"/>
      <c r="AJ19" s="20"/>
      <c r="AK19" s="85"/>
      <c r="AL19" s="85"/>
      <c r="AM19" s="19"/>
      <c r="AN19" s="20"/>
      <c r="AO19" s="24"/>
      <c r="AP19" s="17"/>
    </row>
    <row r="20" spans="1:47" x14ac:dyDescent="0.25">
      <c r="A20" s="1">
        <v>50</v>
      </c>
      <c r="C20" s="13">
        <v>0.3</v>
      </c>
      <c r="E20" s="1">
        <f>C20*($A$20*730)</f>
        <v>10950</v>
      </c>
      <c r="G20" s="28">
        <f>+AA20</f>
        <v>1514.9404999999999</v>
      </c>
      <c r="H20" s="28">
        <f>+AJ20</f>
        <v>1693.461</v>
      </c>
      <c r="I20" s="28">
        <f>AK20</f>
        <v>1.7848552271402354</v>
      </c>
      <c r="J20" s="90">
        <f>+H20-(I20+G20)</f>
        <v>176.73564477285981</v>
      </c>
      <c r="K20" s="54">
        <f>ROUND(+J20/G20,4)</f>
        <v>0.1167</v>
      </c>
      <c r="L20" s="28">
        <f>ROUND($X$10*$E20,2)</f>
        <v>-15.24</v>
      </c>
      <c r="M20" s="28">
        <f>ROUND($X$11*$E20,2)</f>
        <v>2.87</v>
      </c>
      <c r="N20" s="28">
        <f>ROUND($X$12*$E20,2)</f>
        <v>17.100000000000001</v>
      </c>
      <c r="O20" s="28">
        <f>+G20+I20+L20+M20+N20</f>
        <v>1521.45535522714</v>
      </c>
      <c r="P20" s="28">
        <f>+H20+L20+M20+N20</f>
        <v>1698.1909999999998</v>
      </c>
      <c r="Q20" s="54">
        <f>ROUND((P20-O20)/O20,4)</f>
        <v>0.1162</v>
      </c>
      <c r="R20" s="90">
        <f>AL20</f>
        <v>-7.4460000000000006</v>
      </c>
      <c r="S20" s="90">
        <f>P20+R20</f>
        <v>1690.7449999999999</v>
      </c>
      <c r="T20" s="91">
        <f>ROUND((S20-O20)/O20,4)</f>
        <v>0.1113</v>
      </c>
      <c r="W20" s="7">
        <f>+INPUT!$J$4</f>
        <v>90.095000000000013</v>
      </c>
      <c r="X20" s="19">
        <f>$X$17*E20</f>
        <v>355.76549999999997</v>
      </c>
      <c r="Y20" s="19">
        <f>ROUND((($A$20*$Y$17*5)+($A$20*$Y$18*7))/12,2)</f>
        <v>1069.08</v>
      </c>
      <c r="Z20" s="19"/>
      <c r="AA20" s="19">
        <f>W20+X20+Y20</f>
        <v>1514.9404999999999</v>
      </c>
      <c r="AB20" s="19"/>
      <c r="AC20" s="19"/>
      <c r="AD20" s="19"/>
      <c r="AE20" s="19"/>
      <c r="AF20" s="7">
        <f>INPUT!$J$32</f>
        <v>90.095000000000013</v>
      </c>
      <c r="AG20" s="19">
        <f>$AG$17*E20</f>
        <v>355.65599999999995</v>
      </c>
      <c r="AH20" s="19">
        <f>ROUND((($A$20*$AH$17*5)+($A$20*$AH$18*7))/12,2)</f>
        <v>1247.71</v>
      </c>
      <c r="AI20" s="19"/>
      <c r="AJ20" s="19">
        <f>AF20+AG20+AH20</f>
        <v>1693.461</v>
      </c>
      <c r="AK20" s="84">
        <f>$AK$17*E20</f>
        <v>1.7848552271402354</v>
      </c>
      <c r="AL20" s="84">
        <f>$AL$17*E20</f>
        <v>-7.4460000000000006</v>
      </c>
      <c r="AM20" s="19"/>
      <c r="AN20" s="19"/>
      <c r="AO20" s="37"/>
      <c r="AP20" s="394"/>
    </row>
    <row r="21" spans="1:47" x14ac:dyDescent="0.25">
      <c r="A21" s="1"/>
      <c r="C21" s="13">
        <v>0.5</v>
      </c>
      <c r="E21" s="1">
        <f>C21*($A$20*730)</f>
        <v>18250</v>
      </c>
      <c r="G21" s="28">
        <f>+AA21</f>
        <v>1752.1174999999998</v>
      </c>
      <c r="H21" s="28">
        <f>+AJ21</f>
        <v>1930.5650000000001</v>
      </c>
      <c r="I21" s="28">
        <f t="shared" ref="I21:I38" si="0">AK21</f>
        <v>2.9747587119003924</v>
      </c>
      <c r="J21" s="90">
        <f t="shared" ref="J21:J38" si="1">+H21-(I21+G21)</f>
        <v>175.47274128809977</v>
      </c>
      <c r="K21" s="54">
        <f>ROUND(+J21/G21,4)</f>
        <v>0.10009999999999999</v>
      </c>
      <c r="L21" s="28">
        <f>ROUND($X$10*$E21,2)</f>
        <v>-25.4</v>
      </c>
      <c r="M21" s="28">
        <f>ROUND($X$11*$E21,2)</f>
        <v>4.78</v>
      </c>
      <c r="N21" s="28">
        <f>ROUND($X$12*$E21,2)</f>
        <v>28.5</v>
      </c>
      <c r="O21" s="28">
        <f t="shared" ref="O21:O37" si="2">+G21+I21+L21+M21+N21</f>
        <v>1762.9722587119002</v>
      </c>
      <c r="P21" s="28">
        <f>+H21+L21+M21+N21</f>
        <v>1938.4449999999999</v>
      </c>
      <c r="Q21" s="54">
        <f>ROUND((P21-O21)/O21,4)</f>
        <v>9.9500000000000005E-2</v>
      </c>
      <c r="R21" s="90">
        <f t="shared" ref="R21:R38" si="3">AL21</f>
        <v>-12.41</v>
      </c>
      <c r="S21" s="90">
        <f t="shared" ref="S21:S38" si="4">P21+R21</f>
        <v>1926.0349999999999</v>
      </c>
      <c r="T21" s="91">
        <f t="shared" ref="T21:T38" si="5">ROUND((S21-O21)/O21,4)</f>
        <v>9.2499999999999999E-2</v>
      </c>
      <c r="W21" s="7">
        <f>$W$20</f>
        <v>90.095000000000013</v>
      </c>
      <c r="X21" s="19">
        <f>$X$17*E21</f>
        <v>592.9425</v>
      </c>
      <c r="Y21" s="19">
        <f>ROUND((($A$20*$Y$17*5)+($A$20*$Y$18*7))/12,2)</f>
        <v>1069.08</v>
      </c>
      <c r="Z21" s="19"/>
      <c r="AA21" s="19">
        <f>W21+X21+Y21</f>
        <v>1752.1174999999998</v>
      </c>
      <c r="AB21" s="19"/>
      <c r="AC21" s="19"/>
      <c r="AD21" s="19"/>
      <c r="AE21" s="19"/>
      <c r="AF21" s="7">
        <f>INPUT!$J$32</f>
        <v>90.095000000000013</v>
      </c>
      <c r="AG21" s="19">
        <f>$AG$17*E21</f>
        <v>592.75999999999988</v>
      </c>
      <c r="AH21" s="19">
        <f>ROUND((($A$20*$AH$17*5)+($A$20*$AH$18*7))/12,2)</f>
        <v>1247.71</v>
      </c>
      <c r="AI21" s="19"/>
      <c r="AJ21" s="19">
        <f>AF21+AG21+AH21</f>
        <v>1930.5650000000001</v>
      </c>
      <c r="AK21" s="84">
        <f t="shared" ref="AK21:AK37" si="6">$AK$17*E21</f>
        <v>2.9747587119003924</v>
      </c>
      <c r="AL21" s="84">
        <f t="shared" ref="AL21:AL37" si="7">$AL$17*E21</f>
        <v>-12.41</v>
      </c>
      <c r="AM21" s="19"/>
      <c r="AN21" s="19"/>
      <c r="AO21" s="37"/>
      <c r="AP21" s="394"/>
    </row>
    <row r="22" spans="1:47" x14ac:dyDescent="0.25">
      <c r="A22" s="1"/>
      <c r="C22" s="13">
        <v>0.7</v>
      </c>
      <c r="E22" s="1">
        <f>C22*($A$20*730)</f>
        <v>25550</v>
      </c>
      <c r="G22" s="28">
        <f>+AA22</f>
        <v>1989.2945</v>
      </c>
      <c r="H22" s="28">
        <f>+AJ22</f>
        <v>2167.6689999999999</v>
      </c>
      <c r="I22" s="28">
        <f t="shared" si="0"/>
        <v>4.164662196660549</v>
      </c>
      <c r="J22" s="90">
        <f t="shared" si="1"/>
        <v>174.20983780333927</v>
      </c>
      <c r="K22" s="54">
        <f>ROUND(+J22/G22,4)</f>
        <v>8.7599999999999997E-2</v>
      </c>
      <c r="L22" s="28">
        <f>ROUND($X$10*$E22,2)</f>
        <v>-35.56</v>
      </c>
      <c r="M22" s="28">
        <f>ROUND($X$11*$E22,2)</f>
        <v>6.7</v>
      </c>
      <c r="N22" s="28">
        <f>ROUND($X$12*$E22,2)</f>
        <v>39.9</v>
      </c>
      <c r="O22" s="28">
        <f t="shared" si="2"/>
        <v>2004.4991621966608</v>
      </c>
      <c r="P22" s="28">
        <f>+H22+L22+M22+N22</f>
        <v>2178.7089999999998</v>
      </c>
      <c r="Q22" s="54">
        <f>ROUND((P22-O22)/O22,4)</f>
        <v>8.6900000000000005E-2</v>
      </c>
      <c r="R22" s="90">
        <f t="shared" si="3"/>
        <v>-17.374000000000002</v>
      </c>
      <c r="S22" s="90">
        <f t="shared" si="4"/>
        <v>2161.335</v>
      </c>
      <c r="T22" s="91">
        <f t="shared" si="5"/>
        <v>7.8200000000000006E-2</v>
      </c>
      <c r="W22" s="7">
        <f>$W$20</f>
        <v>90.095000000000013</v>
      </c>
      <c r="X22" s="19">
        <f>$X$17*E22</f>
        <v>830.1194999999999</v>
      </c>
      <c r="Y22" s="19">
        <f>ROUND((($A$20*$Y$17*5)+($A$20*$Y$18*7))/12,2)</f>
        <v>1069.08</v>
      </c>
      <c r="Z22" s="19"/>
      <c r="AA22" s="19">
        <f>W22+X22+Y22</f>
        <v>1989.2945</v>
      </c>
      <c r="AB22" s="19"/>
      <c r="AC22" s="19"/>
      <c r="AD22" s="19"/>
      <c r="AE22" s="19"/>
      <c r="AF22" s="7">
        <f>INPUT!$J$32</f>
        <v>90.095000000000013</v>
      </c>
      <c r="AG22" s="19">
        <f>$AG$17*E22</f>
        <v>829.86399999999992</v>
      </c>
      <c r="AH22" s="19">
        <f>ROUND((($A$20*$AH$17*5)+($A$20*$AH$18*7))/12,2)</f>
        <v>1247.71</v>
      </c>
      <c r="AI22" s="19"/>
      <c r="AJ22" s="19">
        <f>AF22+AG22+AH22</f>
        <v>2167.6689999999999</v>
      </c>
      <c r="AK22" s="84">
        <f t="shared" si="6"/>
        <v>4.164662196660549</v>
      </c>
      <c r="AL22" s="84">
        <f t="shared" si="7"/>
        <v>-17.374000000000002</v>
      </c>
      <c r="AM22" s="19"/>
      <c r="AN22" s="19"/>
      <c r="AO22" s="37"/>
      <c r="AP22" s="394"/>
    </row>
    <row r="23" spans="1:47" x14ac:dyDescent="0.25">
      <c r="A23" s="1"/>
      <c r="C23" s="13"/>
      <c r="E23" s="1"/>
      <c r="J23" s="90"/>
      <c r="K23" s="5"/>
      <c r="O23" s="28"/>
      <c r="Q23" s="54"/>
      <c r="R23" s="90"/>
      <c r="S23" s="90"/>
      <c r="T23" s="91"/>
      <c r="W23" s="7"/>
      <c r="X23" s="19"/>
      <c r="Y23" s="19"/>
      <c r="Z23" s="19"/>
      <c r="AA23" s="19"/>
      <c r="AB23" s="19"/>
      <c r="AC23" s="19"/>
      <c r="AD23" s="19"/>
      <c r="AE23" s="19"/>
      <c r="AF23" s="7"/>
      <c r="AG23" s="19"/>
      <c r="AH23" s="19"/>
      <c r="AI23" s="19"/>
      <c r="AJ23" s="19"/>
      <c r="AK23" s="84"/>
      <c r="AL23" s="84"/>
      <c r="AM23" s="19"/>
      <c r="AN23" s="19"/>
      <c r="AO23" s="37"/>
      <c r="AP23" s="394"/>
    </row>
    <row r="24" spans="1:47" x14ac:dyDescent="0.25">
      <c r="A24" s="1">
        <v>75</v>
      </c>
      <c r="C24" s="13">
        <v>0.3</v>
      </c>
      <c r="E24" s="1">
        <f>C24*($A$24*730)</f>
        <v>16425</v>
      </c>
      <c r="G24" s="28">
        <f>+AA24</f>
        <v>2227.3732500000001</v>
      </c>
      <c r="H24" s="28">
        <f>+AJ24</f>
        <v>2495.1390000000001</v>
      </c>
      <c r="I24" s="28">
        <f t="shared" si="0"/>
        <v>2.6772828407103533</v>
      </c>
      <c r="J24" s="90">
        <f t="shared" si="1"/>
        <v>265.08846715928985</v>
      </c>
      <c r="K24" s="54">
        <f>ROUND(+J24/G24,4)</f>
        <v>0.11899999999999999</v>
      </c>
      <c r="L24" s="28">
        <f>ROUND($X$10*$E24,2)</f>
        <v>-22.86</v>
      </c>
      <c r="M24" s="28">
        <f>ROUND($X$11*$E24,2)</f>
        <v>4.3099999999999996</v>
      </c>
      <c r="N24" s="28">
        <f>ROUND($X$12*$E24,2)</f>
        <v>25.65</v>
      </c>
      <c r="O24" s="28">
        <f t="shared" si="2"/>
        <v>2237.1505328407102</v>
      </c>
      <c r="P24" s="28">
        <f>+H24+L24+M24+N24</f>
        <v>2502.239</v>
      </c>
      <c r="Q24" s="54">
        <f>ROUND((P24-O24)/O24,4)</f>
        <v>0.11849999999999999</v>
      </c>
      <c r="R24" s="90">
        <f t="shared" si="3"/>
        <v>-11.169</v>
      </c>
      <c r="S24" s="90">
        <f t="shared" si="4"/>
        <v>2491.0700000000002</v>
      </c>
      <c r="T24" s="91">
        <f t="shared" si="5"/>
        <v>0.1135</v>
      </c>
      <c r="W24" s="7">
        <f>$W$20</f>
        <v>90.095000000000013</v>
      </c>
      <c r="X24" s="19">
        <f>$X$17*E24</f>
        <v>533.64824999999996</v>
      </c>
      <c r="Y24" s="19">
        <f>ROUND((($A$24*$Y$17*5)+($A$24*$Y$18*7))/12,2)</f>
        <v>1603.63</v>
      </c>
      <c r="Z24" s="19"/>
      <c r="AA24" s="19">
        <f>W24+X24+Y24</f>
        <v>2227.3732500000001</v>
      </c>
      <c r="AB24" s="19"/>
      <c r="AC24" s="19"/>
      <c r="AD24" s="19"/>
      <c r="AE24" s="19"/>
      <c r="AF24" s="7">
        <f>INPUT!$J$32</f>
        <v>90.095000000000013</v>
      </c>
      <c r="AG24" s="19">
        <f>$AG$17*E24</f>
        <v>533.48399999999992</v>
      </c>
      <c r="AH24" s="19">
        <f>ROUND((($A$24*$AH$17*5)+($A$24*$AH$18*7))/12,2)</f>
        <v>1871.56</v>
      </c>
      <c r="AI24" s="19"/>
      <c r="AJ24" s="19">
        <f>AF24+AG24+AH24</f>
        <v>2495.1390000000001</v>
      </c>
      <c r="AK24" s="84">
        <f t="shared" si="6"/>
        <v>2.6772828407103533</v>
      </c>
      <c r="AL24" s="84">
        <f t="shared" si="7"/>
        <v>-11.169</v>
      </c>
      <c r="AM24" s="23"/>
      <c r="AN24" s="19"/>
      <c r="AO24" s="37"/>
      <c r="AP24" s="394"/>
    </row>
    <row r="25" spans="1:47" x14ac:dyDescent="0.25">
      <c r="A25" s="1"/>
      <c r="C25" s="13">
        <v>0.5</v>
      </c>
      <c r="E25" s="1">
        <f>C25*($A$24*730)</f>
        <v>27375</v>
      </c>
      <c r="G25" s="28">
        <f>+AA25</f>
        <v>2583.1387500000001</v>
      </c>
      <c r="H25" s="28">
        <f>+AJ25</f>
        <v>2850.7950000000001</v>
      </c>
      <c r="I25" s="28">
        <f t="shared" si="0"/>
        <v>4.4621380678505886</v>
      </c>
      <c r="J25" s="90">
        <f t="shared" si="1"/>
        <v>263.19411193214955</v>
      </c>
      <c r="K25" s="54">
        <f>ROUND(+J25/G25,4)</f>
        <v>0.1019</v>
      </c>
      <c r="L25" s="28">
        <f>ROUND($X$10*$E25,2)</f>
        <v>-38.1</v>
      </c>
      <c r="M25" s="28">
        <f>ROUND($X$11*$E25,2)</f>
        <v>7.18</v>
      </c>
      <c r="N25" s="28">
        <f>ROUND($X$12*$E25,2)</f>
        <v>42.75</v>
      </c>
      <c r="O25" s="28">
        <f t="shared" si="2"/>
        <v>2599.4308880678504</v>
      </c>
      <c r="P25" s="28">
        <f>+H25+L25+M25+N25</f>
        <v>2862.625</v>
      </c>
      <c r="Q25" s="54">
        <f>ROUND((P25-O25)/O25,4)</f>
        <v>0.1013</v>
      </c>
      <c r="R25" s="90">
        <f t="shared" si="3"/>
        <v>-18.615000000000002</v>
      </c>
      <c r="S25" s="90">
        <f t="shared" si="4"/>
        <v>2844.01</v>
      </c>
      <c r="T25" s="91">
        <f t="shared" si="5"/>
        <v>9.4100000000000003E-2</v>
      </c>
      <c r="W25" s="7">
        <f>$W$20</f>
        <v>90.095000000000013</v>
      </c>
      <c r="X25" s="19">
        <f>$X$17*E25</f>
        <v>889.41374999999994</v>
      </c>
      <c r="Y25" s="19">
        <f>ROUND((($A$24*$Y$17*5)+($A$24*$Y$18*7))/12,2)</f>
        <v>1603.63</v>
      </c>
      <c r="Z25" s="19"/>
      <c r="AA25" s="19">
        <f>W25+X25+Y25</f>
        <v>2583.1387500000001</v>
      </c>
      <c r="AB25" s="19"/>
      <c r="AC25" s="19"/>
      <c r="AD25" s="19"/>
      <c r="AE25" s="19"/>
      <c r="AF25" s="7">
        <f>INPUT!$J$32</f>
        <v>90.095000000000013</v>
      </c>
      <c r="AG25" s="19">
        <f>$AG$17*E25</f>
        <v>889.13999999999987</v>
      </c>
      <c r="AH25" s="19">
        <f>ROUND((($A$24*$AH$17*5)+($A$24*$AH$18*7))/12,2)</f>
        <v>1871.56</v>
      </c>
      <c r="AI25" s="19"/>
      <c r="AJ25" s="19">
        <f>AF25+AG25+AH25</f>
        <v>2850.7950000000001</v>
      </c>
      <c r="AK25" s="84">
        <f t="shared" si="6"/>
        <v>4.4621380678505886</v>
      </c>
      <c r="AL25" s="84">
        <f t="shared" si="7"/>
        <v>-18.615000000000002</v>
      </c>
      <c r="AM25" s="23"/>
      <c r="AN25" s="19"/>
      <c r="AO25" s="37"/>
      <c r="AP25" s="394"/>
    </row>
    <row r="26" spans="1:47" x14ac:dyDescent="0.25">
      <c r="A26" s="1"/>
      <c r="C26" s="13">
        <v>0.7</v>
      </c>
      <c r="E26" s="1">
        <f>C26*($A$24*730)</f>
        <v>38325</v>
      </c>
      <c r="G26" s="28">
        <f>+AA26</f>
        <v>2938.90425</v>
      </c>
      <c r="H26" s="28">
        <f>+AJ26</f>
        <v>3206.451</v>
      </c>
      <c r="I26" s="28">
        <f t="shared" si="0"/>
        <v>6.2469932949908245</v>
      </c>
      <c r="J26" s="90">
        <f t="shared" si="1"/>
        <v>261.29975670500926</v>
      </c>
      <c r="K26" s="54">
        <f>ROUND(+J26/G26,4)</f>
        <v>8.8900000000000007E-2</v>
      </c>
      <c r="L26" s="28">
        <f>ROUND($X$10*$E26,2)</f>
        <v>-53.34</v>
      </c>
      <c r="M26" s="28">
        <f>ROUND($X$11*$E26,2)</f>
        <v>10.050000000000001</v>
      </c>
      <c r="N26" s="28">
        <f>ROUND($X$12*$E26,2)</f>
        <v>59.85</v>
      </c>
      <c r="O26" s="28">
        <f t="shared" si="2"/>
        <v>2961.7112432949907</v>
      </c>
      <c r="P26" s="28">
        <f>+H26+L26+M26+N26</f>
        <v>3223.011</v>
      </c>
      <c r="Q26" s="54">
        <f>ROUND((P26-O26)/O26,4)</f>
        <v>8.8200000000000001E-2</v>
      </c>
      <c r="R26" s="90">
        <f t="shared" si="3"/>
        <v>-26.061000000000003</v>
      </c>
      <c r="S26" s="90">
        <f t="shared" si="4"/>
        <v>3196.95</v>
      </c>
      <c r="T26" s="91">
        <f t="shared" si="5"/>
        <v>7.9399999999999998E-2</v>
      </c>
      <c r="W26" s="7">
        <f>$W$20</f>
        <v>90.095000000000013</v>
      </c>
      <c r="X26" s="19">
        <f>$X$17*E26</f>
        <v>1245.1792499999999</v>
      </c>
      <c r="Y26" s="19">
        <f>ROUND((($A$24*$Y$17*5)+($A$24*$Y$18*7))/12,2)</f>
        <v>1603.63</v>
      </c>
      <c r="Z26" s="19"/>
      <c r="AA26" s="19">
        <f>W26+X26+Y26</f>
        <v>2938.90425</v>
      </c>
      <c r="AB26" s="19"/>
      <c r="AC26" s="19"/>
      <c r="AD26" s="19"/>
      <c r="AE26" s="19"/>
      <c r="AF26" s="7">
        <f>INPUT!$J$32</f>
        <v>90.095000000000013</v>
      </c>
      <c r="AG26" s="19">
        <f>$AG$17*E26</f>
        <v>1244.7959999999998</v>
      </c>
      <c r="AH26" s="19">
        <f>ROUND((($A$24*$AH$17*5)+($A$24*$AH$18*7))/12,2)</f>
        <v>1871.56</v>
      </c>
      <c r="AI26" s="19"/>
      <c r="AJ26" s="19">
        <f>AF26+AG26+AH26</f>
        <v>3206.451</v>
      </c>
      <c r="AK26" s="84">
        <f t="shared" si="6"/>
        <v>6.2469932949908245</v>
      </c>
      <c r="AL26" s="84">
        <f t="shared" si="7"/>
        <v>-26.061000000000003</v>
      </c>
      <c r="AM26" s="19"/>
      <c r="AN26" s="19"/>
      <c r="AO26" s="37"/>
      <c r="AP26" s="394"/>
    </row>
    <row r="27" spans="1:47" x14ac:dyDescent="0.25">
      <c r="A27" s="1"/>
      <c r="C27" s="13"/>
      <c r="E27" s="1"/>
      <c r="J27" s="90"/>
      <c r="K27" s="5"/>
      <c r="O27" s="28"/>
      <c r="Q27" s="54"/>
      <c r="R27" s="90"/>
      <c r="S27" s="90"/>
      <c r="T27" s="91"/>
      <c r="W27" s="7"/>
      <c r="X27" s="19"/>
      <c r="Y27" s="19"/>
      <c r="Z27" s="19"/>
      <c r="AA27" s="19"/>
      <c r="AB27" s="19"/>
      <c r="AC27" s="19"/>
      <c r="AD27" s="19"/>
      <c r="AE27" s="19"/>
      <c r="AF27" s="7"/>
      <c r="AG27" s="19"/>
      <c r="AH27" s="19"/>
      <c r="AI27" s="19"/>
      <c r="AJ27" s="19"/>
      <c r="AK27" s="84"/>
      <c r="AL27" s="84"/>
      <c r="AM27" s="19"/>
      <c r="AN27" s="19"/>
      <c r="AO27" s="37"/>
      <c r="AP27" s="394"/>
    </row>
    <row r="28" spans="1:47" x14ac:dyDescent="0.25">
      <c r="A28" s="1">
        <v>100</v>
      </c>
      <c r="C28" s="13">
        <v>0.3</v>
      </c>
      <c r="E28" s="1">
        <f>C28*($A$28*730)</f>
        <v>21900</v>
      </c>
      <c r="G28" s="28">
        <f>+AA28</f>
        <v>2939.7960000000003</v>
      </c>
      <c r="H28" s="28">
        <f>+AJ28</f>
        <v>3296.8270000000002</v>
      </c>
      <c r="I28" s="28">
        <f t="shared" si="0"/>
        <v>3.5697104542804707</v>
      </c>
      <c r="J28" s="90">
        <f t="shared" si="1"/>
        <v>353.46128954571941</v>
      </c>
      <c r="K28" s="54">
        <f>ROUND(+J28/G28,4)</f>
        <v>0.1202</v>
      </c>
      <c r="L28" s="28">
        <f>ROUND($X$10*$E28,2)</f>
        <v>-30.48</v>
      </c>
      <c r="M28" s="28">
        <f>ROUND($X$11*$E28,2)</f>
        <v>5.74</v>
      </c>
      <c r="N28" s="28">
        <f>ROUND($X$12*$E28,2)</f>
        <v>34.200000000000003</v>
      </c>
      <c r="O28" s="28">
        <f t="shared" si="2"/>
        <v>2952.8257104542804</v>
      </c>
      <c r="P28" s="28">
        <f>+H28+L28+M28+N28</f>
        <v>3306.2869999999998</v>
      </c>
      <c r="Q28" s="54">
        <f>ROUND((P28-O28)/O28,4)</f>
        <v>0.1197</v>
      </c>
      <c r="R28" s="90">
        <f t="shared" si="3"/>
        <v>-14.892000000000001</v>
      </c>
      <c r="S28" s="90">
        <f t="shared" si="4"/>
        <v>3291.395</v>
      </c>
      <c r="T28" s="91">
        <f t="shared" si="5"/>
        <v>0.1147</v>
      </c>
      <c r="W28" s="7">
        <f>$W$20</f>
        <v>90.095000000000013</v>
      </c>
      <c r="X28" s="19">
        <f>$X$17*E28</f>
        <v>711.53099999999995</v>
      </c>
      <c r="Y28" s="19">
        <f>ROUND((($A$28*$Y$17*5)+($A$28*$Y$18*7))/12,2)</f>
        <v>2138.17</v>
      </c>
      <c r="Z28" s="19"/>
      <c r="AA28" s="19">
        <f>W28+X28+Y28</f>
        <v>2939.7960000000003</v>
      </c>
      <c r="AB28" s="19"/>
      <c r="AC28" s="19"/>
      <c r="AD28" s="19"/>
      <c r="AE28" s="19"/>
      <c r="AF28" s="7">
        <f>INPUT!$J$32</f>
        <v>90.095000000000013</v>
      </c>
      <c r="AG28" s="19">
        <f>$AG$17*E28</f>
        <v>711.3119999999999</v>
      </c>
      <c r="AH28" s="19">
        <f>ROUND((($A$28*$AH$17*5)+($A$28*$AH$18*7))/12,2)</f>
        <v>2495.42</v>
      </c>
      <c r="AI28" s="19"/>
      <c r="AJ28" s="19">
        <f>AF28+AG28+AH28</f>
        <v>3296.8270000000002</v>
      </c>
      <c r="AK28" s="84">
        <f t="shared" si="6"/>
        <v>3.5697104542804707</v>
      </c>
      <c r="AL28" s="84">
        <f t="shared" si="7"/>
        <v>-14.892000000000001</v>
      </c>
      <c r="AM28" s="19"/>
      <c r="AN28" s="19"/>
      <c r="AO28" s="37"/>
      <c r="AP28" s="394"/>
    </row>
    <row r="29" spans="1:47" x14ac:dyDescent="0.25">
      <c r="A29" s="1"/>
      <c r="C29" s="13">
        <v>0.5</v>
      </c>
      <c r="E29" s="1">
        <f>C29*($A$28*730)</f>
        <v>36500</v>
      </c>
      <c r="G29" s="28">
        <f>+AA29</f>
        <v>3414.15</v>
      </c>
      <c r="H29" s="28">
        <f>+AJ29</f>
        <v>3771.0349999999999</v>
      </c>
      <c r="I29" s="28">
        <f t="shared" si="0"/>
        <v>5.9495174238007849</v>
      </c>
      <c r="J29" s="90">
        <f t="shared" si="1"/>
        <v>350.93548257619886</v>
      </c>
      <c r="K29" s="54">
        <f>ROUND(+J29/G29,4)</f>
        <v>0.1028</v>
      </c>
      <c r="L29" s="28">
        <f>ROUND($X$10*$E29,2)</f>
        <v>-50.8</v>
      </c>
      <c r="M29" s="28">
        <f>ROUND($X$11*$E29,2)</f>
        <v>9.57</v>
      </c>
      <c r="N29" s="28">
        <f>ROUND($X$12*$E29,2)</f>
        <v>57</v>
      </c>
      <c r="O29" s="28">
        <f t="shared" si="2"/>
        <v>3435.869517423801</v>
      </c>
      <c r="P29" s="28">
        <f>+H29+L29+M29+N29</f>
        <v>3786.8049999999998</v>
      </c>
      <c r="Q29" s="54">
        <f>ROUND((P29-O29)/O29,4)</f>
        <v>0.1021</v>
      </c>
      <c r="R29" s="90">
        <f t="shared" si="3"/>
        <v>-24.82</v>
      </c>
      <c r="S29" s="90">
        <f t="shared" si="4"/>
        <v>3761.9849999999997</v>
      </c>
      <c r="T29" s="91">
        <f t="shared" si="5"/>
        <v>9.4899999999999998E-2</v>
      </c>
      <c r="W29" s="7">
        <f>$W$20</f>
        <v>90.095000000000013</v>
      </c>
      <c r="X29" s="19">
        <f>$X$17*E29</f>
        <v>1185.885</v>
      </c>
      <c r="Y29" s="19">
        <f>ROUND((($A$28*$Y$17*5)+($A$28*$Y$18*7))/12,2)</f>
        <v>2138.17</v>
      </c>
      <c r="Z29" s="19"/>
      <c r="AA29" s="19">
        <f>W29+X29+Y29</f>
        <v>3414.15</v>
      </c>
      <c r="AB29" s="19"/>
      <c r="AC29" s="19"/>
      <c r="AD29" s="19"/>
      <c r="AE29" s="19"/>
      <c r="AF29" s="7">
        <f>INPUT!$J$32</f>
        <v>90.095000000000013</v>
      </c>
      <c r="AG29" s="19">
        <f>$AG$17*E29</f>
        <v>1185.5199999999998</v>
      </c>
      <c r="AH29" s="19">
        <f>ROUND((($A$28*$AH$17*5)+($A$28*$AH$18*7))/12,2)</f>
        <v>2495.42</v>
      </c>
      <c r="AI29" s="19"/>
      <c r="AJ29" s="19">
        <f>AF29+AG29+AH29</f>
        <v>3771.0349999999999</v>
      </c>
      <c r="AK29" s="84">
        <f t="shared" si="6"/>
        <v>5.9495174238007849</v>
      </c>
      <c r="AL29" s="84">
        <f t="shared" si="7"/>
        <v>-24.82</v>
      </c>
      <c r="AM29" s="19"/>
      <c r="AN29" s="19"/>
      <c r="AO29" s="37"/>
      <c r="AP29" s="394"/>
    </row>
    <row r="30" spans="1:47" x14ac:dyDescent="0.25">
      <c r="A30" s="1"/>
      <c r="C30" s="13">
        <v>0.7</v>
      </c>
      <c r="E30" s="1">
        <f>C30*($A$28*730)</f>
        <v>51100</v>
      </c>
      <c r="G30" s="28">
        <f>+AA30</f>
        <v>3888.5039999999999</v>
      </c>
      <c r="H30" s="28">
        <f>+AJ30</f>
        <v>4245.2430000000004</v>
      </c>
      <c r="I30" s="28">
        <f t="shared" si="0"/>
        <v>8.3293243933210981</v>
      </c>
      <c r="J30" s="90">
        <f t="shared" si="1"/>
        <v>348.40967560667923</v>
      </c>
      <c r="K30" s="54">
        <f>ROUND(+J30/G30,4)</f>
        <v>8.9599999999999999E-2</v>
      </c>
      <c r="L30" s="28">
        <f>ROUND($X$10*$E30,2)</f>
        <v>-71.12</v>
      </c>
      <c r="M30" s="28">
        <f>ROUND($X$11*$E30,2)</f>
        <v>13.39</v>
      </c>
      <c r="N30" s="28">
        <f>ROUND($X$12*$E30,2)</f>
        <v>79.8</v>
      </c>
      <c r="O30" s="28">
        <f t="shared" si="2"/>
        <v>3918.9033243933213</v>
      </c>
      <c r="P30" s="28">
        <f>+H30+L30+M30+N30</f>
        <v>4267.313000000001</v>
      </c>
      <c r="Q30" s="54">
        <f>ROUND((P30-O30)/O30,4)</f>
        <v>8.8900000000000007E-2</v>
      </c>
      <c r="R30" s="90">
        <f t="shared" si="3"/>
        <v>-34.748000000000005</v>
      </c>
      <c r="S30" s="90">
        <f t="shared" si="4"/>
        <v>4232.5650000000014</v>
      </c>
      <c r="T30" s="91">
        <f t="shared" si="5"/>
        <v>0.08</v>
      </c>
      <c r="W30" s="7">
        <f>$W$20</f>
        <v>90.095000000000013</v>
      </c>
      <c r="X30" s="19">
        <f>$X$17*E30</f>
        <v>1660.2389999999998</v>
      </c>
      <c r="Y30" s="19">
        <f>ROUND((($A$28*$Y$17*5)+($A$28*$Y$18*7))/12,2)</f>
        <v>2138.17</v>
      </c>
      <c r="Z30" s="19"/>
      <c r="AA30" s="19">
        <f>W30+X30+Y30</f>
        <v>3888.5039999999999</v>
      </c>
      <c r="AB30" s="19"/>
      <c r="AC30" s="19"/>
      <c r="AD30" s="19"/>
      <c r="AE30" s="19"/>
      <c r="AF30" s="7">
        <f>INPUT!$J$32</f>
        <v>90.095000000000013</v>
      </c>
      <c r="AG30" s="19">
        <f>$AG$17*E30</f>
        <v>1659.7279999999998</v>
      </c>
      <c r="AH30" s="19">
        <f>ROUND((($A$28*$AH$17*5)+($A$28*$AH$18*7))/12,2)</f>
        <v>2495.42</v>
      </c>
      <c r="AI30" s="19"/>
      <c r="AJ30" s="19">
        <f>AF30+AG30+AH30</f>
        <v>4245.2430000000004</v>
      </c>
      <c r="AK30" s="84">
        <f t="shared" si="6"/>
        <v>8.3293243933210981</v>
      </c>
      <c r="AL30" s="84">
        <f t="shared" si="7"/>
        <v>-34.748000000000005</v>
      </c>
      <c r="AM30" s="19"/>
      <c r="AN30" s="19"/>
      <c r="AO30" s="37"/>
      <c r="AP30" s="394"/>
    </row>
    <row r="31" spans="1:47" x14ac:dyDescent="0.25">
      <c r="A31" s="1"/>
      <c r="C31" s="13"/>
      <c r="E31" s="1"/>
      <c r="J31" s="90"/>
      <c r="K31" s="5"/>
      <c r="O31" s="28"/>
      <c r="Q31" s="54"/>
      <c r="R31" s="90"/>
      <c r="S31" s="90"/>
      <c r="T31" s="91"/>
      <c r="W31" s="7"/>
      <c r="X31" s="19"/>
      <c r="Y31" s="19"/>
      <c r="Z31" s="19"/>
      <c r="AA31" s="19"/>
      <c r="AB31" s="19"/>
      <c r="AC31" s="19"/>
      <c r="AD31" s="19"/>
      <c r="AE31" s="19"/>
      <c r="AF31" s="7"/>
      <c r="AG31" s="19"/>
      <c r="AH31" s="19"/>
      <c r="AI31" s="19"/>
      <c r="AJ31" s="19"/>
      <c r="AK31" s="84"/>
      <c r="AL31" s="84"/>
      <c r="AM31" s="19"/>
      <c r="AN31" s="19"/>
      <c r="AO31" s="37"/>
      <c r="AP31" s="394"/>
    </row>
    <row r="32" spans="1:47" x14ac:dyDescent="0.25">
      <c r="A32" s="1">
        <v>150</v>
      </c>
      <c r="C32" s="13">
        <v>0.3</v>
      </c>
      <c r="E32" s="1">
        <f>C32*($A$32*730)</f>
        <v>32850</v>
      </c>
      <c r="G32" s="28">
        <f>+AA32</f>
        <v>4364.6414999999997</v>
      </c>
      <c r="H32" s="28">
        <f>+AJ32</f>
        <v>4900.1930000000002</v>
      </c>
      <c r="I32" s="28">
        <f t="shared" si="0"/>
        <v>5.3545656814207065</v>
      </c>
      <c r="J32" s="90">
        <f t="shared" si="1"/>
        <v>530.19693431858013</v>
      </c>
      <c r="K32" s="54">
        <f>ROUND(+J32/G32,4)</f>
        <v>0.1215</v>
      </c>
      <c r="L32" s="28">
        <f>ROUND($X$10*$E32,2)</f>
        <v>-45.72</v>
      </c>
      <c r="M32" s="28">
        <f>ROUND($X$11*$E32,2)</f>
        <v>8.61</v>
      </c>
      <c r="N32" s="28">
        <f>ROUND($X$12*$E32,2)</f>
        <v>51.3</v>
      </c>
      <c r="O32" s="28">
        <f t="shared" si="2"/>
        <v>4384.1860656814197</v>
      </c>
      <c r="P32" s="28">
        <f>+H32+L32+M32+N32</f>
        <v>4914.3829999999998</v>
      </c>
      <c r="Q32" s="54">
        <f>ROUND((P32-O32)/O32,4)</f>
        <v>0.12089999999999999</v>
      </c>
      <c r="R32" s="90">
        <f t="shared" si="3"/>
        <v>-22.338000000000001</v>
      </c>
      <c r="S32" s="90">
        <f t="shared" si="4"/>
        <v>4892.0450000000001</v>
      </c>
      <c r="T32" s="91">
        <f t="shared" si="5"/>
        <v>0.1158</v>
      </c>
      <c r="W32" s="7">
        <f>$W$20</f>
        <v>90.095000000000013</v>
      </c>
      <c r="X32" s="19">
        <f>$X$17*E32</f>
        <v>1067.2964999999999</v>
      </c>
      <c r="Y32" s="19">
        <f>ROUND((($A$32*$Y$17*5)+($A$32*$Y$18*7))/12,2)</f>
        <v>3207.25</v>
      </c>
      <c r="Z32" s="19"/>
      <c r="AA32" s="19">
        <f>W32+X32+Y32</f>
        <v>4364.6414999999997</v>
      </c>
      <c r="AB32" s="19"/>
      <c r="AC32" s="19"/>
      <c r="AD32" s="19"/>
      <c r="AE32" s="19"/>
      <c r="AF32" s="7">
        <f>INPUT!$J$32</f>
        <v>90.095000000000013</v>
      </c>
      <c r="AG32" s="19">
        <f>$AG$17*E32</f>
        <v>1066.9679999999998</v>
      </c>
      <c r="AH32" s="19">
        <f>ROUND((($A$32*$AH$17*5)+($A$32*$AH$18*7))/12,2)</f>
        <v>3743.13</v>
      </c>
      <c r="AI32" s="19"/>
      <c r="AJ32" s="19">
        <f>AF32+AG32+AH32</f>
        <v>4900.1930000000002</v>
      </c>
      <c r="AK32" s="84">
        <f t="shared" si="6"/>
        <v>5.3545656814207065</v>
      </c>
      <c r="AL32" s="84">
        <f t="shared" si="7"/>
        <v>-22.338000000000001</v>
      </c>
      <c r="AM32" s="19"/>
      <c r="AN32" s="19"/>
      <c r="AO32" s="37"/>
      <c r="AP32" s="394"/>
    </row>
    <row r="33" spans="1:42" x14ac:dyDescent="0.25">
      <c r="A33" s="1"/>
      <c r="C33" s="13">
        <v>0.5</v>
      </c>
      <c r="E33" s="1">
        <f>C33*($A$32*730)</f>
        <v>54750</v>
      </c>
      <c r="G33" s="28">
        <f>+AA33</f>
        <v>5076.1724999999997</v>
      </c>
      <c r="H33" s="28">
        <f>+AJ33</f>
        <v>5611.5050000000001</v>
      </c>
      <c r="I33" s="28">
        <f t="shared" si="0"/>
        <v>8.9242761357011773</v>
      </c>
      <c r="J33" s="90">
        <f t="shared" si="1"/>
        <v>526.40822386429954</v>
      </c>
      <c r="K33" s="54">
        <f>ROUND(+J33/G33,4)</f>
        <v>0.1037</v>
      </c>
      <c r="L33" s="28">
        <f>ROUND($X$10*$E33,2)</f>
        <v>-76.2</v>
      </c>
      <c r="M33" s="28">
        <f>ROUND($X$11*$E33,2)</f>
        <v>14.35</v>
      </c>
      <c r="N33" s="28">
        <f>ROUND($X$12*$E33,2)</f>
        <v>85.49</v>
      </c>
      <c r="O33" s="28">
        <f t="shared" si="2"/>
        <v>5108.7367761357009</v>
      </c>
      <c r="P33" s="28">
        <f>+H33+L33+M33+N33</f>
        <v>5635.1450000000004</v>
      </c>
      <c r="Q33" s="54">
        <f>ROUND((P33-O33)/O33,4)</f>
        <v>0.10299999999999999</v>
      </c>
      <c r="R33" s="90">
        <f t="shared" si="3"/>
        <v>-37.230000000000004</v>
      </c>
      <c r="S33" s="90">
        <f t="shared" si="4"/>
        <v>5597.9150000000009</v>
      </c>
      <c r="T33" s="91">
        <f t="shared" si="5"/>
        <v>9.5799999999999996E-2</v>
      </c>
      <c r="W33" s="7">
        <f>$W$20</f>
        <v>90.095000000000013</v>
      </c>
      <c r="X33" s="19">
        <f>$X$17*E33</f>
        <v>1778.8274999999999</v>
      </c>
      <c r="Y33" s="19">
        <f>ROUND((($A$32*$Y$17*5)+($A$32*$Y$18*7))/12,2)</f>
        <v>3207.25</v>
      </c>
      <c r="Z33" s="19"/>
      <c r="AA33" s="19">
        <f>W33+X33+Y33</f>
        <v>5076.1724999999997</v>
      </c>
      <c r="AB33" s="19"/>
      <c r="AC33" s="19"/>
      <c r="AD33" s="19"/>
      <c r="AE33" s="19"/>
      <c r="AF33" s="7">
        <f>INPUT!$J$32</f>
        <v>90.095000000000013</v>
      </c>
      <c r="AG33" s="19">
        <f>$AG$17*E33</f>
        <v>1778.2799999999997</v>
      </c>
      <c r="AH33" s="19">
        <f>ROUND((($A$32*$AH$17*5)+($A$32*$AH$18*7))/12,2)</f>
        <v>3743.13</v>
      </c>
      <c r="AI33" s="19"/>
      <c r="AJ33" s="19">
        <f>AF33+AG33+AH33</f>
        <v>5611.5050000000001</v>
      </c>
      <c r="AK33" s="84">
        <f t="shared" si="6"/>
        <v>8.9242761357011773</v>
      </c>
      <c r="AL33" s="84">
        <f t="shared" si="7"/>
        <v>-37.230000000000004</v>
      </c>
      <c r="AM33" s="19"/>
      <c r="AN33" s="19"/>
      <c r="AO33" s="37"/>
      <c r="AP33" s="394"/>
    </row>
    <row r="34" spans="1:42" x14ac:dyDescent="0.25">
      <c r="A34" s="1"/>
      <c r="C34" s="13">
        <v>0.7</v>
      </c>
      <c r="E34" s="1">
        <f>C34*($A$32*730)</f>
        <v>76650</v>
      </c>
      <c r="G34" s="28">
        <f>+AA34</f>
        <v>5787.7034999999996</v>
      </c>
      <c r="H34" s="28">
        <f>+AJ34</f>
        <v>6322.8169999999991</v>
      </c>
      <c r="I34" s="28">
        <f t="shared" si="0"/>
        <v>12.493986589981649</v>
      </c>
      <c r="J34" s="90">
        <f t="shared" si="1"/>
        <v>522.61951341001804</v>
      </c>
      <c r="K34" s="54">
        <f>ROUND(+J34/G34,4)</f>
        <v>9.0300000000000005E-2</v>
      </c>
      <c r="L34" s="28">
        <f>ROUND($X$10*$E34,2)</f>
        <v>-106.68</v>
      </c>
      <c r="M34" s="28">
        <f>ROUND($X$11*$E34,2)</f>
        <v>20.09</v>
      </c>
      <c r="N34" s="28">
        <f>ROUND($X$12*$E34,2)</f>
        <v>119.69</v>
      </c>
      <c r="O34" s="28">
        <f t="shared" si="2"/>
        <v>5833.2974865899805</v>
      </c>
      <c r="P34" s="28">
        <f>+H34+L34+M34+N34</f>
        <v>6355.9169999999986</v>
      </c>
      <c r="Q34" s="54">
        <f>ROUND((P34-O34)/O34,4)</f>
        <v>8.9599999999999999E-2</v>
      </c>
      <c r="R34" s="90">
        <f t="shared" si="3"/>
        <v>-52.122000000000007</v>
      </c>
      <c r="S34" s="90">
        <f t="shared" si="4"/>
        <v>6303.7949999999983</v>
      </c>
      <c r="T34" s="91">
        <f t="shared" si="5"/>
        <v>8.0699999999999994E-2</v>
      </c>
      <c r="W34" s="7">
        <f>$W$20</f>
        <v>90.095000000000013</v>
      </c>
      <c r="X34" s="19">
        <f>$X$17*E34</f>
        <v>2490.3584999999998</v>
      </c>
      <c r="Y34" s="19">
        <f>ROUND((($A$32*$Y$17*5)+($A$32*$Y$18*7))/12,2)</f>
        <v>3207.25</v>
      </c>
      <c r="Z34" s="19"/>
      <c r="AA34" s="19">
        <f>W34+X34+Y34</f>
        <v>5787.7034999999996</v>
      </c>
      <c r="AB34" s="19"/>
      <c r="AC34" s="19"/>
      <c r="AD34" s="19"/>
      <c r="AE34" s="19"/>
      <c r="AF34" s="7">
        <f>INPUT!$J$32</f>
        <v>90.095000000000013</v>
      </c>
      <c r="AG34" s="19">
        <f>$AG$17*E34</f>
        <v>2489.5919999999996</v>
      </c>
      <c r="AH34" s="19">
        <f>ROUND((($A$32*$AH$17*5)+($A$32*$AH$18*7))/12,2)</f>
        <v>3743.13</v>
      </c>
      <c r="AI34" s="19"/>
      <c r="AJ34" s="19">
        <f>AF34+AG34+AH34</f>
        <v>6322.8169999999991</v>
      </c>
      <c r="AK34" s="84">
        <f t="shared" si="6"/>
        <v>12.493986589981649</v>
      </c>
      <c r="AL34" s="84">
        <f t="shared" si="7"/>
        <v>-52.122000000000007</v>
      </c>
      <c r="AM34" s="19"/>
      <c r="AN34" s="19"/>
      <c r="AO34" s="37"/>
      <c r="AP34" s="394"/>
    </row>
    <row r="35" spans="1:42" x14ac:dyDescent="0.25">
      <c r="A35" s="1"/>
      <c r="C35" s="13"/>
      <c r="E35" s="1"/>
      <c r="J35" s="90"/>
      <c r="K35" s="5"/>
      <c r="O35" s="28"/>
      <c r="Q35" s="54"/>
      <c r="R35" s="90"/>
      <c r="S35" s="90"/>
      <c r="T35" s="91"/>
      <c r="W35" s="7"/>
      <c r="X35" s="19"/>
      <c r="Y35" s="19"/>
      <c r="Z35" s="19"/>
      <c r="AA35" s="19"/>
      <c r="AB35" s="19"/>
      <c r="AC35" s="19"/>
      <c r="AD35" s="19"/>
      <c r="AE35" s="19"/>
      <c r="AF35" s="7"/>
      <c r="AG35" s="19"/>
      <c r="AH35" s="19"/>
      <c r="AI35" s="19"/>
      <c r="AJ35" s="19"/>
      <c r="AK35" s="84"/>
      <c r="AL35" s="84"/>
      <c r="AM35" s="19"/>
      <c r="AN35" s="19"/>
      <c r="AO35" s="37"/>
      <c r="AP35" s="394"/>
    </row>
    <row r="36" spans="1:42" x14ac:dyDescent="0.25">
      <c r="A36" s="1">
        <v>250</v>
      </c>
      <c r="C36" s="13">
        <v>0.3</v>
      </c>
      <c r="E36" s="1">
        <f>C36*($A$36*730)</f>
        <v>54750</v>
      </c>
      <c r="G36" s="28">
        <f>+AA36</f>
        <v>7214.3424999999997</v>
      </c>
      <c r="H36" s="28">
        <f>+AJ36</f>
        <v>8106.915</v>
      </c>
      <c r="I36" s="28">
        <f t="shared" si="0"/>
        <v>8.9242761357011773</v>
      </c>
      <c r="J36" s="90">
        <f t="shared" si="1"/>
        <v>883.64822386429933</v>
      </c>
      <c r="K36" s="54">
        <f>ROUND(+J36/G36,4)</f>
        <v>0.1225</v>
      </c>
      <c r="L36" s="28">
        <f>ROUND($X$10*$E36,2)</f>
        <v>-76.2</v>
      </c>
      <c r="M36" s="28">
        <f>ROUND($X$11*$E36,2)</f>
        <v>14.35</v>
      </c>
      <c r="N36" s="28">
        <f>ROUND($X$12*$E36,2)</f>
        <v>85.49</v>
      </c>
      <c r="O36" s="28">
        <f t="shared" si="2"/>
        <v>7246.906776135701</v>
      </c>
      <c r="P36" s="28">
        <f>+H36+L36+M36+N36</f>
        <v>8130.5550000000003</v>
      </c>
      <c r="Q36" s="54">
        <f>ROUND((P36-O36)/O36,4)</f>
        <v>0.12189999999999999</v>
      </c>
      <c r="R36" s="90">
        <f t="shared" si="3"/>
        <v>-37.230000000000004</v>
      </c>
      <c r="S36" s="90">
        <f t="shared" si="4"/>
        <v>8093.3250000000007</v>
      </c>
      <c r="T36" s="91">
        <f t="shared" si="5"/>
        <v>0.1168</v>
      </c>
      <c r="W36" s="7">
        <f>$W$20</f>
        <v>90.095000000000013</v>
      </c>
      <c r="X36" s="19">
        <f>$X$17*E36</f>
        <v>1778.8274999999999</v>
      </c>
      <c r="Y36" s="19">
        <f>ROUND((($A$36*$Y$17*5)+($A$36*$Y$18*7))/12,2)</f>
        <v>5345.42</v>
      </c>
      <c r="Z36" s="19"/>
      <c r="AA36" s="19">
        <f>W36+X36+Y36</f>
        <v>7214.3424999999997</v>
      </c>
      <c r="AB36" s="19"/>
      <c r="AC36" s="19"/>
      <c r="AD36" s="19"/>
      <c r="AE36" s="19"/>
      <c r="AF36" s="7">
        <f>INPUT!$J$32</f>
        <v>90.095000000000013</v>
      </c>
      <c r="AG36" s="19">
        <f>$AG$17*E36</f>
        <v>1778.2799999999997</v>
      </c>
      <c r="AH36" s="19">
        <f>ROUND((($A$36*$AH$17*5)+($A$36*$AH$18*7))/12,2)</f>
        <v>6238.54</v>
      </c>
      <c r="AI36" s="19"/>
      <c r="AJ36" s="19">
        <f>AF36+AG36+AH36</f>
        <v>8106.915</v>
      </c>
      <c r="AK36" s="84">
        <f t="shared" si="6"/>
        <v>8.9242761357011773</v>
      </c>
      <c r="AL36" s="84">
        <f t="shared" si="7"/>
        <v>-37.230000000000004</v>
      </c>
      <c r="AM36" s="19"/>
      <c r="AN36" s="19"/>
      <c r="AO36" s="37"/>
      <c r="AP36" s="394"/>
    </row>
    <row r="37" spans="1:42" x14ac:dyDescent="0.25">
      <c r="A37" s="1"/>
      <c r="C37" s="13">
        <v>0.5</v>
      </c>
      <c r="E37" s="1">
        <f>C37*($A$36*730)</f>
        <v>91250</v>
      </c>
      <c r="G37" s="28">
        <f>+AA37</f>
        <v>8400.2274999999991</v>
      </c>
      <c r="H37" s="28">
        <f>+AJ37</f>
        <v>9292.4349999999995</v>
      </c>
      <c r="I37" s="28">
        <f t="shared" si="0"/>
        <v>14.873793559501962</v>
      </c>
      <c r="J37" s="90">
        <f t="shared" si="1"/>
        <v>877.33370644049864</v>
      </c>
      <c r="K37" s="54">
        <f>ROUND(+J37/G37,4)</f>
        <v>0.10440000000000001</v>
      </c>
      <c r="L37" s="28">
        <f>ROUND($X$10*$E37,2)</f>
        <v>-127</v>
      </c>
      <c r="M37" s="28">
        <f>ROUND($X$11*$E37,2)</f>
        <v>23.92</v>
      </c>
      <c r="N37" s="28">
        <f>ROUND($X$12*$E37,2)</f>
        <v>142.49</v>
      </c>
      <c r="O37" s="28">
        <f t="shared" si="2"/>
        <v>8454.5112935595007</v>
      </c>
      <c r="P37" s="28">
        <f>+H37+L37+M37+N37</f>
        <v>9331.8449999999993</v>
      </c>
      <c r="Q37" s="54">
        <f>ROUND((P37-O37)/O37,4)</f>
        <v>0.1038</v>
      </c>
      <c r="R37" s="90">
        <f t="shared" si="3"/>
        <v>-62.050000000000004</v>
      </c>
      <c r="S37" s="90">
        <f t="shared" si="4"/>
        <v>9269.7950000000001</v>
      </c>
      <c r="T37" s="91">
        <f t="shared" si="5"/>
        <v>9.64E-2</v>
      </c>
      <c r="W37" s="7">
        <f>$W$20</f>
        <v>90.095000000000013</v>
      </c>
      <c r="X37" s="19">
        <f>$X$17*E37</f>
        <v>2964.7124999999996</v>
      </c>
      <c r="Y37" s="19">
        <f>ROUND((($A$36*$Y$17*5)+($A$36*$Y$18*7))/12,2)</f>
        <v>5345.42</v>
      </c>
      <c r="Z37" s="19"/>
      <c r="AA37" s="19">
        <f>W37+X37+Y37</f>
        <v>8400.2274999999991</v>
      </c>
      <c r="AB37" s="19"/>
      <c r="AC37" s="19"/>
      <c r="AD37" s="19"/>
      <c r="AE37" s="19"/>
      <c r="AF37" s="7">
        <f>INPUT!$J$32</f>
        <v>90.095000000000013</v>
      </c>
      <c r="AG37" s="19">
        <f>$AG$17*E37</f>
        <v>2963.7999999999997</v>
      </c>
      <c r="AH37" s="19">
        <f>ROUND((($A$36*$AH$17*5)+($A$36*$AH$18*7))/12,2)</f>
        <v>6238.54</v>
      </c>
      <c r="AI37" s="19"/>
      <c r="AJ37" s="19">
        <f>AF37+AG37+AH37</f>
        <v>9292.4349999999995</v>
      </c>
      <c r="AK37" s="84">
        <f t="shared" si="6"/>
        <v>14.873793559501962</v>
      </c>
      <c r="AL37" s="84">
        <f t="shared" si="7"/>
        <v>-62.050000000000004</v>
      </c>
      <c r="AM37" s="19"/>
      <c r="AN37" s="19"/>
      <c r="AO37" s="37"/>
      <c r="AP37" s="394"/>
    </row>
    <row r="38" spans="1:42" x14ac:dyDescent="0.25">
      <c r="A38" s="1"/>
      <c r="C38" s="13">
        <v>0.7</v>
      </c>
      <c r="E38" s="1">
        <f>C38*($A$36*730)</f>
        <v>127749.99999999999</v>
      </c>
      <c r="G38" s="28">
        <f>+AA38</f>
        <v>9586.1124999999993</v>
      </c>
      <c r="H38" s="28">
        <f>+AJ38</f>
        <v>10477.954999999998</v>
      </c>
      <c r="I38" s="28">
        <f t="shared" si="0"/>
        <v>20.823310983302743</v>
      </c>
      <c r="J38" s="90">
        <f t="shared" si="1"/>
        <v>871.01918901669524</v>
      </c>
      <c r="K38" s="54">
        <f>ROUND(+J38/G38,4)</f>
        <v>9.0899999999999995E-2</v>
      </c>
      <c r="L38" s="28">
        <f>ROUND($X$10*$E38,2)</f>
        <v>-177.8</v>
      </c>
      <c r="M38" s="28">
        <f>ROUND($X$11*$E38,2)</f>
        <v>33.49</v>
      </c>
      <c r="N38" s="28">
        <f>ROUND($X$12*$E38,2)</f>
        <v>199.49</v>
      </c>
      <c r="O38" s="28">
        <f>+G38+I38+L38+M38+N38</f>
        <v>9662.1158109833032</v>
      </c>
      <c r="P38" s="28">
        <f>+H38+L38+M38+N38</f>
        <v>10533.134999999998</v>
      </c>
      <c r="Q38" s="54">
        <f>ROUND((P38-O38)/O38,4)</f>
        <v>9.01E-2</v>
      </c>
      <c r="R38" s="90">
        <f t="shared" si="3"/>
        <v>-86.86999999999999</v>
      </c>
      <c r="S38" s="90">
        <f t="shared" si="4"/>
        <v>10446.264999999998</v>
      </c>
      <c r="T38" s="91">
        <f t="shared" si="5"/>
        <v>8.1199999999999994E-2</v>
      </c>
      <c r="W38" s="7">
        <f>$W$20</f>
        <v>90.095000000000013</v>
      </c>
      <c r="X38" s="19">
        <f>$X$17*E38</f>
        <v>4150.5974999999989</v>
      </c>
      <c r="Y38" s="19">
        <f>ROUND((($A$36*$Y$17*5)+($A$36*$Y$18*7))/12,2)</f>
        <v>5345.42</v>
      </c>
      <c r="Z38" s="19"/>
      <c r="AA38" s="19">
        <f>W38+X38+Y38</f>
        <v>9586.1124999999993</v>
      </c>
      <c r="AB38" s="19"/>
      <c r="AC38" s="19"/>
      <c r="AD38" s="19"/>
      <c r="AE38" s="19"/>
      <c r="AF38" s="7">
        <f>INPUT!$J$32</f>
        <v>90.095000000000013</v>
      </c>
      <c r="AG38" s="19">
        <f>$AG$17*E38</f>
        <v>4149.3199999999988</v>
      </c>
      <c r="AH38" s="19">
        <f>ROUND((($A$36*$AH$17*5)+($A$36*$AH$18*7))/12,2)</f>
        <v>6238.54</v>
      </c>
      <c r="AI38" s="19"/>
      <c r="AJ38" s="19">
        <f>AF38+AG38+AH38</f>
        <v>10477.954999999998</v>
      </c>
      <c r="AK38" s="84">
        <f>$AK$17*E38</f>
        <v>20.823310983302743</v>
      </c>
      <c r="AL38" s="84">
        <f>$AL$17*E38</f>
        <v>-86.86999999999999</v>
      </c>
      <c r="AM38" s="19"/>
      <c r="AN38" s="19"/>
      <c r="AO38" s="37"/>
      <c r="AP38" s="394"/>
    </row>
    <row r="39" spans="1:42" x14ac:dyDescent="0.25">
      <c r="E39" s="1"/>
      <c r="M39" s="28"/>
      <c r="X39" s="19"/>
      <c r="Y39" s="19"/>
      <c r="Z39" s="19"/>
      <c r="AA39" s="19"/>
      <c r="AB39" s="19"/>
      <c r="AC39" s="19"/>
      <c r="AD39" s="19"/>
      <c r="AE39" s="19"/>
    </row>
    <row r="40" spans="1:42" x14ac:dyDescent="0.25">
      <c r="A40" s="17" t="s">
        <v>301</v>
      </c>
      <c r="X40" s="19"/>
      <c r="Y40" s="19"/>
      <c r="Z40" s="19"/>
      <c r="AA40" s="19"/>
      <c r="AB40" s="19"/>
      <c r="AC40" s="19"/>
      <c r="AD40" s="19"/>
      <c r="AE40" s="19"/>
    </row>
    <row r="41" spans="1:42" x14ac:dyDescent="0.25">
      <c r="A41" s="174" t="str">
        <f>("Average Usage = "&amp;TEXT(INPUT!$J$26*1,"0,000")&amp;" kWh per month")</f>
        <v>Average Usage = 31,887 kWh per month</v>
      </c>
      <c r="E41" s="1"/>
      <c r="W41" s="7"/>
      <c r="X41" s="19"/>
      <c r="Y41" s="12"/>
      <c r="AA41" s="12"/>
      <c r="AE41" s="6"/>
      <c r="AG41" s="9"/>
    </row>
    <row r="42" spans="1:42" x14ac:dyDescent="0.25">
      <c r="A42" s="174" t="str">
        <f>("Average Demand = "&amp;TEXT(INPUT!I103,"0")&amp;" kW per month")</f>
        <v>Average Demand = 99 kW per month</v>
      </c>
      <c r="E42" s="1"/>
      <c r="W42" s="7"/>
      <c r="X42" s="19"/>
      <c r="Y42" s="12"/>
      <c r="AA42" s="12"/>
      <c r="AE42" s="6"/>
      <c r="AG42" s="9"/>
    </row>
    <row r="43" spans="1:42" x14ac:dyDescent="0.25">
      <c r="A43" s="175" t="s">
        <v>302</v>
      </c>
      <c r="E43" s="1"/>
      <c r="W43" s="7"/>
      <c r="X43" s="19"/>
      <c r="Y43" s="12"/>
      <c r="AA43" s="12"/>
      <c r="AE43" s="6"/>
      <c r="AG43" s="9"/>
    </row>
    <row r="44" spans="1:42" x14ac:dyDescent="0.25">
      <c r="A44" s="176" t="s">
        <v>303</v>
      </c>
    </row>
    <row r="45" spans="1:42" x14ac:dyDescent="0.25">
      <c r="A45" s="175" t="s">
        <v>308</v>
      </c>
    </row>
    <row r="47" spans="1:42" x14ac:dyDescent="0.25">
      <c r="B47" s="175"/>
      <c r="C47" s="175"/>
    </row>
  </sheetData>
  <mergeCells count="5">
    <mergeCell ref="L15:N15"/>
    <mergeCell ref="A1:T1"/>
    <mergeCell ref="A2:T2"/>
    <mergeCell ref="A3:T3"/>
    <mergeCell ref="A4:T4"/>
  </mergeCells>
  <phoneticPr fontId="6" type="noConversion"/>
  <printOptions horizontalCentered="1"/>
  <pageMargins left="0.75" right="0.75" top="1.5" bottom="0.5" header="1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fitToPage="1"/>
  </sheetPr>
  <dimension ref="A1:AV47"/>
  <sheetViews>
    <sheetView zoomScale="80" zoomScaleNormal="80" zoomScaleSheetLayoutView="80" workbookViewId="0">
      <selection sqref="A1:T1"/>
    </sheetView>
  </sheetViews>
  <sheetFormatPr defaultRowHeight="12.5" x14ac:dyDescent="0.25"/>
  <cols>
    <col min="1" max="1" width="8.1796875" customWidth="1"/>
    <col min="2" max="2" width="2.1796875" customWidth="1"/>
    <col min="3" max="3" width="7.90625" bestFit="1" customWidth="1"/>
    <col min="4" max="4" width="2.54296875" customWidth="1"/>
    <col min="5" max="5" width="9.81640625" bestFit="1" customWidth="1"/>
    <col min="6" max="6" width="3" customWidth="1"/>
    <col min="7" max="8" width="12.26953125" bestFit="1" customWidth="1"/>
    <col min="9" max="9" width="12.26953125" customWidth="1"/>
    <col min="10" max="10" width="12.1796875" bestFit="1" customWidth="1"/>
    <col min="11" max="11" width="9.26953125" bestFit="1" customWidth="1"/>
    <col min="12" max="12" width="11.453125" customWidth="1"/>
    <col min="13" max="13" width="11.26953125" bestFit="1" customWidth="1"/>
    <col min="14" max="14" width="11.54296875" customWidth="1"/>
    <col min="15" max="15" width="12.7265625" bestFit="1" customWidth="1"/>
    <col min="16" max="16" width="12.26953125" bestFit="1" customWidth="1"/>
    <col min="17" max="17" width="10.81640625" customWidth="1"/>
    <col min="18" max="18" width="9.26953125" bestFit="1" customWidth="1"/>
    <col min="19" max="19" width="11.26953125" bestFit="1" customWidth="1"/>
    <col min="20" max="20" width="9.36328125" customWidth="1"/>
    <col min="21" max="21" width="5.54296875" customWidth="1"/>
    <col min="22" max="22" width="5" customWidth="1"/>
    <col min="23" max="23" width="10.81640625" customWidth="1"/>
    <col min="24" max="24" width="13.7265625" bestFit="1" customWidth="1"/>
    <col min="25" max="25" width="11.453125" customWidth="1"/>
    <col min="26" max="26" width="2" customWidth="1"/>
    <col min="27" max="27" width="11.81640625" bestFit="1" customWidth="1"/>
    <col min="28" max="28" width="4.7265625" customWidth="1"/>
    <col min="29" max="29" width="13" customWidth="1"/>
    <col min="30" max="30" width="5" customWidth="1"/>
    <col min="31" max="31" width="3.1796875" customWidth="1"/>
    <col min="32" max="32" width="16.26953125" bestFit="1" customWidth="1"/>
    <col min="33" max="34" width="12" bestFit="1" customWidth="1"/>
    <col min="35" max="35" width="4.54296875" customWidth="1"/>
    <col min="36" max="36" width="12" bestFit="1" customWidth="1"/>
    <col min="37" max="38" width="12" customWidth="1"/>
    <col min="39" max="39" width="3.26953125" customWidth="1"/>
    <col min="40" max="40" width="12.1796875" bestFit="1" customWidth="1"/>
    <col min="41" max="42" width="12.54296875" bestFit="1" customWidth="1"/>
  </cols>
  <sheetData>
    <row r="1" spans="1:48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8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8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8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8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8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8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8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Constants'!L16</f>
        <v>PAGE 9 of 24</v>
      </c>
    </row>
    <row r="9" spans="1:48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8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+INPUT!H71</f>
        <v>-1.3875259156998284E-3</v>
      </c>
    </row>
    <row r="11" spans="1:48" ht="13" x14ac:dyDescent="0.3">
      <c r="A11" s="124" t="s">
        <v>256</v>
      </c>
      <c r="B11" s="2"/>
      <c r="C11" s="2"/>
      <c r="W11" s="83" t="s">
        <v>70</v>
      </c>
      <c r="X11" s="393">
        <f>+INPUT!I71</f>
        <v>3.9317572798318887E-4</v>
      </c>
    </row>
    <row r="12" spans="1:48" ht="13" x14ac:dyDescent="0.3">
      <c r="B12" s="2"/>
      <c r="C12" s="2"/>
      <c r="W12" s="83" t="s">
        <v>69</v>
      </c>
      <c r="X12" s="2">
        <f>+INPUT!J71</f>
        <v>2.4641949133079192E-3</v>
      </c>
    </row>
    <row r="13" spans="1:48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AC13" s="3"/>
      <c r="AD13" s="3"/>
      <c r="AM13" s="29"/>
      <c r="AN13" s="3"/>
      <c r="AO13" s="29"/>
      <c r="AP13" s="29"/>
      <c r="AQ13" s="29"/>
      <c r="AR13" s="29"/>
      <c r="AS13" s="29"/>
      <c r="AT13" s="29"/>
      <c r="AU13" s="29"/>
      <c r="AV13" s="29"/>
    </row>
    <row r="14" spans="1:48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1</v>
      </c>
      <c r="AA14" s="3" t="s">
        <v>1</v>
      </c>
      <c r="AC14" s="3"/>
      <c r="AD14" s="3"/>
      <c r="AF14" s="3" t="s">
        <v>6</v>
      </c>
      <c r="AG14" s="3" t="s">
        <v>6</v>
      </c>
      <c r="AH14" s="20" t="s">
        <v>6</v>
      </c>
      <c r="AI14" s="19"/>
      <c r="AJ14" s="20" t="s">
        <v>6</v>
      </c>
      <c r="AK14" s="20"/>
      <c r="AL14" s="83" t="s">
        <v>592</v>
      </c>
      <c r="AM14" s="19"/>
      <c r="AN14" s="3"/>
      <c r="AO14" s="19"/>
      <c r="AQ14" s="29"/>
      <c r="AS14" s="29"/>
      <c r="AT14" s="29"/>
    </row>
    <row r="15" spans="1:48" ht="13" x14ac:dyDescent="0.3">
      <c r="C15" s="3" t="s">
        <v>24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25</v>
      </c>
      <c r="Z15" s="3"/>
      <c r="AA15" s="3" t="s">
        <v>5</v>
      </c>
      <c r="AC15" s="3"/>
      <c r="AD15" s="3"/>
      <c r="AF15" s="25" t="s">
        <v>52</v>
      </c>
      <c r="AG15" s="3" t="s">
        <v>53</v>
      </c>
      <c r="AH15" s="21" t="s">
        <v>15</v>
      </c>
      <c r="AI15" s="20"/>
      <c r="AJ15" s="20" t="s">
        <v>5</v>
      </c>
      <c r="AK15" s="86" t="s">
        <v>69</v>
      </c>
      <c r="AL15" s="85" t="s">
        <v>593</v>
      </c>
      <c r="AM15" s="22"/>
      <c r="AN15" s="3"/>
      <c r="AO15" s="395"/>
      <c r="AP15" s="85"/>
      <c r="AQ15" s="45"/>
      <c r="AR15" s="45"/>
      <c r="AS15" s="44"/>
      <c r="AT15" s="44"/>
      <c r="AU15" s="44"/>
      <c r="AV15" s="44"/>
    </row>
    <row r="16" spans="1:48" ht="13" x14ac:dyDescent="0.3">
      <c r="A16" s="3" t="s">
        <v>48</v>
      </c>
      <c r="C16" s="3" t="s">
        <v>21</v>
      </c>
      <c r="E16" s="3" t="s">
        <v>47</v>
      </c>
      <c r="F16" s="3"/>
      <c r="G16" s="25" t="s">
        <v>4</v>
      </c>
      <c r="H16" s="25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25" t="s">
        <v>4</v>
      </c>
      <c r="P16" s="25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54</v>
      </c>
      <c r="Z16" s="3"/>
      <c r="AA16" s="3" t="s">
        <v>4</v>
      </c>
      <c r="AC16" s="3"/>
      <c r="AD16" s="3"/>
      <c r="AF16" s="25" t="s">
        <v>3</v>
      </c>
      <c r="AG16" s="3" t="s">
        <v>3</v>
      </c>
      <c r="AH16" s="21" t="s">
        <v>51</v>
      </c>
      <c r="AI16" s="20"/>
      <c r="AJ16" s="20" t="s">
        <v>4</v>
      </c>
      <c r="AK16" s="386" t="s">
        <v>471</v>
      </c>
      <c r="AL16" s="342" t="s">
        <v>439</v>
      </c>
      <c r="AM16" s="22"/>
      <c r="AN16" s="3"/>
      <c r="AO16" s="395"/>
      <c r="AP16" s="85"/>
      <c r="AR16" s="29"/>
      <c r="AS16" s="29"/>
      <c r="AT16" s="29"/>
      <c r="AU16" s="29"/>
      <c r="AV16" s="29"/>
    </row>
    <row r="17" spans="1:47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+INPUT!$I$6</f>
        <v>3.1899999999999998E-2</v>
      </c>
      <c r="Y17" s="43">
        <f>+INPUT!$I$11</f>
        <v>22.84</v>
      </c>
      <c r="Z17" s="42" t="s">
        <v>64</v>
      </c>
      <c r="AA17" s="3"/>
      <c r="AC17" s="40"/>
      <c r="AD17" s="40"/>
      <c r="AF17" s="25"/>
      <c r="AG17" s="40">
        <f>+INPUT!$I$34</f>
        <v>3.2140000000000002E-2</v>
      </c>
      <c r="AH17" s="43">
        <f>INPUT!$I$39</f>
        <v>26.52</v>
      </c>
      <c r="AI17" s="42" t="s">
        <v>64</v>
      </c>
      <c r="AJ17" s="20"/>
      <c r="AK17" s="86">
        <f>INPUT!K71</f>
        <v>3.0316180822809934E-4</v>
      </c>
      <c r="AL17" s="86">
        <f>INPUT!I52</f>
        <v>-6.8000000000000005E-4</v>
      </c>
      <c r="AM17" s="22"/>
      <c r="AN17" s="40"/>
      <c r="AO17" s="395"/>
      <c r="AP17" s="85"/>
      <c r="AS17" s="29"/>
      <c r="AT17" s="44"/>
      <c r="AU17" s="29"/>
    </row>
    <row r="18" spans="1:47" ht="13" x14ac:dyDescent="0.3">
      <c r="A18" s="80"/>
      <c r="B18" s="16"/>
      <c r="C18" s="80"/>
      <c r="D18" s="16"/>
      <c r="E18" s="80"/>
      <c r="F18" s="80"/>
      <c r="G18" s="80"/>
      <c r="H18" s="80"/>
      <c r="I18" s="343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W18" s="25"/>
      <c r="X18" s="3" t="s">
        <v>11</v>
      </c>
      <c r="Y18" s="43">
        <f>+INPUT!$I$12</f>
        <v>20.5</v>
      </c>
      <c r="Z18" s="42" t="s">
        <v>65</v>
      </c>
      <c r="AA18" s="3"/>
      <c r="AC18" s="3"/>
      <c r="AD18" s="3"/>
      <c r="AF18" s="25"/>
      <c r="AG18" s="3" t="s">
        <v>11</v>
      </c>
      <c r="AH18" s="43">
        <f>INPUT!$I$40</f>
        <v>23.8</v>
      </c>
      <c r="AI18" s="42" t="s">
        <v>65</v>
      </c>
      <c r="AJ18" s="20"/>
      <c r="AK18" s="86" t="s">
        <v>11</v>
      </c>
      <c r="AL18" s="86" t="s">
        <v>11</v>
      </c>
      <c r="AM18" s="22"/>
      <c r="AN18" s="3"/>
      <c r="AO18" s="395"/>
      <c r="AP18" s="85"/>
    </row>
    <row r="19" spans="1:47" ht="13" x14ac:dyDescent="0.3">
      <c r="A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51"/>
      <c r="R19" s="85"/>
      <c r="S19" s="85"/>
      <c r="T19" s="85"/>
      <c r="U19" s="3"/>
      <c r="V19" s="3"/>
      <c r="X19" s="3"/>
      <c r="Y19" s="3"/>
      <c r="Z19" s="3"/>
      <c r="AA19" s="3"/>
      <c r="AC19" s="3"/>
      <c r="AD19" s="3"/>
      <c r="AG19" s="20"/>
      <c r="AH19" s="20"/>
      <c r="AI19" s="20"/>
      <c r="AJ19" s="20"/>
      <c r="AK19" s="85"/>
      <c r="AL19" s="85"/>
      <c r="AM19" s="19"/>
      <c r="AN19" s="20"/>
      <c r="AO19" s="24"/>
      <c r="AP19" s="17"/>
    </row>
    <row r="20" spans="1:47" x14ac:dyDescent="0.25">
      <c r="A20" s="1">
        <v>50</v>
      </c>
      <c r="C20" s="13">
        <v>0.3</v>
      </c>
      <c r="E20" s="1">
        <f>C20*($A$20*730)</f>
        <v>10950</v>
      </c>
      <c r="G20" s="28">
        <f>+AA20</f>
        <v>1663.2068749999999</v>
      </c>
      <c r="H20" s="28">
        <f>+AJ20</f>
        <v>1838.7548750000001</v>
      </c>
      <c r="I20" s="28">
        <f>AK20</f>
        <v>3.3196218000976878</v>
      </c>
      <c r="J20" s="90">
        <f>+H20-(I20+G20)</f>
        <v>172.22837819990264</v>
      </c>
      <c r="K20" s="54">
        <f>ROUND(+J20/G20,4)</f>
        <v>0.1036</v>
      </c>
      <c r="L20" s="28">
        <f>ROUND($X$10*$E20,2)</f>
        <v>-15.19</v>
      </c>
      <c r="M20" s="28">
        <f>ROUND($X$11*$E20,2)</f>
        <v>4.3099999999999996</v>
      </c>
      <c r="N20" s="28">
        <f>ROUND($X$12*$E20,2)</f>
        <v>26.98</v>
      </c>
      <c r="O20" s="28">
        <f>+G20+I20+L20+M20+N20</f>
        <v>1682.6264968000974</v>
      </c>
      <c r="P20" s="28">
        <f>+H20+L20+M20+N20</f>
        <v>1854.854875</v>
      </c>
      <c r="Q20" s="54">
        <f>ROUND((P20-O20)/O20,4)</f>
        <v>0.1024</v>
      </c>
      <c r="R20" s="28">
        <f>AL20</f>
        <v>-7.4460000000000006</v>
      </c>
      <c r="S20" s="90">
        <f>P20+R20</f>
        <v>1847.4088750000001</v>
      </c>
      <c r="T20" s="91">
        <f>ROUND((S20-O20)/O20,4)</f>
        <v>9.7900000000000001E-2</v>
      </c>
      <c r="W20" s="7">
        <f>+INPUT!$I$4</f>
        <v>240.15187499999999</v>
      </c>
      <c r="X20" s="19">
        <f>$X$17*E20</f>
        <v>349.30499999999995</v>
      </c>
      <c r="Y20" s="19">
        <f>ROUND((($A$20*$Y$17*5)+($A$20*$Y$18*7))/12,2)</f>
        <v>1073.75</v>
      </c>
      <c r="Z20" s="19"/>
      <c r="AA20" s="19">
        <f>W20+X20+Y20</f>
        <v>1663.2068749999999</v>
      </c>
      <c r="AB20" s="19"/>
      <c r="AC20" s="19"/>
      <c r="AD20" s="19"/>
      <c r="AE20" s="19"/>
      <c r="AF20" s="7">
        <f>INPUT!$I$32</f>
        <v>240.15187499999999</v>
      </c>
      <c r="AG20" s="19">
        <f>$AG$17*E20</f>
        <v>351.93299999999999</v>
      </c>
      <c r="AH20" s="19">
        <f>ROUND((($A$20*$AH$17*5)+($A$20*$AH$18*7))/12,2)</f>
        <v>1246.67</v>
      </c>
      <c r="AI20" s="19"/>
      <c r="AJ20" s="19">
        <f>AF20+AG20+AH20</f>
        <v>1838.7548750000001</v>
      </c>
      <c r="AK20" s="84">
        <f>$AK$17*E20</f>
        <v>3.3196218000976878</v>
      </c>
      <c r="AL20" s="84">
        <f>$AL$17*E20</f>
        <v>-7.4460000000000006</v>
      </c>
      <c r="AM20" s="19"/>
      <c r="AN20" s="19"/>
      <c r="AO20" s="37"/>
      <c r="AP20" s="394"/>
    </row>
    <row r="21" spans="1:47" x14ac:dyDescent="0.25">
      <c r="A21" s="1"/>
      <c r="C21" s="13">
        <v>0.5</v>
      </c>
      <c r="E21" s="1">
        <f>C21*($A$20*730)</f>
        <v>18250</v>
      </c>
      <c r="G21" s="28">
        <f>+AA21</f>
        <v>1896.076875</v>
      </c>
      <c r="H21" s="28">
        <f>+AJ21</f>
        <v>2073.3768749999999</v>
      </c>
      <c r="I21" s="28">
        <f t="shared" ref="I21:I38" si="0">AK21</f>
        <v>5.5327030001628126</v>
      </c>
      <c r="J21" s="90">
        <f t="shared" ref="J21:J38" si="1">+H21-(I21+G21)</f>
        <v>171.76729699983707</v>
      </c>
      <c r="K21" s="54">
        <f>ROUND(+J21/G21,4)</f>
        <v>9.06E-2</v>
      </c>
      <c r="L21" s="28">
        <f>ROUND($X$10*$E21,2)</f>
        <v>-25.32</v>
      </c>
      <c r="M21" s="28">
        <f>ROUND($X$11*$E21,2)</f>
        <v>7.18</v>
      </c>
      <c r="N21" s="28">
        <f>ROUND($X$12*$E21,2)</f>
        <v>44.97</v>
      </c>
      <c r="O21" s="28">
        <f t="shared" ref="O21:O37" si="2">+G21+I21+L21+M21+N21</f>
        <v>1928.439578000163</v>
      </c>
      <c r="P21" s="28">
        <f>+H21+L21+M21+N21</f>
        <v>2100.2068749999994</v>
      </c>
      <c r="Q21" s="54">
        <f>ROUND((P21-O21)/O21,4)</f>
        <v>8.9099999999999999E-2</v>
      </c>
      <c r="R21" s="28">
        <f t="shared" ref="R21:R38" si="3">AL21</f>
        <v>-12.41</v>
      </c>
      <c r="S21" s="90">
        <f t="shared" ref="S21:S38" si="4">P21+R21</f>
        <v>2087.7968749999995</v>
      </c>
      <c r="T21" s="91">
        <f t="shared" ref="T21:T38" si="5">ROUND((S21-O21)/O21,4)</f>
        <v>8.2600000000000007E-2</v>
      </c>
      <c r="W21" s="7">
        <f>$W$20</f>
        <v>240.15187499999999</v>
      </c>
      <c r="X21" s="19">
        <f>$X$17*E21</f>
        <v>582.17499999999995</v>
      </c>
      <c r="Y21" s="19">
        <f>ROUND((($A$20*$Y$17*5)+($A$20*$Y$18*7))/12,2)</f>
        <v>1073.75</v>
      </c>
      <c r="Z21" s="19"/>
      <c r="AA21" s="19">
        <f>W21+X21+Y21</f>
        <v>1896.076875</v>
      </c>
      <c r="AB21" s="19"/>
      <c r="AC21" s="19"/>
      <c r="AD21" s="19"/>
      <c r="AE21" s="19"/>
      <c r="AF21" s="7">
        <f>+$AF$20</f>
        <v>240.15187499999999</v>
      </c>
      <c r="AG21" s="19">
        <f>$AG$17*E21</f>
        <v>586.55500000000006</v>
      </c>
      <c r="AH21" s="19">
        <f>ROUND((($A$20*$AH$17*5)+($A$20*$AH$18*7))/12,2)</f>
        <v>1246.67</v>
      </c>
      <c r="AI21" s="19"/>
      <c r="AJ21" s="19">
        <f>AF21+AG21+AH21</f>
        <v>2073.3768749999999</v>
      </c>
      <c r="AK21" s="84">
        <f t="shared" ref="AK21:AK37" si="6">$AK$17*E21</f>
        <v>5.5327030001628126</v>
      </c>
      <c r="AL21" s="84">
        <f t="shared" ref="AL21:AL37" si="7">$AL$17*E21</f>
        <v>-12.41</v>
      </c>
      <c r="AM21" s="19"/>
      <c r="AN21" s="19"/>
      <c r="AO21" s="37"/>
      <c r="AP21" s="394"/>
    </row>
    <row r="22" spans="1:47" x14ac:dyDescent="0.25">
      <c r="A22" s="1"/>
      <c r="C22" s="13">
        <v>0.7</v>
      </c>
      <c r="E22" s="1">
        <f>C22*($A$20*730)</f>
        <v>25550</v>
      </c>
      <c r="G22" s="28">
        <f>+AA22</f>
        <v>2128.9468749999996</v>
      </c>
      <c r="H22" s="28">
        <f>+AJ22</f>
        <v>2307.9988750000002</v>
      </c>
      <c r="I22" s="28">
        <f t="shared" si="0"/>
        <v>7.7457842002279378</v>
      </c>
      <c r="J22" s="90">
        <f t="shared" si="1"/>
        <v>171.30621579977287</v>
      </c>
      <c r="K22" s="54">
        <f>ROUND(+J22/G22,4)</f>
        <v>8.0500000000000002E-2</v>
      </c>
      <c r="L22" s="28">
        <f>ROUND($X$10*$E22,2)</f>
        <v>-35.450000000000003</v>
      </c>
      <c r="M22" s="28">
        <f>ROUND($X$11*$E22,2)</f>
        <v>10.050000000000001</v>
      </c>
      <c r="N22" s="28">
        <f>ROUND($X$12*$E22,2)</f>
        <v>62.96</v>
      </c>
      <c r="O22" s="28">
        <f t="shared" si="2"/>
        <v>2174.2526592002278</v>
      </c>
      <c r="P22" s="28">
        <f>+H22+L22+M22+N22</f>
        <v>2345.5588750000006</v>
      </c>
      <c r="Q22" s="54">
        <f>ROUND((P22-O22)/O22,4)</f>
        <v>7.8799999999999995E-2</v>
      </c>
      <c r="R22" s="28">
        <f t="shared" si="3"/>
        <v>-17.374000000000002</v>
      </c>
      <c r="S22" s="90">
        <f t="shared" si="4"/>
        <v>2328.1848750000008</v>
      </c>
      <c r="T22" s="91">
        <f t="shared" si="5"/>
        <v>7.0800000000000002E-2</v>
      </c>
      <c r="W22" s="7">
        <f>$W$20</f>
        <v>240.15187499999999</v>
      </c>
      <c r="X22" s="19">
        <f>$X$17*E22</f>
        <v>815.04499999999996</v>
      </c>
      <c r="Y22" s="19">
        <f>ROUND((($A$20*$Y$17*5)+($A$20*$Y$18*7))/12,2)</f>
        <v>1073.75</v>
      </c>
      <c r="Z22" s="19"/>
      <c r="AA22" s="19">
        <f>W22+X22+Y22</f>
        <v>2128.9468749999996</v>
      </c>
      <c r="AB22" s="19"/>
      <c r="AC22" s="19"/>
      <c r="AD22" s="19"/>
      <c r="AE22" s="19"/>
      <c r="AF22" s="7">
        <f>+$AF$20</f>
        <v>240.15187499999999</v>
      </c>
      <c r="AG22" s="19">
        <f>$AG$17*E22</f>
        <v>821.17700000000002</v>
      </c>
      <c r="AH22" s="19">
        <f>ROUND((($A$20*$AH$17*5)+($A$20*$AH$18*7))/12,2)</f>
        <v>1246.67</v>
      </c>
      <c r="AI22" s="19"/>
      <c r="AJ22" s="19">
        <f>AF22+AG22+AH22</f>
        <v>2307.9988750000002</v>
      </c>
      <c r="AK22" s="84">
        <f t="shared" si="6"/>
        <v>7.7457842002279378</v>
      </c>
      <c r="AL22" s="84">
        <f t="shared" si="7"/>
        <v>-17.374000000000002</v>
      </c>
      <c r="AM22" s="19"/>
      <c r="AN22" s="19"/>
      <c r="AO22" s="37"/>
      <c r="AP22" s="394"/>
    </row>
    <row r="23" spans="1:47" x14ac:dyDescent="0.25">
      <c r="A23" s="1"/>
      <c r="C23" s="13"/>
      <c r="E23" s="1"/>
      <c r="J23" s="90"/>
      <c r="K23" s="5"/>
      <c r="O23" s="28"/>
      <c r="Q23" s="54"/>
      <c r="S23" s="90"/>
      <c r="T23" s="91"/>
      <c r="W23" s="7"/>
      <c r="X23" s="19"/>
      <c r="Y23" s="19"/>
      <c r="Z23" s="19"/>
      <c r="AA23" s="19"/>
      <c r="AB23" s="19"/>
      <c r="AC23" s="19"/>
      <c r="AD23" s="19"/>
      <c r="AE23" s="19"/>
      <c r="AF23" s="7"/>
      <c r="AG23" s="19"/>
      <c r="AH23" s="19"/>
      <c r="AI23" s="19"/>
      <c r="AJ23" s="19"/>
      <c r="AK23" s="84"/>
      <c r="AL23" s="84"/>
      <c r="AM23" s="19"/>
      <c r="AN23" s="19"/>
      <c r="AO23" s="37"/>
      <c r="AP23" s="394"/>
    </row>
    <row r="24" spans="1:47" x14ac:dyDescent="0.25">
      <c r="A24" s="1">
        <v>100</v>
      </c>
      <c r="C24" s="13">
        <v>0.3</v>
      </c>
      <c r="E24" s="1">
        <f>C24*($A$24*730)</f>
        <v>21900</v>
      </c>
      <c r="G24" s="28">
        <f>+AA24</f>
        <v>3086.2618750000001</v>
      </c>
      <c r="H24" s="28">
        <f>+AJ24</f>
        <v>3437.3478749999999</v>
      </c>
      <c r="I24" s="28">
        <f t="shared" si="0"/>
        <v>6.6392436001953756</v>
      </c>
      <c r="J24" s="90">
        <f t="shared" si="1"/>
        <v>344.4467563998046</v>
      </c>
      <c r="K24" s="54">
        <f>ROUND(+J24/G24,4)</f>
        <v>0.1116</v>
      </c>
      <c r="L24" s="28">
        <f>ROUND($X$10*$E24,2)</f>
        <v>-30.39</v>
      </c>
      <c r="M24" s="28">
        <f>ROUND($X$11*$E24,2)</f>
        <v>8.61</v>
      </c>
      <c r="N24" s="28">
        <f>ROUND($X$12*$E24,2)</f>
        <v>53.97</v>
      </c>
      <c r="O24" s="28">
        <f t="shared" si="2"/>
        <v>3125.0911186001954</v>
      </c>
      <c r="P24" s="28">
        <f>+H24+L24+M24+N24</f>
        <v>3469.537875</v>
      </c>
      <c r="Q24" s="54">
        <f>ROUND((P24-O24)/O24,4)</f>
        <v>0.11020000000000001</v>
      </c>
      <c r="R24" s="28">
        <f t="shared" si="3"/>
        <v>-14.892000000000001</v>
      </c>
      <c r="S24" s="90">
        <f t="shared" si="4"/>
        <v>3454.6458750000002</v>
      </c>
      <c r="T24" s="91">
        <f t="shared" si="5"/>
        <v>0.1055</v>
      </c>
      <c r="W24" s="7">
        <f>$W$20</f>
        <v>240.15187499999999</v>
      </c>
      <c r="X24" s="19">
        <f>$X$17*E24</f>
        <v>698.6099999999999</v>
      </c>
      <c r="Y24" s="19">
        <f>ROUND((($A$24*$Y$17*5)+($A$24*$Y$18*7))/12,2)</f>
        <v>2147.5</v>
      </c>
      <c r="Z24" s="19"/>
      <c r="AA24" s="19">
        <f>W24+X24+Y24</f>
        <v>3086.2618750000001</v>
      </c>
      <c r="AB24" s="19"/>
      <c r="AC24" s="19"/>
      <c r="AD24" s="19"/>
      <c r="AE24" s="19"/>
      <c r="AF24" s="7">
        <f>+$AF$20</f>
        <v>240.15187499999999</v>
      </c>
      <c r="AG24" s="19">
        <f>$AG$17*E24</f>
        <v>703.86599999999999</v>
      </c>
      <c r="AH24" s="19">
        <f>ROUND((($A$24*$AH$17*5)+($A$24*$AH$18*7))/12,2)</f>
        <v>2493.33</v>
      </c>
      <c r="AI24" s="19"/>
      <c r="AJ24" s="19">
        <f>AF24+AG24+AH24</f>
        <v>3437.3478749999999</v>
      </c>
      <c r="AK24" s="84">
        <f t="shared" si="6"/>
        <v>6.6392436001953756</v>
      </c>
      <c r="AL24" s="84">
        <f t="shared" si="7"/>
        <v>-14.892000000000001</v>
      </c>
      <c r="AM24" s="23"/>
      <c r="AN24" s="19"/>
      <c r="AO24" s="37"/>
      <c r="AP24" s="394"/>
    </row>
    <row r="25" spans="1:47" x14ac:dyDescent="0.25">
      <c r="A25" s="1"/>
      <c r="C25" s="13">
        <v>0.5</v>
      </c>
      <c r="E25" s="1">
        <f>C25*($A$24*730)</f>
        <v>36500</v>
      </c>
      <c r="G25" s="28">
        <f>+AA25</f>
        <v>3552.0018749999999</v>
      </c>
      <c r="H25" s="28">
        <f>+AJ25</f>
        <v>3906.5918750000001</v>
      </c>
      <c r="I25" s="28">
        <f t="shared" si="0"/>
        <v>11.065406000325625</v>
      </c>
      <c r="J25" s="90">
        <f t="shared" si="1"/>
        <v>343.52459399967438</v>
      </c>
      <c r="K25" s="54">
        <f>ROUND(+J25/G25,4)</f>
        <v>9.6699999999999994E-2</v>
      </c>
      <c r="L25" s="28">
        <f>ROUND($X$10*$E25,2)</f>
        <v>-50.64</v>
      </c>
      <c r="M25" s="28">
        <f>ROUND($X$11*$E25,2)</f>
        <v>14.35</v>
      </c>
      <c r="N25" s="28">
        <f>ROUND($X$12*$E25,2)</f>
        <v>89.94</v>
      </c>
      <c r="O25" s="28">
        <f t="shared" si="2"/>
        <v>3616.7172810003258</v>
      </c>
      <c r="P25" s="28">
        <f>+H25+L25+M25+N25</f>
        <v>3960.2418750000002</v>
      </c>
      <c r="Q25" s="54">
        <f>ROUND((P25-O25)/O25,4)</f>
        <v>9.5000000000000001E-2</v>
      </c>
      <c r="R25" s="28">
        <f t="shared" si="3"/>
        <v>-24.82</v>
      </c>
      <c r="S25" s="90">
        <f t="shared" si="4"/>
        <v>3935.421875</v>
      </c>
      <c r="T25" s="91">
        <f t="shared" si="5"/>
        <v>8.8099999999999998E-2</v>
      </c>
      <c r="W25" s="7">
        <f>$W$20</f>
        <v>240.15187499999999</v>
      </c>
      <c r="X25" s="19">
        <f>$X$17*E25</f>
        <v>1164.3499999999999</v>
      </c>
      <c r="Y25" s="19">
        <f>ROUND((($A$24*$Y$17*5)+($A$24*$Y$18*7))/12,2)</f>
        <v>2147.5</v>
      </c>
      <c r="Z25" s="19"/>
      <c r="AA25" s="19">
        <f>W25+X25+Y25</f>
        <v>3552.0018749999999</v>
      </c>
      <c r="AB25" s="19"/>
      <c r="AC25" s="19"/>
      <c r="AD25" s="19"/>
      <c r="AE25" s="19"/>
      <c r="AF25" s="7">
        <f>+$AF$20</f>
        <v>240.15187499999999</v>
      </c>
      <c r="AG25" s="19">
        <f>$AG$17*E25</f>
        <v>1173.1100000000001</v>
      </c>
      <c r="AH25" s="19">
        <f>ROUND((($A$24*$AH$17*5)+($A$24*$AH$18*7))/12,2)</f>
        <v>2493.33</v>
      </c>
      <c r="AI25" s="19"/>
      <c r="AJ25" s="19">
        <f>AF25+AG25+AH25</f>
        <v>3906.5918750000001</v>
      </c>
      <c r="AK25" s="84">
        <f t="shared" si="6"/>
        <v>11.065406000325625</v>
      </c>
      <c r="AL25" s="84">
        <f t="shared" si="7"/>
        <v>-24.82</v>
      </c>
      <c r="AM25" s="23"/>
      <c r="AN25" s="19"/>
      <c r="AO25" s="37"/>
      <c r="AP25" s="394"/>
    </row>
    <row r="26" spans="1:47" x14ac:dyDescent="0.25">
      <c r="A26" s="1"/>
      <c r="C26" s="13">
        <v>0.7</v>
      </c>
      <c r="E26" s="1">
        <f>C26*($A$24*730)</f>
        <v>51100</v>
      </c>
      <c r="G26" s="28">
        <f>+AA26</f>
        <v>4017.7418749999997</v>
      </c>
      <c r="H26" s="28">
        <f>+AJ26</f>
        <v>4375.8358749999998</v>
      </c>
      <c r="I26" s="28">
        <f t="shared" si="0"/>
        <v>15.491568400455876</v>
      </c>
      <c r="J26" s="90">
        <f t="shared" si="1"/>
        <v>342.60243159954416</v>
      </c>
      <c r="K26" s="54">
        <f>ROUND(+J26/G26,4)</f>
        <v>8.5300000000000001E-2</v>
      </c>
      <c r="L26" s="28">
        <f>ROUND($X$10*$E26,2)</f>
        <v>-70.900000000000006</v>
      </c>
      <c r="M26" s="28">
        <f>ROUND($X$11*$E26,2)</f>
        <v>20.09</v>
      </c>
      <c r="N26" s="28">
        <f>ROUND($X$12*$E26,2)</f>
        <v>125.92</v>
      </c>
      <c r="O26" s="28">
        <f t="shared" si="2"/>
        <v>4108.3434434004557</v>
      </c>
      <c r="P26" s="28">
        <f>+H26+L26+M26+N26</f>
        <v>4450.9458750000003</v>
      </c>
      <c r="Q26" s="54">
        <f>ROUND((P26-O26)/O26,4)</f>
        <v>8.3400000000000002E-2</v>
      </c>
      <c r="R26" s="28">
        <f t="shared" si="3"/>
        <v>-34.748000000000005</v>
      </c>
      <c r="S26" s="90">
        <f t="shared" si="4"/>
        <v>4416.1978750000007</v>
      </c>
      <c r="T26" s="91">
        <f t="shared" si="5"/>
        <v>7.4899999999999994E-2</v>
      </c>
      <c r="W26" s="7">
        <f>$W$20</f>
        <v>240.15187499999999</v>
      </c>
      <c r="X26" s="19">
        <f>$X$17*E26</f>
        <v>1630.09</v>
      </c>
      <c r="Y26" s="19">
        <f>ROUND((($A$24*$Y$17*5)+($A$24*$Y$18*7))/12,2)</f>
        <v>2147.5</v>
      </c>
      <c r="Z26" s="19"/>
      <c r="AA26" s="19">
        <f>W26+X26+Y26</f>
        <v>4017.7418749999997</v>
      </c>
      <c r="AB26" s="19"/>
      <c r="AC26" s="19"/>
      <c r="AD26" s="19"/>
      <c r="AE26" s="19"/>
      <c r="AF26" s="7">
        <f>+$AF$20</f>
        <v>240.15187499999999</v>
      </c>
      <c r="AG26" s="19">
        <f>$AG$17*E26</f>
        <v>1642.354</v>
      </c>
      <c r="AH26" s="19">
        <f>ROUND((($A$24*$AH$17*5)+($A$24*$AH$18*7))/12,2)</f>
        <v>2493.33</v>
      </c>
      <c r="AI26" s="19"/>
      <c r="AJ26" s="19">
        <f>AF26+AG26+AH26</f>
        <v>4375.8358749999998</v>
      </c>
      <c r="AK26" s="84">
        <f t="shared" si="6"/>
        <v>15.491568400455876</v>
      </c>
      <c r="AL26" s="84">
        <f t="shared" si="7"/>
        <v>-34.748000000000005</v>
      </c>
      <c r="AM26" s="19"/>
      <c r="AN26" s="19"/>
      <c r="AO26" s="37"/>
      <c r="AP26" s="394"/>
    </row>
    <row r="27" spans="1:47" x14ac:dyDescent="0.25">
      <c r="A27" s="1"/>
      <c r="C27" s="13"/>
      <c r="E27" s="1"/>
      <c r="J27" s="90"/>
      <c r="K27" s="5"/>
      <c r="O27" s="28"/>
      <c r="Q27" s="54"/>
      <c r="S27" s="90"/>
      <c r="T27" s="91"/>
      <c r="W27" s="7"/>
      <c r="X27" s="19"/>
      <c r="Y27" s="19"/>
      <c r="Z27" s="19"/>
      <c r="AA27" s="19"/>
      <c r="AB27" s="19"/>
      <c r="AC27" s="19"/>
      <c r="AD27" s="19"/>
      <c r="AE27" s="19"/>
      <c r="AF27" s="7"/>
      <c r="AG27" s="19"/>
      <c r="AH27" s="19"/>
      <c r="AI27" s="19"/>
      <c r="AJ27" s="19"/>
      <c r="AK27" s="84"/>
      <c r="AL27" s="84"/>
      <c r="AM27" s="19"/>
      <c r="AN27" s="19"/>
      <c r="AO27" s="37"/>
      <c r="AP27" s="394"/>
    </row>
    <row r="28" spans="1:47" x14ac:dyDescent="0.25">
      <c r="A28" s="1">
        <v>250</v>
      </c>
      <c r="C28" s="13">
        <v>0.3</v>
      </c>
      <c r="E28" s="1">
        <f>C28*($A$28*730)</f>
        <v>54750</v>
      </c>
      <c r="G28" s="28">
        <f>+AA28</f>
        <v>7355.4268750000001</v>
      </c>
      <c r="H28" s="28">
        <f>+AJ28</f>
        <v>8233.1468750000004</v>
      </c>
      <c r="I28" s="28">
        <f t="shared" si="0"/>
        <v>16.598109000488439</v>
      </c>
      <c r="J28" s="90">
        <f t="shared" si="1"/>
        <v>861.12189099951138</v>
      </c>
      <c r="K28" s="54">
        <f>ROUND(+J28/G28,4)</f>
        <v>0.1171</v>
      </c>
      <c r="L28" s="28">
        <f>ROUND($X$10*$E28,2)</f>
        <v>-75.97</v>
      </c>
      <c r="M28" s="28">
        <f>ROUND($X$11*$E28,2)</f>
        <v>21.53</v>
      </c>
      <c r="N28" s="28">
        <f>ROUND($X$12*$E28,2)</f>
        <v>134.91</v>
      </c>
      <c r="O28" s="28">
        <f t="shared" si="2"/>
        <v>7452.4949840004883</v>
      </c>
      <c r="P28" s="28">
        <f>+H28+L28+M28+N28</f>
        <v>8313.6168749999997</v>
      </c>
      <c r="Q28" s="54">
        <f>ROUND((P28-O28)/O28,4)</f>
        <v>0.11550000000000001</v>
      </c>
      <c r="R28" s="28">
        <f t="shared" si="3"/>
        <v>-37.230000000000004</v>
      </c>
      <c r="S28" s="90">
        <f t="shared" si="4"/>
        <v>8276.3868750000001</v>
      </c>
      <c r="T28" s="91">
        <f t="shared" si="5"/>
        <v>0.1106</v>
      </c>
      <c r="W28" s="7">
        <f>$W$20</f>
        <v>240.15187499999999</v>
      </c>
      <c r="X28" s="19">
        <f>$X$17*E28</f>
        <v>1746.5249999999999</v>
      </c>
      <c r="Y28" s="19">
        <f>ROUND((($A$28*$Y$17*5)+($A$28*$Y$18*7))/12,2)</f>
        <v>5368.75</v>
      </c>
      <c r="Z28" s="19"/>
      <c r="AA28" s="19">
        <f>W28+X28+Y28</f>
        <v>7355.4268750000001</v>
      </c>
      <c r="AB28" s="19"/>
      <c r="AC28" s="19"/>
      <c r="AD28" s="19"/>
      <c r="AE28" s="19"/>
      <c r="AF28" s="7">
        <f>+$AF$20</f>
        <v>240.15187499999999</v>
      </c>
      <c r="AG28" s="19">
        <f>$AG$17*E28</f>
        <v>1759.6650000000002</v>
      </c>
      <c r="AH28" s="19">
        <f>ROUND((($A$28*$AH$17*5)+($A$28*$AH$18*7))/12,2)</f>
        <v>6233.33</v>
      </c>
      <c r="AI28" s="19"/>
      <c r="AJ28" s="19">
        <f>AF28+AG28+AH28</f>
        <v>8233.1468750000004</v>
      </c>
      <c r="AK28" s="84">
        <f t="shared" si="6"/>
        <v>16.598109000488439</v>
      </c>
      <c r="AL28" s="84">
        <f t="shared" si="7"/>
        <v>-37.230000000000004</v>
      </c>
      <c r="AM28" s="19"/>
      <c r="AN28" s="19"/>
      <c r="AO28" s="37"/>
      <c r="AP28" s="394"/>
    </row>
    <row r="29" spans="1:47" x14ac:dyDescent="0.25">
      <c r="A29" s="1"/>
      <c r="C29" s="13">
        <v>0.5</v>
      </c>
      <c r="E29" s="1">
        <f>C29*($A$28*730)</f>
        <v>91250</v>
      </c>
      <c r="G29" s="28">
        <f>+AA29</f>
        <v>8519.7768749999996</v>
      </c>
      <c r="H29" s="28">
        <f>+AJ29</f>
        <v>9406.2568749999991</v>
      </c>
      <c r="I29" s="28">
        <f t="shared" si="0"/>
        <v>27.663515000814066</v>
      </c>
      <c r="J29" s="90">
        <f t="shared" si="1"/>
        <v>858.81648499918629</v>
      </c>
      <c r="K29" s="54">
        <f>ROUND(+J29/G29,4)</f>
        <v>0.1008</v>
      </c>
      <c r="L29" s="28">
        <f>ROUND($X$10*$E29,2)</f>
        <v>-126.61</v>
      </c>
      <c r="M29" s="28">
        <f>ROUND($X$11*$E29,2)</f>
        <v>35.880000000000003</v>
      </c>
      <c r="N29" s="28">
        <f>ROUND($X$12*$E29,2)</f>
        <v>224.86</v>
      </c>
      <c r="O29" s="28">
        <f t="shared" si="2"/>
        <v>8681.570390000812</v>
      </c>
      <c r="P29" s="28">
        <f>+H29+L29+M29+N29</f>
        <v>9540.3868749999983</v>
      </c>
      <c r="Q29" s="54">
        <f>ROUND((P29-O29)/O29,4)</f>
        <v>9.8900000000000002E-2</v>
      </c>
      <c r="R29" s="28">
        <f t="shared" si="3"/>
        <v>-62.050000000000004</v>
      </c>
      <c r="S29" s="90">
        <f t="shared" si="4"/>
        <v>9478.3368749999991</v>
      </c>
      <c r="T29" s="91">
        <f t="shared" si="5"/>
        <v>9.1800000000000007E-2</v>
      </c>
      <c r="W29" s="7">
        <f>$W$20</f>
        <v>240.15187499999999</v>
      </c>
      <c r="X29" s="19">
        <f>$X$17*E29</f>
        <v>2910.875</v>
      </c>
      <c r="Y29" s="19">
        <f>ROUND((($A$28*$Y$17*5)+($A$28*$Y$18*7))/12,2)</f>
        <v>5368.75</v>
      </c>
      <c r="Z29" s="19"/>
      <c r="AA29" s="19">
        <f>W29+X29+Y29</f>
        <v>8519.7768749999996</v>
      </c>
      <c r="AB29" s="19"/>
      <c r="AC29" s="19"/>
      <c r="AD29" s="19"/>
      <c r="AE29" s="19"/>
      <c r="AF29" s="7">
        <f>+$AF$20</f>
        <v>240.15187499999999</v>
      </c>
      <c r="AG29" s="19">
        <f>$AG$17*E29</f>
        <v>2932.7750000000001</v>
      </c>
      <c r="AH29" s="19">
        <f>ROUND((($A$28*$AH$17*5)+($A$28*$AH$18*7))/12,2)</f>
        <v>6233.33</v>
      </c>
      <c r="AI29" s="19"/>
      <c r="AJ29" s="19">
        <f>AF29+AG29+AH29</f>
        <v>9406.2568749999991</v>
      </c>
      <c r="AK29" s="84">
        <f t="shared" si="6"/>
        <v>27.663515000814066</v>
      </c>
      <c r="AL29" s="84">
        <f t="shared" si="7"/>
        <v>-62.050000000000004</v>
      </c>
      <c r="AM29" s="19"/>
      <c r="AN29" s="19"/>
      <c r="AO29" s="37"/>
      <c r="AP29" s="394"/>
    </row>
    <row r="30" spans="1:47" x14ac:dyDescent="0.25">
      <c r="A30" s="1"/>
      <c r="C30" s="13">
        <v>0.7</v>
      </c>
      <c r="E30" s="1">
        <f>C30*($A$28*730)</f>
        <v>127749.99999999999</v>
      </c>
      <c r="G30" s="28">
        <f>+AA30</f>
        <v>9684.1268749999981</v>
      </c>
      <c r="H30" s="28">
        <f>+AJ30</f>
        <v>10579.366875</v>
      </c>
      <c r="I30" s="28">
        <f t="shared" si="0"/>
        <v>38.728921001139689</v>
      </c>
      <c r="J30" s="90">
        <f t="shared" si="1"/>
        <v>856.51107899886119</v>
      </c>
      <c r="K30" s="54">
        <f>ROUND(+J30/G30,4)</f>
        <v>8.8400000000000006E-2</v>
      </c>
      <c r="L30" s="28">
        <f>ROUND($X$10*$E30,2)</f>
        <v>-177.26</v>
      </c>
      <c r="M30" s="28">
        <f>ROUND($X$11*$E30,2)</f>
        <v>50.23</v>
      </c>
      <c r="N30" s="28">
        <f>ROUND($X$12*$E30,2)</f>
        <v>314.8</v>
      </c>
      <c r="O30" s="28">
        <f t="shared" si="2"/>
        <v>9910.6257960011371</v>
      </c>
      <c r="P30" s="28">
        <f>+H30+L30+M30+N30</f>
        <v>10767.136874999998</v>
      </c>
      <c r="Q30" s="54">
        <f>ROUND((P30-O30)/O30,4)</f>
        <v>8.6400000000000005E-2</v>
      </c>
      <c r="R30" s="28">
        <f t="shared" si="3"/>
        <v>-86.86999999999999</v>
      </c>
      <c r="S30" s="90">
        <f t="shared" si="4"/>
        <v>10680.266874999998</v>
      </c>
      <c r="T30" s="91">
        <f t="shared" si="5"/>
        <v>7.7700000000000005E-2</v>
      </c>
      <c r="W30" s="7">
        <f>$W$20</f>
        <v>240.15187499999999</v>
      </c>
      <c r="X30" s="19">
        <f>$X$17*E30</f>
        <v>4075.2249999999995</v>
      </c>
      <c r="Y30" s="19">
        <f>ROUND((($A$28*$Y$17*5)+($A$28*$Y$18*7))/12,2)</f>
        <v>5368.75</v>
      </c>
      <c r="Z30" s="19"/>
      <c r="AA30" s="19">
        <f>W30+X30+Y30</f>
        <v>9684.1268749999981</v>
      </c>
      <c r="AB30" s="19"/>
      <c r="AC30" s="19"/>
      <c r="AD30" s="19"/>
      <c r="AE30" s="19"/>
      <c r="AF30" s="7">
        <f>+$AF$20</f>
        <v>240.15187499999999</v>
      </c>
      <c r="AG30" s="19">
        <f>$AG$17*E30</f>
        <v>4105.8850000000002</v>
      </c>
      <c r="AH30" s="19">
        <f>ROUND((($A$28*$AH$17*5)+($A$28*$AH$18*7))/12,2)</f>
        <v>6233.33</v>
      </c>
      <c r="AI30" s="19"/>
      <c r="AJ30" s="19">
        <f>AF30+AG30+AH30</f>
        <v>10579.366875</v>
      </c>
      <c r="AK30" s="84">
        <f t="shared" si="6"/>
        <v>38.728921001139689</v>
      </c>
      <c r="AL30" s="84">
        <f t="shared" si="7"/>
        <v>-86.86999999999999</v>
      </c>
      <c r="AM30" s="19"/>
      <c r="AN30" s="19"/>
      <c r="AO30" s="37"/>
      <c r="AP30" s="394"/>
    </row>
    <row r="31" spans="1:47" x14ac:dyDescent="0.25">
      <c r="A31" s="1"/>
      <c r="C31" s="13"/>
      <c r="E31" s="1"/>
      <c r="J31" s="90"/>
      <c r="K31" s="5"/>
      <c r="O31" s="28"/>
      <c r="Q31" s="54"/>
      <c r="S31" s="90"/>
      <c r="T31" s="91"/>
      <c r="W31" s="7"/>
      <c r="X31" s="19"/>
      <c r="Y31" s="19"/>
      <c r="Z31" s="19"/>
      <c r="AA31" s="19"/>
      <c r="AB31" s="19"/>
      <c r="AC31" s="19"/>
      <c r="AD31" s="19"/>
      <c r="AE31" s="19"/>
      <c r="AF31" s="7"/>
      <c r="AG31" s="19"/>
      <c r="AH31" s="19"/>
      <c r="AI31" s="19"/>
      <c r="AJ31" s="19"/>
      <c r="AK31" s="84"/>
      <c r="AL31" s="84"/>
      <c r="AM31" s="19"/>
      <c r="AN31" s="19"/>
      <c r="AO31" s="37"/>
      <c r="AP31" s="394"/>
    </row>
    <row r="32" spans="1:47" x14ac:dyDescent="0.25">
      <c r="A32" s="1">
        <v>500</v>
      </c>
      <c r="C32" s="13">
        <v>0.3</v>
      </c>
      <c r="E32" s="1">
        <f>C32*($A$32*730)</f>
        <v>109500</v>
      </c>
      <c r="G32" s="28">
        <f>+AA32</f>
        <v>14470.701874999999</v>
      </c>
      <c r="H32" s="28">
        <f>+AJ32</f>
        <v>16226.151875</v>
      </c>
      <c r="I32" s="28">
        <f t="shared" si="0"/>
        <v>33.196218000976877</v>
      </c>
      <c r="J32" s="90">
        <f t="shared" si="1"/>
        <v>1722.253781999023</v>
      </c>
      <c r="K32" s="54">
        <f>ROUND(+J32/G32,4)</f>
        <v>0.11899999999999999</v>
      </c>
      <c r="L32" s="28">
        <f>ROUND($X$10*$E32,2)</f>
        <v>-151.93</v>
      </c>
      <c r="M32" s="28">
        <f>ROUND($X$11*$E32,2)</f>
        <v>43.05</v>
      </c>
      <c r="N32" s="28">
        <f>ROUND($X$12*$E32,2)</f>
        <v>269.83</v>
      </c>
      <c r="O32" s="28">
        <f t="shared" si="2"/>
        <v>14664.848093000975</v>
      </c>
      <c r="P32" s="28">
        <f>+H32+L32+M32+N32</f>
        <v>16387.101875</v>
      </c>
      <c r="Q32" s="54">
        <f>ROUND((P32-O32)/O32,4)</f>
        <v>0.1174</v>
      </c>
      <c r="R32" s="28">
        <f t="shared" si="3"/>
        <v>-74.460000000000008</v>
      </c>
      <c r="S32" s="90">
        <f t="shared" si="4"/>
        <v>16312.641875000001</v>
      </c>
      <c r="T32" s="91">
        <f t="shared" si="5"/>
        <v>0.1124</v>
      </c>
      <c r="W32" s="7">
        <f>$W$20</f>
        <v>240.15187499999999</v>
      </c>
      <c r="X32" s="19">
        <f>$X$17*E32</f>
        <v>3493.0499999999997</v>
      </c>
      <c r="Y32" s="19">
        <f>ROUND((($A$32*$Y$17*5)+($A$32*$Y$18*7))/12,2)</f>
        <v>10737.5</v>
      </c>
      <c r="Z32" s="19"/>
      <c r="AA32" s="19">
        <f>W32+X32+Y32</f>
        <v>14470.701874999999</v>
      </c>
      <c r="AB32" s="19"/>
      <c r="AC32" s="19"/>
      <c r="AD32" s="19"/>
      <c r="AE32" s="19"/>
      <c r="AF32" s="7">
        <f>+$AF$20</f>
        <v>240.15187499999999</v>
      </c>
      <c r="AG32" s="19">
        <f>$AG$17*E32</f>
        <v>3519.3300000000004</v>
      </c>
      <c r="AH32" s="19">
        <f>ROUND((($A$32*$AH$17*5)+($A$32*$AH$18*7))/12,2)</f>
        <v>12466.67</v>
      </c>
      <c r="AI32" s="19"/>
      <c r="AJ32" s="19">
        <f>AF32+AG32+AH32</f>
        <v>16226.151875</v>
      </c>
      <c r="AK32" s="84">
        <f t="shared" si="6"/>
        <v>33.196218000976877</v>
      </c>
      <c r="AL32" s="84">
        <f t="shared" si="7"/>
        <v>-74.460000000000008</v>
      </c>
      <c r="AM32" s="19"/>
      <c r="AN32" s="19"/>
      <c r="AO32" s="37"/>
      <c r="AP32" s="394"/>
    </row>
    <row r="33" spans="1:42" x14ac:dyDescent="0.25">
      <c r="A33" s="1"/>
      <c r="C33" s="13">
        <v>0.5</v>
      </c>
      <c r="E33" s="1">
        <f>C33*($A$32*730)</f>
        <v>182500</v>
      </c>
      <c r="G33" s="28">
        <f>+AA33</f>
        <v>16799.401875</v>
      </c>
      <c r="H33" s="28">
        <f>+AJ33</f>
        <v>18572.371875000001</v>
      </c>
      <c r="I33" s="28">
        <f t="shared" si="0"/>
        <v>55.327030001628131</v>
      </c>
      <c r="J33" s="90">
        <f t="shared" si="1"/>
        <v>1717.6429699983746</v>
      </c>
      <c r="K33" s="54">
        <f>ROUND(+J33/G33,4)</f>
        <v>0.1022</v>
      </c>
      <c r="L33" s="28">
        <f>ROUND($X$10*$E33,2)</f>
        <v>-253.22</v>
      </c>
      <c r="M33" s="28">
        <f>ROUND($X$11*$E33,2)</f>
        <v>71.75</v>
      </c>
      <c r="N33" s="28">
        <f>ROUND($X$12*$E33,2)</f>
        <v>449.72</v>
      </c>
      <c r="O33" s="28">
        <f t="shared" si="2"/>
        <v>17122.978905001626</v>
      </c>
      <c r="P33" s="28">
        <f>+H33+L33+M33+N33</f>
        <v>18840.621875000001</v>
      </c>
      <c r="Q33" s="54">
        <f>ROUND((P33-O33)/O33,4)</f>
        <v>0.1003</v>
      </c>
      <c r="R33" s="28">
        <f t="shared" si="3"/>
        <v>-124.10000000000001</v>
      </c>
      <c r="S33" s="90">
        <f t="shared" si="4"/>
        <v>18716.521875000002</v>
      </c>
      <c r="T33" s="91">
        <f t="shared" si="5"/>
        <v>9.3100000000000002E-2</v>
      </c>
      <c r="W33" s="7">
        <f>$W$20</f>
        <v>240.15187499999999</v>
      </c>
      <c r="X33" s="19">
        <f>$X$17*E33</f>
        <v>5821.75</v>
      </c>
      <c r="Y33" s="19">
        <f>ROUND((($A$32*$Y$17*5)+($A$32*$Y$18*7))/12,2)</f>
        <v>10737.5</v>
      </c>
      <c r="Z33" s="19"/>
      <c r="AA33" s="19">
        <f>W33+X33+Y33</f>
        <v>16799.401875</v>
      </c>
      <c r="AB33" s="19"/>
      <c r="AC33" s="19"/>
      <c r="AD33" s="19"/>
      <c r="AE33" s="19"/>
      <c r="AF33" s="7">
        <f>+$AF$20</f>
        <v>240.15187499999999</v>
      </c>
      <c r="AG33" s="19">
        <f>$AG$17*E33</f>
        <v>5865.55</v>
      </c>
      <c r="AH33" s="19">
        <f>ROUND((($A$32*$AH$17*5)+($A$32*$AH$18*7))/12,2)</f>
        <v>12466.67</v>
      </c>
      <c r="AI33" s="19"/>
      <c r="AJ33" s="19">
        <f>AF33+AG33+AH33</f>
        <v>18572.371875000001</v>
      </c>
      <c r="AK33" s="84">
        <f t="shared" si="6"/>
        <v>55.327030001628131</v>
      </c>
      <c r="AL33" s="84">
        <f t="shared" si="7"/>
        <v>-124.10000000000001</v>
      </c>
      <c r="AM33" s="19"/>
      <c r="AN33" s="19"/>
      <c r="AO33" s="37"/>
      <c r="AP33" s="394"/>
    </row>
    <row r="34" spans="1:42" x14ac:dyDescent="0.25">
      <c r="A34" s="1"/>
      <c r="C34" s="13">
        <v>0.7</v>
      </c>
      <c r="E34" s="1">
        <f>C34*($A$32*730)</f>
        <v>255499.99999999997</v>
      </c>
      <c r="G34" s="28">
        <f>+AA34</f>
        <v>19128.101875</v>
      </c>
      <c r="H34" s="28">
        <f>+AJ34</f>
        <v>20918.591874999998</v>
      </c>
      <c r="I34" s="28">
        <f t="shared" si="0"/>
        <v>77.457842002279378</v>
      </c>
      <c r="J34" s="90">
        <f t="shared" si="1"/>
        <v>1713.0321579977171</v>
      </c>
      <c r="K34" s="54">
        <f>ROUND(+J34/G34,4)</f>
        <v>8.9599999999999999E-2</v>
      </c>
      <c r="L34" s="28">
        <f>ROUND($X$10*$E34,2)</f>
        <v>-354.51</v>
      </c>
      <c r="M34" s="28">
        <f>ROUND($X$11*$E34,2)</f>
        <v>100.46</v>
      </c>
      <c r="N34" s="28">
        <f>ROUND($X$12*$E34,2)</f>
        <v>629.6</v>
      </c>
      <c r="O34" s="28">
        <f t="shared" si="2"/>
        <v>19581.10971700228</v>
      </c>
      <c r="P34" s="28">
        <f>+H34+L34+M34+N34</f>
        <v>21294.141874999998</v>
      </c>
      <c r="Q34" s="54">
        <f>ROUND((P34-O34)/O34,4)</f>
        <v>8.7499999999999994E-2</v>
      </c>
      <c r="R34" s="28">
        <f t="shared" si="3"/>
        <v>-173.73999999999998</v>
      </c>
      <c r="S34" s="90">
        <f t="shared" si="4"/>
        <v>21120.401874999996</v>
      </c>
      <c r="T34" s="91">
        <f t="shared" si="5"/>
        <v>7.8600000000000003E-2</v>
      </c>
      <c r="W34" s="7">
        <f>$W$20</f>
        <v>240.15187499999999</v>
      </c>
      <c r="X34" s="19">
        <f>$X$17*E34</f>
        <v>8150.4499999999989</v>
      </c>
      <c r="Y34" s="19">
        <f>ROUND((($A$32*$Y$17*5)+($A$32*$Y$18*7))/12,2)</f>
        <v>10737.5</v>
      </c>
      <c r="Z34" s="19"/>
      <c r="AA34" s="19">
        <f>W34+X34+Y34</f>
        <v>19128.101875</v>
      </c>
      <c r="AB34" s="19"/>
      <c r="AC34" s="19"/>
      <c r="AD34" s="19"/>
      <c r="AE34" s="19"/>
      <c r="AF34" s="7">
        <f>+$AF$20</f>
        <v>240.15187499999999</v>
      </c>
      <c r="AG34" s="19">
        <f>$AG$17*E34</f>
        <v>8211.77</v>
      </c>
      <c r="AH34" s="19">
        <f>ROUND((($A$32*$AH$17*5)+($A$32*$AH$18*7))/12,2)</f>
        <v>12466.67</v>
      </c>
      <c r="AI34" s="19"/>
      <c r="AJ34" s="19">
        <f>AF34+AG34+AH34</f>
        <v>20918.591874999998</v>
      </c>
      <c r="AK34" s="84">
        <f t="shared" si="6"/>
        <v>77.457842002279378</v>
      </c>
      <c r="AL34" s="84">
        <f t="shared" si="7"/>
        <v>-173.73999999999998</v>
      </c>
      <c r="AM34" s="19"/>
      <c r="AN34" s="19"/>
      <c r="AO34" s="37"/>
      <c r="AP34" s="394"/>
    </row>
    <row r="35" spans="1:42" x14ac:dyDescent="0.25">
      <c r="A35" s="1"/>
      <c r="C35" s="13"/>
      <c r="E35" s="1"/>
      <c r="J35" s="90"/>
      <c r="K35" s="5"/>
      <c r="O35" s="28"/>
      <c r="Q35" s="54"/>
      <c r="S35" s="90"/>
      <c r="T35" s="91"/>
      <c r="W35" s="7"/>
      <c r="X35" s="19"/>
      <c r="Y35" s="19"/>
      <c r="Z35" s="19"/>
      <c r="AA35" s="19"/>
      <c r="AB35" s="19"/>
      <c r="AC35" s="19"/>
      <c r="AD35" s="19"/>
      <c r="AE35" s="19"/>
      <c r="AF35" s="7"/>
      <c r="AG35" s="19"/>
      <c r="AH35" s="19"/>
      <c r="AI35" s="19"/>
      <c r="AJ35" s="19"/>
      <c r="AK35" s="84"/>
      <c r="AL35" s="84"/>
      <c r="AM35" s="19"/>
      <c r="AN35" s="19"/>
      <c r="AO35" s="37"/>
      <c r="AP35" s="394"/>
    </row>
    <row r="36" spans="1:42" x14ac:dyDescent="0.25">
      <c r="A36" s="1">
        <v>1000</v>
      </c>
      <c r="C36" s="13">
        <v>0.3</v>
      </c>
      <c r="E36" s="1">
        <f>C36*($A$36*730)</f>
        <v>219000</v>
      </c>
      <c r="G36" s="28">
        <f>+AA36</f>
        <v>28701.251874999998</v>
      </c>
      <c r="H36" s="28">
        <f>+AJ36</f>
        <v>32212.141875000001</v>
      </c>
      <c r="I36" s="28">
        <f t="shared" si="0"/>
        <v>66.392436001953754</v>
      </c>
      <c r="J36" s="90">
        <f t="shared" si="1"/>
        <v>3444.4975639980476</v>
      </c>
      <c r="K36" s="54">
        <f>ROUND(+J36/G36,4)</f>
        <v>0.12</v>
      </c>
      <c r="L36" s="28">
        <f>ROUND($X$10*$E36,2)</f>
        <v>-303.87</v>
      </c>
      <c r="M36" s="28">
        <f>ROUND($X$11*$E36,2)</f>
        <v>86.11</v>
      </c>
      <c r="N36" s="28">
        <f>ROUND($X$12*$E36,2)</f>
        <v>539.66</v>
      </c>
      <c r="O36" s="28">
        <f t="shared" si="2"/>
        <v>29089.544311001955</v>
      </c>
      <c r="P36" s="28">
        <f>+H36+L36+M36+N36</f>
        <v>32534.041875000003</v>
      </c>
      <c r="Q36" s="54">
        <f>ROUND((P36-O36)/O36,4)</f>
        <v>0.11840000000000001</v>
      </c>
      <c r="R36" s="28">
        <f t="shared" si="3"/>
        <v>-148.92000000000002</v>
      </c>
      <c r="S36" s="90">
        <f t="shared" si="4"/>
        <v>32385.121875000004</v>
      </c>
      <c r="T36" s="91">
        <f t="shared" si="5"/>
        <v>0.1133</v>
      </c>
      <c r="W36" s="7">
        <f>$W$20</f>
        <v>240.15187499999999</v>
      </c>
      <c r="X36" s="19">
        <f>$X$17*E36</f>
        <v>6986.0999999999995</v>
      </c>
      <c r="Y36" s="19">
        <f>ROUND((($A$36*$Y$17*5)+($A$36*$Y$18*7))/12,2)</f>
        <v>21475</v>
      </c>
      <c r="Z36" s="19"/>
      <c r="AA36" s="19">
        <f>W36+X36+Y36</f>
        <v>28701.251874999998</v>
      </c>
      <c r="AB36" s="19"/>
      <c r="AC36" s="19"/>
      <c r="AD36" s="19"/>
      <c r="AE36" s="19"/>
      <c r="AF36" s="7">
        <f>+$AF$20</f>
        <v>240.15187499999999</v>
      </c>
      <c r="AG36" s="19">
        <f>$AG$17*E36</f>
        <v>7038.6600000000008</v>
      </c>
      <c r="AH36" s="19">
        <f>ROUND((($A$36*$AH$17*5)+($A$36*$AH$18*7))/12,2)</f>
        <v>24933.33</v>
      </c>
      <c r="AI36" s="19"/>
      <c r="AJ36" s="19">
        <f>AF36+AG36+AH36</f>
        <v>32212.141875000001</v>
      </c>
      <c r="AK36" s="84">
        <f t="shared" si="6"/>
        <v>66.392436001953754</v>
      </c>
      <c r="AL36" s="84">
        <f t="shared" si="7"/>
        <v>-148.92000000000002</v>
      </c>
      <c r="AM36" s="19"/>
      <c r="AN36" s="19"/>
      <c r="AO36" s="37"/>
      <c r="AP36" s="394"/>
    </row>
    <row r="37" spans="1:42" x14ac:dyDescent="0.25">
      <c r="A37" s="1"/>
      <c r="C37" s="13">
        <v>0.5</v>
      </c>
      <c r="E37" s="1">
        <f>C37*($A$36*730)</f>
        <v>365000</v>
      </c>
      <c r="G37" s="28">
        <f>+AA37</f>
        <v>33358.651874999996</v>
      </c>
      <c r="H37" s="28">
        <f>+AJ37</f>
        <v>36904.581875000003</v>
      </c>
      <c r="I37" s="28">
        <f t="shared" si="0"/>
        <v>110.65406000325626</v>
      </c>
      <c r="J37" s="90">
        <f t="shared" si="1"/>
        <v>3435.2759399967545</v>
      </c>
      <c r="K37" s="54">
        <f>ROUND(+J37/G37,4)</f>
        <v>0.10299999999999999</v>
      </c>
      <c r="L37" s="28">
        <f>ROUND($X$10*$E37,2)</f>
        <v>-506.45</v>
      </c>
      <c r="M37" s="28">
        <f>ROUND($X$11*$E37,2)</f>
        <v>143.51</v>
      </c>
      <c r="N37" s="28">
        <f>ROUND($X$12*$E37,2)</f>
        <v>899.43</v>
      </c>
      <c r="O37" s="28">
        <f t="shared" si="2"/>
        <v>34005.795935003254</v>
      </c>
      <c r="P37" s="28">
        <f>+H37+L37+M37+N37</f>
        <v>37441.071875000009</v>
      </c>
      <c r="Q37" s="54">
        <f>ROUND((P37-O37)/O37,4)</f>
        <v>0.10100000000000001</v>
      </c>
      <c r="R37" s="28">
        <f t="shared" si="3"/>
        <v>-248.20000000000002</v>
      </c>
      <c r="S37" s="90">
        <f t="shared" si="4"/>
        <v>37192.871875000012</v>
      </c>
      <c r="T37" s="91">
        <f t="shared" si="5"/>
        <v>9.3700000000000006E-2</v>
      </c>
      <c r="W37" s="7">
        <f>$W$20</f>
        <v>240.15187499999999</v>
      </c>
      <c r="X37" s="19">
        <f>$X$17*E37</f>
        <v>11643.5</v>
      </c>
      <c r="Y37" s="19">
        <f>ROUND((($A$36*$Y$17*5)+($A$36*$Y$18*7))/12,2)</f>
        <v>21475</v>
      </c>
      <c r="Z37" s="19"/>
      <c r="AA37" s="19">
        <f>W37+X37+Y37</f>
        <v>33358.651874999996</v>
      </c>
      <c r="AB37" s="19"/>
      <c r="AC37" s="19"/>
      <c r="AD37" s="19"/>
      <c r="AE37" s="19"/>
      <c r="AF37" s="7">
        <f>+$AF$20</f>
        <v>240.15187499999999</v>
      </c>
      <c r="AG37" s="19">
        <f>$AG$17*E37</f>
        <v>11731.1</v>
      </c>
      <c r="AH37" s="19">
        <f>ROUND((($A$36*$AH$17*5)+($A$36*$AH$18*7))/12,2)</f>
        <v>24933.33</v>
      </c>
      <c r="AI37" s="19"/>
      <c r="AJ37" s="19">
        <f>AF37+AG37+AH37</f>
        <v>36904.581875000003</v>
      </c>
      <c r="AK37" s="84">
        <f t="shared" si="6"/>
        <v>110.65406000325626</v>
      </c>
      <c r="AL37" s="84">
        <f t="shared" si="7"/>
        <v>-248.20000000000002</v>
      </c>
      <c r="AM37" s="19"/>
      <c r="AN37" s="19"/>
      <c r="AO37" s="37"/>
      <c r="AP37" s="394"/>
    </row>
    <row r="38" spans="1:42" x14ac:dyDescent="0.25">
      <c r="A38" s="1"/>
      <c r="C38" s="13">
        <v>0.7</v>
      </c>
      <c r="E38" s="1">
        <f>C38*($A$36*730)</f>
        <v>510999.99999999994</v>
      </c>
      <c r="G38" s="28">
        <f>+AA38</f>
        <v>38016.051874999997</v>
      </c>
      <c r="H38" s="28">
        <f>+AJ38</f>
        <v>41597.021875000006</v>
      </c>
      <c r="I38" s="28">
        <f t="shared" si="0"/>
        <v>154.91568400455876</v>
      </c>
      <c r="J38" s="90">
        <f t="shared" si="1"/>
        <v>3426.0543159954468</v>
      </c>
      <c r="K38" s="54">
        <f>ROUND(+J38/G38,4)</f>
        <v>9.01E-2</v>
      </c>
      <c r="L38" s="28">
        <f>ROUND($X$10*$E38,2)</f>
        <v>-709.03</v>
      </c>
      <c r="M38" s="28">
        <f>ROUND($X$11*$E38,2)</f>
        <v>200.91</v>
      </c>
      <c r="N38" s="28">
        <f>ROUND($X$12*$E38,2)</f>
        <v>1259.2</v>
      </c>
      <c r="O38" s="28">
        <f>+G38+I38+L38+M38+N38</f>
        <v>38922.047559004561</v>
      </c>
      <c r="P38" s="28">
        <f>+H38+L38+M38+N38</f>
        <v>42348.101875000008</v>
      </c>
      <c r="Q38" s="54">
        <f>ROUND((P38-O38)/O38,4)</f>
        <v>8.7999999999999995E-2</v>
      </c>
      <c r="R38" s="28">
        <f t="shared" si="3"/>
        <v>-347.47999999999996</v>
      </c>
      <c r="S38" s="90">
        <f t="shared" si="4"/>
        <v>42000.621875000004</v>
      </c>
      <c r="T38" s="91">
        <f t="shared" si="5"/>
        <v>7.9100000000000004E-2</v>
      </c>
      <c r="W38" s="7">
        <f>$W$20</f>
        <v>240.15187499999999</v>
      </c>
      <c r="X38" s="19">
        <f>$X$17*E38</f>
        <v>16300.899999999998</v>
      </c>
      <c r="Y38" s="19">
        <f>ROUND((($A$36*$Y$17*5)+($A$36*$Y$18*7))/12,2)</f>
        <v>21475</v>
      </c>
      <c r="Z38" s="19"/>
      <c r="AA38" s="19">
        <f>W38+X38+Y38</f>
        <v>38016.051874999997</v>
      </c>
      <c r="AB38" s="19"/>
      <c r="AC38" s="19"/>
      <c r="AD38" s="19"/>
      <c r="AE38" s="19"/>
      <c r="AF38" s="7">
        <f>+$AF$20</f>
        <v>240.15187499999999</v>
      </c>
      <c r="AG38" s="19">
        <f>$AG$17*E38</f>
        <v>16423.54</v>
      </c>
      <c r="AH38" s="19">
        <f>ROUND((($A$36*$AH$17*5)+($A$36*$AH$18*7))/12,2)</f>
        <v>24933.33</v>
      </c>
      <c r="AI38" s="19"/>
      <c r="AJ38" s="19">
        <f>AF38+AG38+AH38</f>
        <v>41597.021875000006</v>
      </c>
      <c r="AK38" s="84">
        <f>$AK$17*E38</f>
        <v>154.91568400455876</v>
      </c>
      <c r="AL38" s="84">
        <f>$AL$17*E38</f>
        <v>-347.47999999999996</v>
      </c>
      <c r="AM38" s="19"/>
      <c r="AN38" s="19"/>
      <c r="AO38" s="37"/>
      <c r="AP38" s="394"/>
    </row>
    <row r="39" spans="1:42" x14ac:dyDescent="0.25">
      <c r="E39" s="1"/>
      <c r="M39" s="28"/>
      <c r="X39" s="19"/>
      <c r="Y39" s="19"/>
      <c r="Z39" s="19"/>
      <c r="AA39" s="19"/>
      <c r="AB39" s="19"/>
      <c r="AC39" s="19"/>
      <c r="AD39" s="19"/>
      <c r="AE39" s="19"/>
    </row>
    <row r="40" spans="1:42" x14ac:dyDescent="0.25">
      <c r="A40" s="17" t="s">
        <v>301</v>
      </c>
      <c r="X40" s="19"/>
      <c r="Y40" s="19"/>
      <c r="Z40" s="19"/>
      <c r="AA40" s="19"/>
      <c r="AB40" s="19"/>
      <c r="AC40" s="19"/>
      <c r="AD40" s="19"/>
      <c r="AE40" s="19"/>
    </row>
    <row r="41" spans="1:42" x14ac:dyDescent="0.25">
      <c r="A41" s="174" t="str">
        <f>("Average Usage = "&amp;TEXT(INPUT!$I$26*1,"0,000")&amp;" kWh per month")</f>
        <v>Average Usage = 32,193 kWh per month</v>
      </c>
      <c r="E41" s="1"/>
      <c r="W41" s="7"/>
      <c r="X41" s="19"/>
      <c r="Y41" s="12"/>
      <c r="AA41" s="12"/>
      <c r="AE41" s="6"/>
      <c r="AG41" s="9"/>
    </row>
    <row r="42" spans="1:42" x14ac:dyDescent="0.25">
      <c r="A42" s="174" t="str">
        <f>("Average Demand = "&amp;TEXT(INPUT!I104,"0")&amp;" kW per month")</f>
        <v>Average Demand = 123 kW per month</v>
      </c>
      <c r="E42" s="1"/>
      <c r="W42" s="7"/>
      <c r="X42" s="19"/>
      <c r="Y42" s="12"/>
      <c r="AA42" s="12"/>
      <c r="AE42" s="6"/>
      <c r="AG42" s="9"/>
    </row>
    <row r="43" spans="1:42" x14ac:dyDescent="0.25">
      <c r="A43" s="175" t="s">
        <v>302</v>
      </c>
      <c r="E43" s="1"/>
      <c r="W43" s="7"/>
      <c r="X43" s="19"/>
      <c r="Y43" s="12"/>
      <c r="AA43" s="12"/>
      <c r="AE43" s="6"/>
      <c r="AG43" s="9"/>
    </row>
    <row r="44" spans="1:42" x14ac:dyDescent="0.25">
      <c r="A44" s="176" t="s">
        <v>303</v>
      </c>
    </row>
    <row r="45" spans="1:42" x14ac:dyDescent="0.25">
      <c r="A45" s="176" t="s">
        <v>308</v>
      </c>
    </row>
    <row r="47" spans="1:42" x14ac:dyDescent="0.25">
      <c r="A47" s="175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AS69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7.1796875" customWidth="1"/>
    <col min="2" max="2" width="2.7265625" customWidth="1"/>
    <col min="3" max="3" width="8.1796875" bestFit="1" customWidth="1"/>
    <col min="4" max="4" width="2.36328125" customWidth="1"/>
    <col min="5" max="5" width="10.7265625" customWidth="1"/>
    <col min="6" max="6" width="3.26953125" customWidth="1"/>
    <col min="7" max="7" width="12.54296875" bestFit="1" customWidth="1"/>
    <col min="8" max="8" width="13.453125" bestFit="1" customWidth="1"/>
    <col min="9" max="10" width="14.7265625" customWidth="1"/>
    <col min="11" max="11" width="11.26953125" bestFit="1" customWidth="1"/>
    <col min="12" max="12" width="11.08984375" bestFit="1" customWidth="1"/>
    <col min="13" max="13" width="14.81640625" bestFit="1" customWidth="1"/>
    <col min="14" max="14" width="11.26953125" bestFit="1" customWidth="1"/>
    <col min="15" max="15" width="12.453125" customWidth="1"/>
    <col min="16" max="17" width="13.453125" bestFit="1" customWidth="1"/>
    <col min="18" max="18" width="11.08984375" bestFit="1" customWidth="1"/>
    <col min="19" max="19" width="12.26953125" bestFit="1" customWidth="1"/>
    <col min="20" max="20" width="9.36328125" customWidth="1"/>
    <col min="21" max="21" width="9.7265625" bestFit="1" customWidth="1"/>
    <col min="22" max="23" width="9.81640625" customWidth="1"/>
    <col min="24" max="24" width="10.90625" bestFit="1" customWidth="1"/>
    <col min="25" max="25" width="14.81640625" bestFit="1" customWidth="1"/>
    <col min="26" max="26" width="12.54296875" bestFit="1" customWidth="1"/>
    <col min="27" max="27" width="12.7265625" bestFit="1" customWidth="1"/>
    <col min="28" max="28" width="12" bestFit="1" customWidth="1"/>
    <col min="29" max="29" width="13" bestFit="1" customWidth="1"/>
    <col min="30" max="30" width="8.26953125" customWidth="1"/>
    <col min="31" max="31" width="14.453125" customWidth="1"/>
    <col min="32" max="32" width="3.81640625" customWidth="1"/>
    <col min="33" max="33" width="13.453125" bestFit="1" customWidth="1"/>
    <col min="34" max="34" width="14.453125" bestFit="1" customWidth="1"/>
    <col min="35" max="35" width="12.7265625" bestFit="1" customWidth="1"/>
    <col min="36" max="36" width="11.54296875" bestFit="1" customWidth="1"/>
    <col min="37" max="37" width="13.81640625" bestFit="1" customWidth="1"/>
    <col min="38" max="38" width="11.90625" bestFit="1" customWidth="1"/>
    <col min="39" max="39" width="12.7265625" bestFit="1" customWidth="1"/>
    <col min="40" max="42" width="12.7265625" customWidth="1"/>
    <col min="43" max="43" width="11.1796875" customWidth="1"/>
    <col min="44" max="44" width="11.453125" bestFit="1" customWidth="1"/>
    <col min="45" max="45" width="10.7265625" customWidth="1"/>
    <col min="46" max="46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389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389"/>
      <c r="X2" s="17"/>
      <c r="Y2" s="82"/>
      <c r="Z2" s="399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390"/>
      <c r="X3" s="17"/>
      <c r="Y3" s="82"/>
      <c r="Z3" s="399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389"/>
      <c r="X4" s="17"/>
      <c r="Y4" s="82"/>
      <c r="Z4" s="399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5"/>
      <c r="P5" s="205"/>
      <c r="Q5" s="205"/>
      <c r="R5" s="205"/>
      <c r="S5" s="205"/>
      <c r="T5" s="205"/>
      <c r="U5" s="205"/>
      <c r="X5" s="17"/>
      <c r="Y5" s="82"/>
      <c r="Z5" s="399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205"/>
      <c r="P6" s="205"/>
      <c r="Q6" s="205"/>
      <c r="R6" s="205"/>
      <c r="S6" s="205"/>
      <c r="T6" s="205"/>
      <c r="U6" s="205"/>
      <c r="X6" s="17"/>
      <c r="Y6" s="82"/>
      <c r="Z6" s="399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5"/>
      <c r="O7" s="205"/>
      <c r="P7" s="205"/>
      <c r="Q7" s="205"/>
      <c r="S7" s="209"/>
      <c r="T7" s="209" t="str">
        <f>+'Rate Case Constants'!C25</f>
        <v>SCHEDULE N</v>
      </c>
      <c r="X7" s="17"/>
      <c r="Y7" s="82"/>
      <c r="Z7" s="399"/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5"/>
      <c r="O8" s="205"/>
      <c r="P8" s="205"/>
      <c r="Q8" s="205"/>
      <c r="S8" s="203"/>
      <c r="T8" s="203" t="str">
        <f>+'Rate Case Constants'!L17</f>
        <v>PAGE 10 of 24</v>
      </c>
      <c r="Y8" s="335"/>
      <c r="Z8" s="335"/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5"/>
      <c r="O9" s="205"/>
      <c r="P9" s="205"/>
      <c r="Q9" s="205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X10" s="83" t="s">
        <v>68</v>
      </c>
      <c r="Y10" s="2">
        <f>+INPUT!H72</f>
        <v>-1.3927813719635919E-3</v>
      </c>
    </row>
    <row r="11" spans="1:45" ht="13" x14ac:dyDescent="0.3">
      <c r="A11" s="124" t="s">
        <v>255</v>
      </c>
      <c r="B11" s="124"/>
      <c r="X11" s="83" t="s">
        <v>70</v>
      </c>
      <c r="Y11" s="2">
        <f>+INPUT!I72</f>
        <v>1.2132277310109137E-4</v>
      </c>
      <c r="AA11" s="59"/>
      <c r="AI11" s="59"/>
    </row>
    <row r="12" spans="1:45" ht="13" x14ac:dyDescent="0.3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3" t="s">
        <v>69</v>
      </c>
      <c r="Y12" s="2">
        <f>+INPUT!J72</f>
        <v>9.1122986292010814E-4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A13" s="3" t="s">
        <v>1</v>
      </c>
      <c r="AD13" s="3"/>
      <c r="AH13" s="19"/>
      <c r="AI13" s="20" t="s">
        <v>6</v>
      </c>
      <c r="AJ13" s="20" t="s">
        <v>6</v>
      </c>
      <c r="AK13" s="20" t="s">
        <v>6</v>
      </c>
      <c r="AL13" s="19"/>
      <c r="AM13" s="19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31</v>
      </c>
      <c r="Z14" s="3" t="s">
        <v>27</v>
      </c>
      <c r="AA14" s="3" t="s">
        <v>19</v>
      </c>
      <c r="AB14" s="3" t="s">
        <v>1</v>
      </c>
      <c r="AC14" s="3"/>
      <c r="AD14" s="3"/>
      <c r="AG14" s="3" t="s">
        <v>6</v>
      </c>
      <c r="AH14" s="3" t="s">
        <v>6</v>
      </c>
      <c r="AI14" s="20" t="s">
        <v>31</v>
      </c>
      <c r="AJ14" s="20" t="s">
        <v>27</v>
      </c>
      <c r="AK14" s="20" t="s">
        <v>19</v>
      </c>
      <c r="AL14" s="20" t="s">
        <v>6</v>
      </c>
      <c r="AM14" s="20"/>
      <c r="AN14" s="83" t="s">
        <v>592</v>
      </c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22</v>
      </c>
      <c r="Z15" s="3" t="s">
        <v>22</v>
      </c>
      <c r="AA15" s="3" t="s">
        <v>15</v>
      </c>
      <c r="AB15" s="3" t="s">
        <v>5</v>
      </c>
      <c r="AC15" s="3"/>
      <c r="AD15" s="3"/>
      <c r="AG15" s="25" t="s">
        <v>52</v>
      </c>
      <c r="AH15" s="3" t="s">
        <v>53</v>
      </c>
      <c r="AI15" s="20" t="s">
        <v>22</v>
      </c>
      <c r="AJ15" s="20" t="s">
        <v>22</v>
      </c>
      <c r="AK15" s="20" t="s">
        <v>15</v>
      </c>
      <c r="AL15" s="20" t="s">
        <v>5</v>
      </c>
      <c r="AM15" s="86" t="s">
        <v>69</v>
      </c>
      <c r="AN15" s="85" t="s">
        <v>593</v>
      </c>
      <c r="AO15" s="3"/>
      <c r="AQ15" s="85"/>
      <c r="AR15" s="85"/>
      <c r="AS15" s="85"/>
    </row>
    <row r="16" spans="1:45" ht="13" x14ac:dyDescent="0.3">
      <c r="A16" s="3" t="s">
        <v>23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3</v>
      </c>
      <c r="Z16" s="3" t="s">
        <v>3</v>
      </c>
      <c r="AA16" s="3" t="s">
        <v>3</v>
      </c>
      <c r="AB16" s="3" t="s">
        <v>4</v>
      </c>
      <c r="AC16" s="3"/>
      <c r="AD16" s="3"/>
      <c r="AG16" s="25" t="s">
        <v>3</v>
      </c>
      <c r="AH16" s="3" t="s">
        <v>3</v>
      </c>
      <c r="AI16" s="20" t="s">
        <v>3</v>
      </c>
      <c r="AJ16" s="20" t="s">
        <v>3</v>
      </c>
      <c r="AK16" s="20" t="s">
        <v>3</v>
      </c>
      <c r="AL16" s="20" t="s">
        <v>4</v>
      </c>
      <c r="AM16" s="386" t="s">
        <v>471</v>
      </c>
      <c r="AN16" s="348" t="s">
        <v>439</v>
      </c>
      <c r="AO16" s="3"/>
      <c r="AQ16" s="85"/>
      <c r="AR16" s="85"/>
      <c r="AS16" s="85"/>
    </row>
    <row r="17" spans="1:45" ht="13" x14ac:dyDescent="0.3">
      <c r="A17" s="206"/>
      <c r="B17" s="10"/>
      <c r="C17" s="206"/>
      <c r="D17" s="10"/>
      <c r="E17" s="206"/>
      <c r="F17" s="206"/>
      <c r="G17" s="206"/>
      <c r="H17" s="206"/>
      <c r="I17" s="85"/>
      <c r="J17" s="206" t="s">
        <v>66</v>
      </c>
      <c r="K17" s="57" t="s">
        <v>67</v>
      </c>
      <c r="L17" s="207"/>
      <c r="M17" s="207"/>
      <c r="N17" s="208"/>
      <c r="O17" s="206" t="s">
        <v>66</v>
      </c>
      <c r="P17" s="206" t="s">
        <v>66</v>
      </c>
      <c r="Q17" s="57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+INPUT!$L$6</f>
        <v>2.6579999999999999E-2</v>
      </c>
      <c r="Y17" s="41">
        <f>+INPUT!$L$13</f>
        <v>8.7899999999999991</v>
      </c>
      <c r="Z17" s="41">
        <f>+INPUT!$L$14</f>
        <v>7.07</v>
      </c>
      <c r="AA17" s="41">
        <f>+INPUT!$L$15</f>
        <v>1.75</v>
      </c>
      <c r="AB17" s="3"/>
      <c r="AC17" s="3"/>
      <c r="AD17" s="40"/>
      <c r="AG17" s="25"/>
      <c r="AH17" s="40">
        <f>+INPUT!$L$34</f>
        <v>3.2099999999999997E-2</v>
      </c>
      <c r="AI17" s="41">
        <f>+INPUT!$L$41</f>
        <v>8.25</v>
      </c>
      <c r="AJ17" s="41">
        <f>+INPUT!$L$42</f>
        <v>6.64</v>
      </c>
      <c r="AK17" s="41">
        <f>+INPUT!$L$43</f>
        <v>3.25</v>
      </c>
      <c r="AL17" s="20"/>
      <c r="AM17" s="86">
        <f>INPUT!K72</f>
        <v>1.2046292906065266E-4</v>
      </c>
      <c r="AN17" s="86">
        <f>INPUT!L52</f>
        <v>-6.8000000000000005E-4</v>
      </c>
      <c r="AO17" s="40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49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" t="s">
        <v>55</v>
      </c>
      <c r="Z18" s="3" t="s">
        <v>55</v>
      </c>
      <c r="AA18" s="3" t="s">
        <v>55</v>
      </c>
      <c r="AB18" s="3"/>
      <c r="AC18" s="3"/>
      <c r="AD18" s="3"/>
      <c r="AG18" s="25"/>
      <c r="AH18" s="3" t="s">
        <v>11</v>
      </c>
      <c r="AI18" s="3" t="s">
        <v>55</v>
      </c>
      <c r="AJ18" s="3" t="s">
        <v>55</v>
      </c>
      <c r="AK18" s="3" t="s">
        <v>55</v>
      </c>
      <c r="AL18" s="20"/>
      <c r="AM18" s="86" t="s">
        <v>11</v>
      </c>
      <c r="AN18" s="86" t="s">
        <v>11</v>
      </c>
      <c r="AO18" s="3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20"/>
      <c r="AL19" s="20"/>
      <c r="AM19" s="85"/>
      <c r="AN19" s="85"/>
      <c r="AQ19" s="85"/>
      <c r="AR19" s="85"/>
      <c r="AS19" s="85"/>
    </row>
    <row r="20" spans="1:45" x14ac:dyDescent="0.25">
      <c r="A20" s="131">
        <v>250</v>
      </c>
      <c r="B20" s="1"/>
      <c r="C20" s="13">
        <v>0.3</v>
      </c>
      <c r="E20" s="1">
        <f>C20*($A$20*730)</f>
        <v>54750</v>
      </c>
      <c r="F20" s="1"/>
      <c r="G20" s="28">
        <f>+AB20</f>
        <v>5153.2954401006064</v>
      </c>
      <c r="H20" s="28">
        <f>+AL20</f>
        <v>5665.8846976342056</v>
      </c>
      <c r="I20" s="28">
        <f>AM20</f>
        <v>6.5953453660707329</v>
      </c>
      <c r="J20" s="90">
        <f>+H20-(I20+G20)</f>
        <v>505.99391216752883</v>
      </c>
      <c r="K20" s="54">
        <f>ROUND(+J20/G20,4)</f>
        <v>9.8199999999999996E-2</v>
      </c>
      <c r="L20" s="28">
        <f>ROUND($Y$10*$E20,2)</f>
        <v>-76.25</v>
      </c>
      <c r="M20" s="28">
        <f>ROUND($Y$11*$E20,2)</f>
        <v>6.64</v>
      </c>
      <c r="N20" s="28">
        <f>ROUND($Y$12*$E20,2)</f>
        <v>49.89</v>
      </c>
      <c r="O20" s="28">
        <f>+G20+I20+L20+M20+N20</f>
        <v>5140.1707854666774</v>
      </c>
      <c r="P20" s="28">
        <f>+H20+L20+M20+N20</f>
        <v>5646.1646976342063</v>
      </c>
      <c r="Q20" s="54">
        <f>ROUND((P20-O20)/O20,4)</f>
        <v>9.8400000000000001E-2</v>
      </c>
      <c r="R20" s="28">
        <f>AN20</f>
        <v>-37.230000000000004</v>
      </c>
      <c r="S20" s="90">
        <f>P20+R20</f>
        <v>5608.9346976342067</v>
      </c>
      <c r="T20" s="91">
        <f>ROUND((S20-O20)/O20,4)</f>
        <v>9.1200000000000003E-2</v>
      </c>
      <c r="U20" s="1"/>
      <c r="W20" s="7">
        <f>+INPUT!$L$4</f>
        <v>200.27874999999997</v>
      </c>
      <c r="X20" s="19">
        <f>$X$17*E20</f>
        <v>1455.2549999999999</v>
      </c>
      <c r="Y20" s="19">
        <f>$Y$17*$A$20*INPUT!$E$92</f>
        <v>1677.1908293686404</v>
      </c>
      <c r="Z20" s="19">
        <f>$Z$17*$A$20*INPUT!$F$92</f>
        <v>1383.0708607319657</v>
      </c>
      <c r="AA20" s="19">
        <f>$AA$17*$A$20</f>
        <v>437.5</v>
      </c>
      <c r="AB20" s="24">
        <f>W20+X20+Y20+Z20+AA20</f>
        <v>5153.2954401006064</v>
      </c>
      <c r="AC20" s="24"/>
      <c r="AD20" s="19"/>
      <c r="AG20" s="7">
        <f>INPUT!$L$32</f>
        <v>222.80250000000001</v>
      </c>
      <c r="AH20" s="19">
        <f>$AH$17*E20</f>
        <v>1757.4749999999999</v>
      </c>
      <c r="AI20" s="19">
        <f>$A$20*$AI$17*INPUT!$E$92</f>
        <v>1574.1552152777342</v>
      </c>
      <c r="AJ20" s="19">
        <f>$A$20*$AJ$17*INPUT!$F$92</f>
        <v>1298.9519823564713</v>
      </c>
      <c r="AK20" s="19">
        <f>$A$20*$AK$17</f>
        <v>812.5</v>
      </c>
      <c r="AL20" s="24">
        <f>AG20+AH20+AI20+AJ20+AK20</f>
        <v>5665.8846976342056</v>
      </c>
      <c r="AM20" s="84">
        <f>$AM$17*E20</f>
        <v>6.5953453660707329</v>
      </c>
      <c r="AN20" s="84">
        <f>$AN$17*E20</f>
        <v>-37.230000000000004</v>
      </c>
      <c r="AO20" s="19"/>
      <c r="AP20" s="17"/>
      <c r="AQ20" s="38"/>
      <c r="AR20" s="17"/>
      <c r="AS20" s="394"/>
    </row>
    <row r="21" spans="1:45" x14ac:dyDescent="0.25">
      <c r="A21" s="5"/>
      <c r="C21" s="13">
        <v>0.5</v>
      </c>
      <c r="E21" s="1">
        <f>C21*($A$20*730)</f>
        <v>91250</v>
      </c>
      <c r="F21" s="1"/>
      <c r="G21" s="28">
        <f t="shared" ref="G21:G38" si="0">+AB21</f>
        <v>6123.4654401006055</v>
      </c>
      <c r="H21" s="28">
        <f>+AL21</f>
        <v>6837.5346976342053</v>
      </c>
      <c r="I21" s="28">
        <f t="shared" ref="I21:I38" si="1">AM21</f>
        <v>10.992242276784555</v>
      </c>
      <c r="J21" s="90">
        <f t="shared" ref="J21:J37" si="2">+H21-(I21+G21)</f>
        <v>703.07701525681478</v>
      </c>
      <c r="K21" s="54">
        <f>ROUND(+J21/G21,4)</f>
        <v>0.1148</v>
      </c>
      <c r="L21" s="28">
        <f>ROUND($Y$10*$E21,2)</f>
        <v>-127.09</v>
      </c>
      <c r="M21" s="28">
        <f>ROUND($Y$11*$E21,2)</f>
        <v>11.07</v>
      </c>
      <c r="N21" s="28">
        <f>ROUND($Y$12*$E21,2)</f>
        <v>83.15</v>
      </c>
      <c r="O21" s="28">
        <f t="shared" ref="O21:O37" si="3">+G21+I21+L21+M21+N21</f>
        <v>6101.5876823773897</v>
      </c>
      <c r="P21" s="28">
        <f>+H21+L21+M21+N21</f>
        <v>6804.6646976342045</v>
      </c>
      <c r="Q21" s="54">
        <f>ROUND((P21-O21)/O21,4)</f>
        <v>0.1152</v>
      </c>
      <c r="R21" s="28">
        <f t="shared" ref="R21:R38" si="4">AN21</f>
        <v>-62.050000000000004</v>
      </c>
      <c r="S21" s="90">
        <f t="shared" ref="S21:S38" si="5">P21+R21</f>
        <v>6742.6146976342043</v>
      </c>
      <c r="T21" s="91">
        <f t="shared" ref="T21:T38" si="6">ROUND((S21-O21)/O21,4)</f>
        <v>0.1051</v>
      </c>
      <c r="U21" s="1"/>
      <c r="W21" s="7">
        <f>$W$20</f>
        <v>200.27874999999997</v>
      </c>
      <c r="X21" s="19">
        <f>$X$17*E21</f>
        <v>2425.4249999999997</v>
      </c>
      <c r="Y21" s="19">
        <f>$Y$17*$A$20*INPUT!$E$92</f>
        <v>1677.1908293686404</v>
      </c>
      <c r="Z21" s="19">
        <f>$Z$17*$A$20*INPUT!$F$92</f>
        <v>1383.0708607319657</v>
      </c>
      <c r="AA21" s="19">
        <f t="shared" ref="AA21:AA22" si="7">$AA$17*$A$20</f>
        <v>437.5</v>
      </c>
      <c r="AB21" s="24">
        <f>W21+X21+Y21+Z21+AA21</f>
        <v>6123.4654401006055</v>
      </c>
      <c r="AC21" s="24"/>
      <c r="AD21" s="19"/>
      <c r="AG21" s="7">
        <f>$AG$20</f>
        <v>222.80250000000001</v>
      </c>
      <c r="AH21" s="19">
        <f>$AH$17*E21</f>
        <v>2929.1249999999995</v>
      </c>
      <c r="AI21" s="19">
        <f>$A$20*$AI$17*INPUT!$E$92</f>
        <v>1574.1552152777342</v>
      </c>
      <c r="AJ21" s="19">
        <f>$A$20*$AJ$17*INPUT!$F$92</f>
        <v>1298.9519823564713</v>
      </c>
      <c r="AK21" s="19">
        <f>$A$20*$AK$17</f>
        <v>812.5</v>
      </c>
      <c r="AL21" s="24">
        <f>AG21+AH21+AI21+AJ21+AK21</f>
        <v>6837.5346976342053</v>
      </c>
      <c r="AM21" s="84">
        <f t="shared" ref="AM21:AM37" si="8">$AM$17*E21</f>
        <v>10.992242276784555</v>
      </c>
      <c r="AN21" s="84">
        <f t="shared" ref="AN21:AN37" si="9">$AN$17*E21</f>
        <v>-62.050000000000004</v>
      </c>
      <c r="AO21" s="19"/>
      <c r="AP21" s="17"/>
      <c r="AQ21" s="38"/>
      <c r="AR21" s="17"/>
      <c r="AS21" s="394"/>
    </row>
    <row r="22" spans="1:45" x14ac:dyDescent="0.25">
      <c r="A22" s="5"/>
      <c r="C22" s="13">
        <v>0.7</v>
      </c>
      <c r="E22" s="1">
        <f>C22*($A$20*730)</f>
        <v>127749.99999999999</v>
      </c>
      <c r="F22" s="1"/>
      <c r="G22" s="28">
        <f t="shared" si="0"/>
        <v>7093.6354401006056</v>
      </c>
      <c r="H22" s="28">
        <f>+AL22</f>
        <v>8009.184697634204</v>
      </c>
      <c r="I22" s="28">
        <f t="shared" si="1"/>
        <v>15.389139187498374</v>
      </c>
      <c r="J22" s="90">
        <f t="shared" si="2"/>
        <v>900.16011834609981</v>
      </c>
      <c r="K22" s="54">
        <f>ROUND(+J22/G22,4)</f>
        <v>0.12690000000000001</v>
      </c>
      <c r="L22" s="28">
        <f>ROUND($Y$10*$E22,2)</f>
        <v>-177.93</v>
      </c>
      <c r="M22" s="28">
        <f>ROUND($Y$11*$E22,2)</f>
        <v>15.5</v>
      </c>
      <c r="N22" s="28">
        <f>ROUND($Y$12*$E22,2)</f>
        <v>116.41</v>
      </c>
      <c r="O22" s="28">
        <f t="shared" si="3"/>
        <v>7063.0045792881037</v>
      </c>
      <c r="P22" s="28">
        <f>+H22+L22+M22+N22</f>
        <v>7963.1646976342035</v>
      </c>
      <c r="Q22" s="54">
        <f>ROUND((P22-O22)/O22,4)</f>
        <v>0.12740000000000001</v>
      </c>
      <c r="R22" s="28">
        <f t="shared" si="4"/>
        <v>-86.86999999999999</v>
      </c>
      <c r="S22" s="90">
        <f t="shared" si="5"/>
        <v>7876.2946976342037</v>
      </c>
      <c r="T22" s="91">
        <f t="shared" si="6"/>
        <v>0.11509999999999999</v>
      </c>
      <c r="U22" s="1"/>
      <c r="W22" s="7">
        <f>$W$20</f>
        <v>200.27874999999997</v>
      </c>
      <c r="X22" s="19">
        <f>$X$17*E22</f>
        <v>3395.5949999999993</v>
      </c>
      <c r="Y22" s="19">
        <f>$Y$17*$A$20*INPUT!$E$92</f>
        <v>1677.1908293686404</v>
      </c>
      <c r="Z22" s="19">
        <f>$Z$17*$A$20*INPUT!$F$92</f>
        <v>1383.0708607319657</v>
      </c>
      <c r="AA22" s="19">
        <f t="shared" si="7"/>
        <v>437.5</v>
      </c>
      <c r="AB22" s="24">
        <f>W22+X22+Y22+Z22+AA22</f>
        <v>7093.6354401006056</v>
      </c>
      <c r="AC22" s="24"/>
      <c r="AD22" s="19"/>
      <c r="AG22" s="7">
        <f>$AG$20</f>
        <v>222.80250000000001</v>
      </c>
      <c r="AH22" s="19">
        <f>$AH$17*E22</f>
        <v>4100.7749999999987</v>
      </c>
      <c r="AI22" s="19">
        <f>$A$20*$AI$17*INPUT!$E$92</f>
        <v>1574.1552152777342</v>
      </c>
      <c r="AJ22" s="19">
        <f>$A$20*$AJ$17*INPUT!$F$92</f>
        <v>1298.9519823564713</v>
      </c>
      <c r="AK22" s="19">
        <f>$A$20*$AK$17</f>
        <v>812.5</v>
      </c>
      <c r="AL22" s="24">
        <f>AG22+AH22+AI22+AJ22+AK22</f>
        <v>8009.184697634204</v>
      </c>
      <c r="AM22" s="84">
        <f t="shared" si="8"/>
        <v>15.389139187498374</v>
      </c>
      <c r="AN22" s="84">
        <f t="shared" si="9"/>
        <v>-86.86999999999999</v>
      </c>
      <c r="AO22" s="19"/>
      <c r="AP22" s="17"/>
      <c r="AQ22" s="38"/>
      <c r="AR22" s="17"/>
      <c r="AS22" s="394"/>
    </row>
    <row r="23" spans="1:45" x14ac:dyDescent="0.25">
      <c r="A23" s="5"/>
      <c r="C23" s="13"/>
      <c r="E23" s="1"/>
      <c r="F23" s="1"/>
      <c r="G23" s="1"/>
      <c r="H23" s="1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19"/>
      <c r="AB23" s="24"/>
      <c r="AC23" s="24"/>
      <c r="AG23" s="7"/>
      <c r="AH23" s="19"/>
      <c r="AI23" s="19"/>
      <c r="AJ23" s="19"/>
      <c r="AK23" s="19"/>
      <c r="AL23" s="24"/>
      <c r="AM23" s="84"/>
      <c r="AN23" s="84"/>
      <c r="AP23" s="17"/>
      <c r="AQ23" s="84"/>
      <c r="AR23" s="17"/>
      <c r="AS23" s="84"/>
    </row>
    <row r="24" spans="1:45" x14ac:dyDescent="0.25">
      <c r="A24" s="131">
        <v>500</v>
      </c>
      <c r="B24" s="1"/>
      <c r="C24" s="13">
        <v>0.3</v>
      </c>
      <c r="E24" s="1">
        <f>C24*($A$24*730)</f>
        <v>109500</v>
      </c>
      <c r="F24" s="1"/>
      <c r="G24" s="28">
        <f t="shared" si="0"/>
        <v>10106.312130201211</v>
      </c>
      <c r="H24" s="28">
        <f>+AL24</f>
        <v>11108.966895268411</v>
      </c>
      <c r="I24" s="28">
        <f t="shared" si="1"/>
        <v>13.190690732141466</v>
      </c>
      <c r="J24" s="90">
        <f t="shared" si="2"/>
        <v>989.46407433505919</v>
      </c>
      <c r="K24" s="54">
        <f>ROUND(+J24/G24,4)</f>
        <v>9.7900000000000001E-2</v>
      </c>
      <c r="L24" s="28">
        <f>ROUND($Y$10*$E24,2)</f>
        <v>-152.51</v>
      </c>
      <c r="M24" s="28">
        <f>ROUND($Y$11*$E24,2)</f>
        <v>13.28</v>
      </c>
      <c r="N24" s="28">
        <f>ROUND($Y$12*$E24,2)</f>
        <v>99.78</v>
      </c>
      <c r="O24" s="28">
        <f t="shared" si="3"/>
        <v>10080.052820933353</v>
      </c>
      <c r="P24" s="28">
        <f>+H24+L24+M24+N24</f>
        <v>11069.516895268413</v>
      </c>
      <c r="Q24" s="54">
        <f>ROUND((P24-O24)/O24,4)</f>
        <v>9.8199999999999996E-2</v>
      </c>
      <c r="R24" s="28">
        <f t="shared" si="4"/>
        <v>-74.460000000000008</v>
      </c>
      <c r="S24" s="90">
        <f t="shared" si="5"/>
        <v>10995.056895268413</v>
      </c>
      <c r="T24" s="91">
        <f t="shared" si="6"/>
        <v>9.0800000000000006E-2</v>
      </c>
      <c r="U24" s="1"/>
      <c r="W24" s="7">
        <f>$W$20</f>
        <v>200.27874999999997</v>
      </c>
      <c r="X24" s="19">
        <f>$X$17*E24</f>
        <v>2910.5099999999998</v>
      </c>
      <c r="Y24" s="19">
        <f>$Y$17*$A$24*INPUT!$E$92</f>
        <v>3354.3816587372808</v>
      </c>
      <c r="Z24" s="19">
        <f>$Z$17*$A$24*INPUT!$F$92</f>
        <v>2766.1417214639314</v>
      </c>
      <c r="AA24" s="19">
        <f>$AA$17*$A$24</f>
        <v>875</v>
      </c>
      <c r="AB24" s="24">
        <f>W24+X24+Y24+Z24+AA24</f>
        <v>10106.312130201211</v>
      </c>
      <c r="AC24" s="24"/>
      <c r="AD24" s="19"/>
      <c r="AG24" s="7">
        <f>$AG$20</f>
        <v>222.80250000000001</v>
      </c>
      <c r="AH24" s="19">
        <f>$AH$17*E24</f>
        <v>3514.95</v>
      </c>
      <c r="AI24" s="19">
        <f>$A$24*$AI$17*INPUT!$E$92</f>
        <v>3148.3104305554684</v>
      </c>
      <c r="AJ24" s="19">
        <f>$A$24*$AJ$17*INPUT!$F$92</f>
        <v>2597.9039647129425</v>
      </c>
      <c r="AK24" s="19">
        <f>$A$24*$AK$17</f>
        <v>1625</v>
      </c>
      <c r="AL24" s="24">
        <f>AG24+AH24+AI24+AJ24+AK24</f>
        <v>11108.966895268411</v>
      </c>
      <c r="AM24" s="84">
        <f t="shared" si="8"/>
        <v>13.190690732141466</v>
      </c>
      <c r="AN24" s="84">
        <f t="shared" si="9"/>
        <v>-74.460000000000008</v>
      </c>
      <c r="AO24" s="19"/>
      <c r="AP24" s="17"/>
      <c r="AQ24" s="38"/>
      <c r="AR24" s="144"/>
      <c r="AS24" s="394"/>
    </row>
    <row r="25" spans="1:45" x14ac:dyDescent="0.25">
      <c r="A25" s="5"/>
      <c r="C25" s="13">
        <v>0.5</v>
      </c>
      <c r="E25" s="1">
        <f>C25*($A$24*730)</f>
        <v>182500</v>
      </c>
      <c r="F25" s="1"/>
      <c r="G25" s="28">
        <f t="shared" si="0"/>
        <v>12046.652130201212</v>
      </c>
      <c r="H25" s="28">
        <f>+AL25</f>
        <v>13452.266895268411</v>
      </c>
      <c r="I25" s="28">
        <f t="shared" si="1"/>
        <v>21.984484553569111</v>
      </c>
      <c r="J25" s="90">
        <f t="shared" si="2"/>
        <v>1383.6302805136293</v>
      </c>
      <c r="K25" s="54">
        <f>ROUND(+J25/G25,4)</f>
        <v>0.1149</v>
      </c>
      <c r="L25" s="28">
        <f>ROUND($Y$10*$E25,2)</f>
        <v>-254.18</v>
      </c>
      <c r="M25" s="28">
        <f>ROUND($Y$11*$E25,2)</f>
        <v>22.14</v>
      </c>
      <c r="N25" s="28">
        <f>ROUND($Y$12*$E25,2)</f>
        <v>166.3</v>
      </c>
      <c r="O25" s="28">
        <f t="shared" si="3"/>
        <v>12002.89661475478</v>
      </c>
      <c r="P25" s="28">
        <f>+H25+L25+M25+N25</f>
        <v>13386.526895268409</v>
      </c>
      <c r="Q25" s="54">
        <f>ROUND((P25-O25)/O25,4)</f>
        <v>0.1153</v>
      </c>
      <c r="R25" s="28">
        <f t="shared" si="4"/>
        <v>-124.10000000000001</v>
      </c>
      <c r="S25" s="90">
        <f t="shared" si="5"/>
        <v>13262.426895268409</v>
      </c>
      <c r="T25" s="91">
        <f t="shared" si="6"/>
        <v>0.10489999999999999</v>
      </c>
      <c r="U25" s="1"/>
      <c r="W25" s="7">
        <f>$W$20</f>
        <v>200.27874999999997</v>
      </c>
      <c r="X25" s="19">
        <f>$X$17*E25</f>
        <v>4850.8499999999995</v>
      </c>
      <c r="Y25" s="19">
        <f>$Y$17*$A$24*INPUT!$E$92</f>
        <v>3354.3816587372808</v>
      </c>
      <c r="Z25" s="19">
        <f>$Z$17*$A$24*INPUT!$F$92</f>
        <v>2766.1417214639314</v>
      </c>
      <c r="AA25" s="19">
        <f t="shared" ref="AA25:AA26" si="10">$AA$17*$A$24</f>
        <v>875</v>
      </c>
      <c r="AB25" s="24">
        <f>W25+X25+Y25+Z25+AA25</f>
        <v>12046.652130201212</v>
      </c>
      <c r="AC25" s="24"/>
      <c r="AD25" s="19"/>
      <c r="AG25" s="7">
        <f>$AG$20</f>
        <v>222.80250000000001</v>
      </c>
      <c r="AH25" s="19">
        <f>$AH$17*E25</f>
        <v>5858.2499999999991</v>
      </c>
      <c r="AI25" s="19">
        <f>$A$24*$AI$17*INPUT!$E$92</f>
        <v>3148.3104305554684</v>
      </c>
      <c r="AJ25" s="19">
        <f>$A$24*$AJ$17*INPUT!$F$92</f>
        <v>2597.9039647129425</v>
      </c>
      <c r="AK25" s="19">
        <f>$A$24*$AK$17</f>
        <v>1625</v>
      </c>
      <c r="AL25" s="24">
        <f>AG25+AH25+AI25+AJ25+AK25</f>
        <v>13452.266895268411</v>
      </c>
      <c r="AM25" s="84">
        <f t="shared" si="8"/>
        <v>21.984484553569111</v>
      </c>
      <c r="AN25" s="84">
        <f t="shared" si="9"/>
        <v>-124.10000000000001</v>
      </c>
      <c r="AO25" s="19"/>
      <c r="AP25" s="17"/>
      <c r="AQ25" s="38"/>
      <c r="AR25" s="144"/>
      <c r="AS25" s="394"/>
    </row>
    <row r="26" spans="1:45" x14ac:dyDescent="0.25">
      <c r="A26" s="5"/>
      <c r="C26" s="13">
        <v>0.7</v>
      </c>
      <c r="E26" s="1">
        <f>C26*($A$24*730)</f>
        <v>255499.99999999997</v>
      </c>
      <c r="F26" s="1"/>
      <c r="G26" s="28">
        <f t="shared" si="0"/>
        <v>13986.992130201212</v>
      </c>
      <c r="H26" s="28">
        <f>+AL26</f>
        <v>15795.566895268408</v>
      </c>
      <c r="I26" s="28">
        <f t="shared" si="1"/>
        <v>30.778278374996749</v>
      </c>
      <c r="J26" s="90">
        <f t="shared" si="2"/>
        <v>1777.7964866921993</v>
      </c>
      <c r="K26" s="54">
        <f>ROUND(+J26/G26,4)</f>
        <v>0.12709999999999999</v>
      </c>
      <c r="L26" s="28">
        <f>ROUND($Y$10*$E26,2)</f>
        <v>-355.86</v>
      </c>
      <c r="M26" s="28">
        <f>ROUND($Y$11*$E26,2)</f>
        <v>31</v>
      </c>
      <c r="N26" s="28">
        <f>ROUND($Y$12*$E26,2)</f>
        <v>232.82</v>
      </c>
      <c r="O26" s="28">
        <f t="shared" si="3"/>
        <v>13925.730408576208</v>
      </c>
      <c r="P26" s="28">
        <f>+H26+L26+M26+N26</f>
        <v>15703.526895268407</v>
      </c>
      <c r="Q26" s="54">
        <f>ROUND((P26-O26)/O26,4)</f>
        <v>0.12770000000000001</v>
      </c>
      <c r="R26" s="28">
        <f t="shared" si="4"/>
        <v>-173.73999999999998</v>
      </c>
      <c r="S26" s="90">
        <f t="shared" si="5"/>
        <v>15529.786895268408</v>
      </c>
      <c r="T26" s="91">
        <f t="shared" si="6"/>
        <v>0.1152</v>
      </c>
      <c r="U26" s="1"/>
      <c r="W26" s="7">
        <f>$W$20</f>
        <v>200.27874999999997</v>
      </c>
      <c r="X26" s="19">
        <f>$X$17*E26</f>
        <v>6791.1899999999987</v>
      </c>
      <c r="Y26" s="19">
        <f>$Y$17*$A$24*INPUT!$E$92</f>
        <v>3354.3816587372808</v>
      </c>
      <c r="Z26" s="19">
        <f>$Z$17*$A$24*INPUT!$F$92</f>
        <v>2766.1417214639314</v>
      </c>
      <c r="AA26" s="19">
        <f t="shared" si="10"/>
        <v>875</v>
      </c>
      <c r="AB26" s="24">
        <f>W26+X26+Y26+Z26+AA26</f>
        <v>13986.992130201212</v>
      </c>
      <c r="AC26" s="24"/>
      <c r="AD26" s="19"/>
      <c r="AG26" s="7">
        <f>$AG$20</f>
        <v>222.80250000000001</v>
      </c>
      <c r="AH26" s="19">
        <f>$AH$17*E26</f>
        <v>8201.5499999999975</v>
      </c>
      <c r="AI26" s="19">
        <f>$A$24*$AI$17*INPUT!$E$92</f>
        <v>3148.3104305554684</v>
      </c>
      <c r="AJ26" s="19">
        <f>$A$24*$AJ$17*INPUT!$F$92</f>
        <v>2597.9039647129425</v>
      </c>
      <c r="AK26" s="19">
        <f>$A$24*$AK$17</f>
        <v>1625</v>
      </c>
      <c r="AL26" s="24">
        <f>AG26+AH26+AI26+AJ26+AK26</f>
        <v>15795.566895268408</v>
      </c>
      <c r="AM26" s="84">
        <f t="shared" si="8"/>
        <v>30.778278374996749</v>
      </c>
      <c r="AN26" s="84">
        <f t="shared" si="9"/>
        <v>-173.73999999999998</v>
      </c>
      <c r="AO26" s="19"/>
      <c r="AP26" s="17"/>
      <c r="AQ26" s="38"/>
      <c r="AR26" s="17"/>
      <c r="AS26" s="394"/>
    </row>
    <row r="27" spans="1:45" x14ac:dyDescent="0.25">
      <c r="A27" s="5"/>
      <c r="C27" s="13"/>
      <c r="E27" s="1"/>
      <c r="F27" s="1"/>
      <c r="G27" s="1"/>
      <c r="H27" s="1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19"/>
      <c r="AB27" s="24"/>
      <c r="AC27" s="24"/>
      <c r="AG27" s="7"/>
      <c r="AH27" s="19"/>
      <c r="AI27" s="19"/>
      <c r="AJ27" s="19"/>
      <c r="AK27" s="19"/>
      <c r="AL27" s="24"/>
      <c r="AM27" s="84"/>
      <c r="AN27" s="84"/>
      <c r="AP27" s="17"/>
      <c r="AQ27" s="84"/>
      <c r="AR27" s="17"/>
      <c r="AS27" s="84"/>
    </row>
    <row r="28" spans="1:45" x14ac:dyDescent="0.25">
      <c r="A28" s="131">
        <v>1000</v>
      </c>
      <c r="B28" s="1"/>
      <c r="C28" s="13">
        <v>0.3</v>
      </c>
      <c r="E28" s="1">
        <f>C28*($A$28*730)</f>
        <v>219000</v>
      </c>
      <c r="F28" s="1"/>
      <c r="G28" s="28">
        <f t="shared" si="0"/>
        <v>20012.345510402425</v>
      </c>
      <c r="H28" s="28">
        <f>+AL28</f>
        <v>21995.131290536821</v>
      </c>
      <c r="I28" s="28">
        <f t="shared" si="1"/>
        <v>26.381381464282931</v>
      </c>
      <c r="J28" s="90">
        <f t="shared" si="2"/>
        <v>1956.4043986701145</v>
      </c>
      <c r="K28" s="54">
        <f>ROUND(+J28/G28,4)</f>
        <v>9.7799999999999998E-2</v>
      </c>
      <c r="L28" s="28">
        <f>ROUND($Y$10*$E28,2)</f>
        <v>-305.02</v>
      </c>
      <c r="M28" s="28">
        <f>ROUND($Y$11*$E28,2)</f>
        <v>26.57</v>
      </c>
      <c r="N28" s="28">
        <f>ROUND($Y$12*$E28,2)</f>
        <v>199.56</v>
      </c>
      <c r="O28" s="28">
        <f t="shared" si="3"/>
        <v>19959.836891866707</v>
      </c>
      <c r="P28" s="28">
        <f>+H28+L28+M28+N28</f>
        <v>21916.241290536822</v>
      </c>
      <c r="Q28" s="54">
        <f>ROUND((P28-O28)/O28,4)</f>
        <v>9.8000000000000004E-2</v>
      </c>
      <c r="R28" s="28">
        <f t="shared" si="4"/>
        <v>-148.92000000000002</v>
      </c>
      <c r="S28" s="90">
        <f t="shared" si="5"/>
        <v>21767.321290536824</v>
      </c>
      <c r="T28" s="91">
        <f t="shared" si="6"/>
        <v>9.06E-2</v>
      </c>
      <c r="U28" s="1"/>
      <c r="W28" s="7">
        <f>$W$20</f>
        <v>200.27874999999997</v>
      </c>
      <c r="X28" s="19">
        <f>$X$17*E28</f>
        <v>5821.0199999999995</v>
      </c>
      <c r="Y28" s="19">
        <f>$Y$17*$A$28*INPUT!$E$92</f>
        <v>6708.7633174745615</v>
      </c>
      <c r="Z28" s="19">
        <f>$Z$17*$A$28*INPUT!$F$92</f>
        <v>5532.2834429278628</v>
      </c>
      <c r="AA28" s="19">
        <f>$AA$17*$A$28</f>
        <v>1750</v>
      </c>
      <c r="AB28" s="24">
        <f>W28+X28+Y28+Z28+AA28</f>
        <v>20012.345510402425</v>
      </c>
      <c r="AC28" s="24"/>
      <c r="AD28" s="19"/>
      <c r="AG28" s="7">
        <f>$AG$20</f>
        <v>222.80250000000001</v>
      </c>
      <c r="AH28" s="19">
        <f>$AH$17*E28</f>
        <v>7029.9</v>
      </c>
      <c r="AI28" s="19">
        <f>$A$28*$AI$17*INPUT!$E$92</f>
        <v>6296.6208611109369</v>
      </c>
      <c r="AJ28" s="19">
        <f>$A$28*$AJ$17*INPUT!$F$92</f>
        <v>5195.807929425885</v>
      </c>
      <c r="AK28" s="19">
        <f>$A$28*$AK$17</f>
        <v>3250</v>
      </c>
      <c r="AL28" s="24">
        <f>AG28+AH28+AI28+AJ28+AK28</f>
        <v>21995.131290536821</v>
      </c>
      <c r="AM28" s="84">
        <f t="shared" si="8"/>
        <v>26.381381464282931</v>
      </c>
      <c r="AN28" s="84">
        <f t="shared" si="9"/>
        <v>-148.92000000000002</v>
      </c>
      <c r="AO28" s="19"/>
      <c r="AP28" s="17"/>
      <c r="AQ28" s="38"/>
      <c r="AR28" s="17"/>
      <c r="AS28" s="394"/>
    </row>
    <row r="29" spans="1:45" x14ac:dyDescent="0.25">
      <c r="A29" s="5"/>
      <c r="C29" s="13">
        <v>0.5</v>
      </c>
      <c r="E29" s="1">
        <f>C29*($A$28*730)</f>
        <v>365000</v>
      </c>
      <c r="F29" s="1"/>
      <c r="G29" s="28">
        <f t="shared" si="0"/>
        <v>23893.025510402422</v>
      </c>
      <c r="H29" s="28">
        <f>+AL29</f>
        <v>26681.73129053682</v>
      </c>
      <c r="I29" s="28">
        <f t="shared" si="1"/>
        <v>43.968969107138221</v>
      </c>
      <c r="J29" s="90">
        <f t="shared" si="2"/>
        <v>2744.7368110272582</v>
      </c>
      <c r="K29" s="54">
        <f>ROUND(+J29/G29,4)</f>
        <v>0.1149</v>
      </c>
      <c r="L29" s="28">
        <f>ROUND($Y$10*$E29,2)</f>
        <v>-508.37</v>
      </c>
      <c r="M29" s="28">
        <f>ROUND($Y$11*$E29,2)</f>
        <v>44.28</v>
      </c>
      <c r="N29" s="28">
        <f>ROUND($Y$12*$E29,2)</f>
        <v>332.6</v>
      </c>
      <c r="O29" s="28">
        <f t="shared" si="3"/>
        <v>23805.50447950956</v>
      </c>
      <c r="P29" s="28">
        <f>+H29+L29+M29+N29</f>
        <v>26550.241290536818</v>
      </c>
      <c r="Q29" s="54">
        <f>ROUND((P29-O29)/O29,4)</f>
        <v>0.1153</v>
      </c>
      <c r="R29" s="28">
        <f t="shared" si="4"/>
        <v>-248.20000000000002</v>
      </c>
      <c r="S29" s="90">
        <f t="shared" si="5"/>
        <v>26302.041290536818</v>
      </c>
      <c r="T29" s="91">
        <f t="shared" si="6"/>
        <v>0.10489999999999999</v>
      </c>
      <c r="U29" s="1"/>
      <c r="W29" s="7">
        <f>$W$20</f>
        <v>200.27874999999997</v>
      </c>
      <c r="X29" s="19">
        <f>$X$17*E29</f>
        <v>9701.6999999999989</v>
      </c>
      <c r="Y29" s="19">
        <f>$Y$17*$A$28*INPUT!$E$92</f>
        <v>6708.7633174745615</v>
      </c>
      <c r="Z29" s="19">
        <f>$Z$17*$A$28*INPUT!$F$92</f>
        <v>5532.2834429278628</v>
      </c>
      <c r="AA29" s="19">
        <f t="shared" ref="AA29:AA30" si="11">$AA$17*$A$28</f>
        <v>1750</v>
      </c>
      <c r="AB29" s="24">
        <f>W29+X29+Y29+Z29+AA29</f>
        <v>23893.025510402422</v>
      </c>
      <c r="AC29" s="24"/>
      <c r="AD29" s="19"/>
      <c r="AG29" s="7">
        <f>$AG$20</f>
        <v>222.80250000000001</v>
      </c>
      <c r="AH29" s="19">
        <f>$AH$17*E29</f>
        <v>11716.499999999998</v>
      </c>
      <c r="AI29" s="19">
        <f>$A$28*$AI$17*INPUT!$E$92</f>
        <v>6296.6208611109369</v>
      </c>
      <c r="AJ29" s="19">
        <f>$A$28*$AJ$17*INPUT!$F$92</f>
        <v>5195.807929425885</v>
      </c>
      <c r="AK29" s="19">
        <f>$A$28*$AK$17</f>
        <v>3250</v>
      </c>
      <c r="AL29" s="24">
        <f>AG29+AH29+AI29+AJ29+AK29</f>
        <v>26681.73129053682</v>
      </c>
      <c r="AM29" s="84">
        <f t="shared" si="8"/>
        <v>43.968969107138221</v>
      </c>
      <c r="AN29" s="84">
        <f t="shared" si="9"/>
        <v>-248.20000000000002</v>
      </c>
      <c r="AO29" s="19"/>
      <c r="AP29" s="17"/>
      <c r="AQ29" s="38"/>
      <c r="AR29" s="17"/>
      <c r="AS29" s="394"/>
    </row>
    <row r="30" spans="1:45" x14ac:dyDescent="0.25">
      <c r="A30" s="5"/>
      <c r="C30" s="13">
        <v>0.7</v>
      </c>
      <c r="E30" s="1">
        <f>C30*($A$28*730)</f>
        <v>510999.99999999994</v>
      </c>
      <c r="F30" s="1"/>
      <c r="G30" s="28">
        <f t="shared" si="0"/>
        <v>27773.705510402422</v>
      </c>
      <c r="H30" s="28">
        <f>+AL30</f>
        <v>31368.331290536818</v>
      </c>
      <c r="I30" s="28">
        <f t="shared" si="1"/>
        <v>61.556556749993497</v>
      </c>
      <c r="J30" s="90">
        <f t="shared" si="2"/>
        <v>3533.069223384402</v>
      </c>
      <c r="K30" s="54">
        <f>ROUND(+J30/G30,4)</f>
        <v>0.12720000000000001</v>
      </c>
      <c r="L30" s="28">
        <f>ROUND($Y$10*$E30,2)</f>
        <v>-711.71</v>
      </c>
      <c r="M30" s="28">
        <f>ROUND($Y$11*$E30,2)</f>
        <v>62</v>
      </c>
      <c r="N30" s="28">
        <f>ROUND($Y$12*$E30,2)</f>
        <v>465.64</v>
      </c>
      <c r="O30" s="28">
        <f t="shared" si="3"/>
        <v>27651.192067152417</v>
      </c>
      <c r="P30" s="28">
        <f>+H30+L30+M30+N30</f>
        <v>31184.261290536819</v>
      </c>
      <c r="Q30" s="54">
        <f>ROUND((P30-O30)/O30,4)</f>
        <v>0.1278</v>
      </c>
      <c r="R30" s="28">
        <f t="shared" si="4"/>
        <v>-347.47999999999996</v>
      </c>
      <c r="S30" s="90">
        <f t="shared" si="5"/>
        <v>30836.781290536819</v>
      </c>
      <c r="T30" s="91">
        <f t="shared" si="6"/>
        <v>0.1152</v>
      </c>
      <c r="U30" s="1"/>
      <c r="W30" s="7">
        <f>$W$20</f>
        <v>200.27874999999997</v>
      </c>
      <c r="X30" s="19">
        <f>$X$17*E30</f>
        <v>13582.379999999997</v>
      </c>
      <c r="Y30" s="19">
        <f>$Y$17*$A$28*INPUT!$E$92</f>
        <v>6708.7633174745615</v>
      </c>
      <c r="Z30" s="19">
        <f>$Z$17*$A$28*INPUT!$F$92</f>
        <v>5532.2834429278628</v>
      </c>
      <c r="AA30" s="19">
        <f t="shared" si="11"/>
        <v>1750</v>
      </c>
      <c r="AB30" s="24">
        <f>W30+X30+Y30+Z30+AA30</f>
        <v>27773.705510402422</v>
      </c>
      <c r="AC30" s="24"/>
      <c r="AD30" s="19"/>
      <c r="AG30" s="7">
        <f>$AG$20</f>
        <v>222.80250000000001</v>
      </c>
      <c r="AH30" s="19">
        <f>$AH$17*E30</f>
        <v>16403.099999999995</v>
      </c>
      <c r="AI30" s="19">
        <f>$A$28*$AI$17*INPUT!$E$92</f>
        <v>6296.6208611109369</v>
      </c>
      <c r="AJ30" s="19">
        <f>$A$28*$AJ$17*INPUT!$F$92</f>
        <v>5195.807929425885</v>
      </c>
      <c r="AK30" s="19">
        <f>$A$28*$AK$17</f>
        <v>3250</v>
      </c>
      <c r="AL30" s="24">
        <f>AG30+AH30+AI30+AJ30+AK30</f>
        <v>31368.331290536818</v>
      </c>
      <c r="AM30" s="84">
        <f t="shared" si="8"/>
        <v>61.556556749993497</v>
      </c>
      <c r="AN30" s="84">
        <f t="shared" si="9"/>
        <v>-347.47999999999996</v>
      </c>
      <c r="AO30" s="19"/>
      <c r="AP30" s="17"/>
      <c r="AQ30" s="38"/>
      <c r="AR30" s="17"/>
      <c r="AS30" s="394"/>
    </row>
    <row r="31" spans="1:45" x14ac:dyDescent="0.25">
      <c r="A31" s="5"/>
      <c r="C31" s="13"/>
      <c r="E31" s="1"/>
      <c r="F31" s="1"/>
      <c r="G31" s="1"/>
      <c r="H31" s="1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19"/>
      <c r="AB31" s="24"/>
      <c r="AC31" s="24"/>
      <c r="AG31" s="7"/>
      <c r="AH31" s="19"/>
      <c r="AI31" s="19"/>
      <c r="AJ31" s="19"/>
      <c r="AK31" s="19"/>
      <c r="AL31" s="24"/>
      <c r="AM31" s="84"/>
      <c r="AN31" s="84"/>
      <c r="AP31" s="17"/>
      <c r="AQ31" s="84"/>
      <c r="AR31" s="17"/>
      <c r="AS31" s="84"/>
    </row>
    <row r="32" spans="1:45" x14ac:dyDescent="0.25">
      <c r="A32" s="131">
        <v>2500</v>
      </c>
      <c r="B32" s="1"/>
      <c r="C32" s="13">
        <v>0.3</v>
      </c>
      <c r="E32" s="1">
        <f>C32*($A$32*730)</f>
        <v>547500</v>
      </c>
      <c r="F32" s="1"/>
      <c r="G32" s="28">
        <f t="shared" si="0"/>
        <v>49730.445651006055</v>
      </c>
      <c r="H32" s="28">
        <f>+AL32</f>
        <v>54653.624476342055</v>
      </c>
      <c r="I32" s="28">
        <f t="shared" si="1"/>
        <v>65.953453660707325</v>
      </c>
      <c r="J32" s="90">
        <f t="shared" si="2"/>
        <v>4857.2253716752894</v>
      </c>
      <c r="K32" s="54">
        <f>ROUND(+J32/G32,4)</f>
        <v>9.7699999999999995E-2</v>
      </c>
      <c r="L32" s="28">
        <f>ROUND($Y$10*$E32,2)</f>
        <v>-762.55</v>
      </c>
      <c r="M32" s="28">
        <f>ROUND($Y$11*$E32,2)</f>
        <v>66.42</v>
      </c>
      <c r="N32" s="28">
        <f>ROUND($Y$12*$E32,2)</f>
        <v>498.9</v>
      </c>
      <c r="O32" s="28">
        <f t="shared" si="3"/>
        <v>49599.169104666762</v>
      </c>
      <c r="P32" s="28">
        <f>+H32+L32+M32+N32</f>
        <v>54456.394476342051</v>
      </c>
      <c r="Q32" s="54">
        <f>ROUND((P32-O32)/O32,4)</f>
        <v>9.7900000000000001E-2</v>
      </c>
      <c r="R32" s="28">
        <f t="shared" si="4"/>
        <v>-372.3</v>
      </c>
      <c r="S32" s="90">
        <f t="shared" si="5"/>
        <v>54084.094476342048</v>
      </c>
      <c r="T32" s="91">
        <f t="shared" si="6"/>
        <v>9.0399999999999994E-2</v>
      </c>
      <c r="U32" s="1"/>
      <c r="W32" s="7">
        <f>$W$20</f>
        <v>200.27874999999997</v>
      </c>
      <c r="X32" s="19">
        <f>$X$17*E32</f>
        <v>14552.55</v>
      </c>
      <c r="Y32" s="19">
        <f>$Y$17*$A$32*INPUT!$E$92</f>
        <v>16771.908293686403</v>
      </c>
      <c r="Z32" s="19">
        <f>$Z$17*$A$32*INPUT!$F$92</f>
        <v>13830.708607319657</v>
      </c>
      <c r="AA32" s="19">
        <f>$AA$17*$A$32</f>
        <v>4375</v>
      </c>
      <c r="AB32" s="24">
        <f>W32+X32+Y32+Z32+AA32</f>
        <v>49730.445651006055</v>
      </c>
      <c r="AC32" s="24"/>
      <c r="AD32" s="19"/>
      <c r="AG32" s="7">
        <f>$AG$20</f>
        <v>222.80250000000001</v>
      </c>
      <c r="AH32" s="19">
        <f>$AH$17*E32</f>
        <v>17574.749999999996</v>
      </c>
      <c r="AI32" s="19">
        <f>$A$32*$AI$17*INPUT!$E$92</f>
        <v>15741.552152777342</v>
      </c>
      <c r="AJ32" s="19">
        <f>$A$32*$AJ$17*INPUT!$F$92</f>
        <v>12989.519823564713</v>
      </c>
      <c r="AK32" s="19">
        <f>$A$32*$AK$17</f>
        <v>8125</v>
      </c>
      <c r="AL32" s="24">
        <f>AG32+AH32+AI32+AJ32+AK32</f>
        <v>54653.624476342055</v>
      </c>
      <c r="AM32" s="84">
        <f t="shared" si="8"/>
        <v>65.953453660707325</v>
      </c>
      <c r="AN32" s="84">
        <f t="shared" si="9"/>
        <v>-372.3</v>
      </c>
      <c r="AO32" s="19"/>
      <c r="AP32" s="17"/>
      <c r="AQ32" s="38"/>
      <c r="AR32" s="17"/>
      <c r="AS32" s="394"/>
    </row>
    <row r="33" spans="1:45" x14ac:dyDescent="0.25">
      <c r="A33" s="5"/>
      <c r="C33" s="13">
        <v>0.5</v>
      </c>
      <c r="E33" s="1">
        <f>C33*($A$32*730)</f>
        <v>912500</v>
      </c>
      <c r="F33" s="1"/>
      <c r="G33" s="28">
        <f t="shared" si="0"/>
        <v>59432.14565100606</v>
      </c>
      <c r="H33" s="28">
        <f>+AL33</f>
        <v>66370.124476342055</v>
      </c>
      <c r="I33" s="28">
        <f t="shared" si="1"/>
        <v>109.92242276784555</v>
      </c>
      <c r="J33" s="90">
        <f t="shared" si="2"/>
        <v>6828.0564025681524</v>
      </c>
      <c r="K33" s="54">
        <f>ROUND(+J33/G33,4)</f>
        <v>0.1149</v>
      </c>
      <c r="L33" s="28">
        <f>ROUND($Y$10*$E33,2)</f>
        <v>-1270.9100000000001</v>
      </c>
      <c r="M33" s="28">
        <f>ROUND($Y$11*$E33,2)</f>
        <v>110.71</v>
      </c>
      <c r="N33" s="28">
        <f>ROUND($Y$12*$E33,2)</f>
        <v>831.5</v>
      </c>
      <c r="O33" s="28">
        <f t="shared" si="3"/>
        <v>59213.368073773898</v>
      </c>
      <c r="P33" s="28">
        <f>+H33+L33+M33+N33</f>
        <v>66041.424476342043</v>
      </c>
      <c r="Q33" s="54">
        <f>ROUND((P33-O33)/O33,4)</f>
        <v>0.1153</v>
      </c>
      <c r="R33" s="28">
        <f t="shared" si="4"/>
        <v>-620.5</v>
      </c>
      <c r="S33" s="90">
        <f t="shared" si="5"/>
        <v>65420.924476342043</v>
      </c>
      <c r="T33" s="91">
        <f t="shared" si="6"/>
        <v>0.1048</v>
      </c>
      <c r="U33" s="1"/>
      <c r="W33" s="7">
        <f>$W$20</f>
        <v>200.27874999999997</v>
      </c>
      <c r="X33" s="19">
        <f>$X$17*E33</f>
        <v>24254.25</v>
      </c>
      <c r="Y33" s="19">
        <f>$Y$17*$A$32*INPUT!$E$92</f>
        <v>16771.908293686403</v>
      </c>
      <c r="Z33" s="19">
        <f>$Z$17*$A$32*INPUT!$F$92</f>
        <v>13830.708607319657</v>
      </c>
      <c r="AA33" s="19">
        <f t="shared" ref="AA33:AA34" si="12">$AA$17*$A$32</f>
        <v>4375</v>
      </c>
      <c r="AB33" s="24">
        <f>W33+X33+Y33+Z33+AA33</f>
        <v>59432.14565100606</v>
      </c>
      <c r="AC33" s="24"/>
      <c r="AD33" s="19"/>
      <c r="AG33" s="7">
        <f>$AG$20</f>
        <v>222.80250000000001</v>
      </c>
      <c r="AH33" s="19">
        <f>$AH$17*E33</f>
        <v>29291.249999999996</v>
      </c>
      <c r="AI33" s="19">
        <f>$A$32*$AI$17*INPUT!$E$92</f>
        <v>15741.552152777342</v>
      </c>
      <c r="AJ33" s="19">
        <f>$A$32*$AJ$17*INPUT!$F$92</f>
        <v>12989.519823564713</v>
      </c>
      <c r="AK33" s="19">
        <f>$A$32*$AK$17</f>
        <v>8125</v>
      </c>
      <c r="AL33" s="24">
        <f>AG33+AH33+AI33+AJ33+AK33</f>
        <v>66370.124476342055</v>
      </c>
      <c r="AM33" s="84">
        <f t="shared" si="8"/>
        <v>109.92242276784555</v>
      </c>
      <c r="AN33" s="84">
        <f t="shared" si="9"/>
        <v>-620.5</v>
      </c>
      <c r="AO33" s="19"/>
      <c r="AP33" s="17"/>
      <c r="AQ33" s="38"/>
      <c r="AR33" s="17"/>
      <c r="AS33" s="394"/>
    </row>
    <row r="34" spans="1:45" x14ac:dyDescent="0.25">
      <c r="A34" s="5"/>
      <c r="C34" s="13">
        <v>0.7</v>
      </c>
      <c r="E34" s="1">
        <f>C34*($A$32*730)</f>
        <v>1277500</v>
      </c>
      <c r="F34" s="1"/>
      <c r="G34" s="28">
        <f t="shared" si="0"/>
        <v>69133.84565100605</v>
      </c>
      <c r="H34" s="28">
        <f>+AL34</f>
        <v>78086.62447634204</v>
      </c>
      <c r="I34" s="28">
        <f t="shared" si="1"/>
        <v>153.89139187498375</v>
      </c>
      <c r="J34" s="90">
        <f t="shared" si="2"/>
        <v>8798.8874334610009</v>
      </c>
      <c r="K34" s="54">
        <f>ROUND(+J34/G34,4)</f>
        <v>0.1273</v>
      </c>
      <c r="L34" s="28">
        <f>ROUND($Y$10*$E34,2)</f>
        <v>-1779.28</v>
      </c>
      <c r="M34" s="28">
        <f>ROUND($Y$11*$E34,2)</f>
        <v>154.99</v>
      </c>
      <c r="N34" s="28">
        <f>ROUND($Y$12*$E34,2)</f>
        <v>1164.0999999999999</v>
      </c>
      <c r="O34" s="28">
        <f t="shared" si="3"/>
        <v>68827.547042881051</v>
      </c>
      <c r="P34" s="28">
        <f>+H34+L34+M34+N34</f>
        <v>77626.434476342052</v>
      </c>
      <c r="Q34" s="54">
        <f>ROUND((P34-O34)/O34,4)</f>
        <v>0.1278</v>
      </c>
      <c r="R34" s="28">
        <f t="shared" si="4"/>
        <v>-868.7</v>
      </c>
      <c r="S34" s="90">
        <f t="shared" si="5"/>
        <v>76757.734476342055</v>
      </c>
      <c r="T34" s="91">
        <f t="shared" si="6"/>
        <v>0.1152</v>
      </c>
      <c r="U34" s="1"/>
      <c r="W34" s="7">
        <f>$W$20</f>
        <v>200.27874999999997</v>
      </c>
      <c r="X34" s="19">
        <f>$X$17*E34</f>
        <v>33955.949999999997</v>
      </c>
      <c r="Y34" s="19">
        <f>$Y$17*$A$32*INPUT!$E$92</f>
        <v>16771.908293686403</v>
      </c>
      <c r="Z34" s="19">
        <f>$Z$17*$A$32*INPUT!$F$92</f>
        <v>13830.708607319657</v>
      </c>
      <c r="AA34" s="19">
        <f t="shared" si="12"/>
        <v>4375</v>
      </c>
      <c r="AB34" s="24">
        <f>W34+X34+Y34+Z34+AA34</f>
        <v>69133.84565100605</v>
      </c>
      <c r="AC34" s="24"/>
      <c r="AD34" s="19"/>
      <c r="AG34" s="7">
        <f>$AG$20</f>
        <v>222.80250000000001</v>
      </c>
      <c r="AH34" s="19">
        <f>$AH$17*E34</f>
        <v>41007.749999999993</v>
      </c>
      <c r="AI34" s="19">
        <f>$A$32*$AI$17*INPUT!$E$92</f>
        <v>15741.552152777342</v>
      </c>
      <c r="AJ34" s="19">
        <f>$A$32*$AJ$17*INPUT!$F$92</f>
        <v>12989.519823564713</v>
      </c>
      <c r="AK34" s="19">
        <f>$A$32*$AK$17</f>
        <v>8125</v>
      </c>
      <c r="AL34" s="24">
        <f>AG34+AH34+AI34+AJ34+AK34</f>
        <v>78086.62447634204</v>
      </c>
      <c r="AM34" s="84">
        <f t="shared" si="8"/>
        <v>153.89139187498375</v>
      </c>
      <c r="AN34" s="84">
        <f t="shared" si="9"/>
        <v>-868.7</v>
      </c>
      <c r="AO34" s="19"/>
      <c r="AP34" s="17"/>
      <c r="AQ34" s="38"/>
      <c r="AR34" s="17"/>
      <c r="AS34" s="394"/>
    </row>
    <row r="35" spans="1:45" x14ac:dyDescent="0.25">
      <c r="A35" s="5"/>
      <c r="C35" s="13"/>
      <c r="E35" s="1"/>
      <c r="F35" s="1"/>
      <c r="G35" s="1"/>
      <c r="H35" s="1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19"/>
      <c r="AB35" s="24"/>
      <c r="AC35" s="24"/>
      <c r="AG35" s="7"/>
      <c r="AH35" s="19"/>
      <c r="AI35" s="19"/>
      <c r="AJ35" s="19"/>
      <c r="AK35" s="19"/>
      <c r="AL35" s="24"/>
      <c r="AM35" s="84"/>
      <c r="AN35" s="84"/>
      <c r="AP35" s="17"/>
      <c r="AQ35" s="84"/>
      <c r="AR35" s="17"/>
      <c r="AS35" s="84"/>
    </row>
    <row r="36" spans="1:45" x14ac:dyDescent="0.25">
      <c r="A36" s="131">
        <v>5000</v>
      </c>
      <c r="B36" s="1"/>
      <c r="C36" s="13">
        <v>0.3</v>
      </c>
      <c r="E36" s="1">
        <f>C36*($A$36*730)</f>
        <v>1095000</v>
      </c>
      <c r="F36" s="1"/>
      <c r="G36" s="28">
        <f t="shared" si="0"/>
        <v>99260.612552012113</v>
      </c>
      <c r="H36" s="28">
        <f>+AL36</f>
        <v>109084.44645268409</v>
      </c>
      <c r="I36" s="28">
        <f t="shared" si="1"/>
        <v>131.90690732141465</v>
      </c>
      <c r="J36" s="90">
        <f t="shared" si="2"/>
        <v>9691.9269933505566</v>
      </c>
      <c r="K36" s="54">
        <f>ROUND(+J36/G36,4)</f>
        <v>9.7600000000000006E-2</v>
      </c>
      <c r="L36" s="28">
        <f>ROUND($Y$10*$E36,2)</f>
        <v>-1525.1</v>
      </c>
      <c r="M36" s="28">
        <f>ROUND($Y$11*$E36,2)</f>
        <v>132.85</v>
      </c>
      <c r="N36" s="28">
        <f>ROUND($Y$12*$E36,2)</f>
        <v>997.8</v>
      </c>
      <c r="O36" s="28">
        <f t="shared" si="3"/>
        <v>98998.069459333536</v>
      </c>
      <c r="P36" s="28">
        <f>+H36+L36+M36+N36</f>
        <v>108689.99645268409</v>
      </c>
      <c r="Q36" s="54">
        <f>ROUND((P36-O36)/O36,4)</f>
        <v>9.7900000000000001E-2</v>
      </c>
      <c r="R36" s="28">
        <f t="shared" si="4"/>
        <v>-744.6</v>
      </c>
      <c r="S36" s="90">
        <f t="shared" si="5"/>
        <v>107945.39645268409</v>
      </c>
      <c r="T36" s="91">
        <f t="shared" si="6"/>
        <v>9.0399999999999994E-2</v>
      </c>
      <c r="U36" s="1"/>
      <c r="W36" s="7">
        <f>$W$20</f>
        <v>200.27874999999997</v>
      </c>
      <c r="X36" s="19">
        <f>$X$17*E36</f>
        <v>29105.1</v>
      </c>
      <c r="Y36" s="19">
        <f>$Y$17*$A$36*INPUT!$E$92</f>
        <v>33543.816587372807</v>
      </c>
      <c r="Z36" s="19">
        <f>$Z$17*$A$36*INPUT!$F$92</f>
        <v>27661.417214639314</v>
      </c>
      <c r="AA36" s="19">
        <f>$AA$17*$A$36</f>
        <v>8750</v>
      </c>
      <c r="AB36" s="24">
        <f>W36+X36+Y36+Z36+AA36</f>
        <v>99260.612552012113</v>
      </c>
      <c r="AC36" s="24"/>
      <c r="AD36" s="19"/>
      <c r="AG36" s="7">
        <f>$AG$20</f>
        <v>222.80250000000001</v>
      </c>
      <c r="AH36" s="19">
        <f>$AH$17*E36</f>
        <v>35149.499999999993</v>
      </c>
      <c r="AI36" s="19">
        <f>$A$36*$AI$17*INPUT!$E$92</f>
        <v>31483.104305554683</v>
      </c>
      <c r="AJ36" s="19">
        <f>$A$36*$AJ$17*INPUT!$F$92</f>
        <v>25979.039647129426</v>
      </c>
      <c r="AK36" s="19">
        <f>$A$36*$AK$17</f>
        <v>16250</v>
      </c>
      <c r="AL36" s="24">
        <f>AG36+AH36+AI36+AJ36+AK36</f>
        <v>109084.44645268409</v>
      </c>
      <c r="AM36" s="84">
        <f t="shared" si="8"/>
        <v>131.90690732141465</v>
      </c>
      <c r="AN36" s="84">
        <f t="shared" si="9"/>
        <v>-744.6</v>
      </c>
      <c r="AO36" s="19"/>
      <c r="AP36" s="17"/>
      <c r="AQ36" s="38"/>
      <c r="AR36" s="17"/>
      <c r="AS36" s="394"/>
    </row>
    <row r="37" spans="1:45" x14ac:dyDescent="0.25">
      <c r="C37" s="13">
        <v>0.5</v>
      </c>
      <c r="E37" s="1">
        <f>C37*($A$36*730)</f>
        <v>1825000</v>
      </c>
      <c r="F37" s="1"/>
      <c r="G37" s="28">
        <f t="shared" si="0"/>
        <v>118664.01255201211</v>
      </c>
      <c r="H37" s="28">
        <f>+AL37</f>
        <v>132517.44645268409</v>
      </c>
      <c r="I37" s="28">
        <f t="shared" si="1"/>
        <v>219.84484553569109</v>
      </c>
      <c r="J37" s="90">
        <f t="shared" si="2"/>
        <v>13633.589055136297</v>
      </c>
      <c r="K37" s="54">
        <f>ROUND(+J37/G37,4)</f>
        <v>0.1149</v>
      </c>
      <c r="L37" s="28">
        <f>ROUND($Y$10*$E37,2)</f>
        <v>-2541.83</v>
      </c>
      <c r="M37" s="28">
        <f>ROUND($Y$11*$E37,2)</f>
        <v>221.41</v>
      </c>
      <c r="N37" s="28">
        <f>ROUND($Y$12*$E37,2)</f>
        <v>1662.99</v>
      </c>
      <c r="O37" s="28">
        <f t="shared" si="3"/>
        <v>118226.4273975478</v>
      </c>
      <c r="P37" s="28">
        <f>+H37+L37+M37+N37</f>
        <v>131860.0164526841</v>
      </c>
      <c r="Q37" s="54">
        <f>ROUND((P37-O37)/O37,4)</f>
        <v>0.1153</v>
      </c>
      <c r="R37" s="28">
        <f t="shared" si="4"/>
        <v>-1241</v>
      </c>
      <c r="S37" s="90">
        <f t="shared" si="5"/>
        <v>130619.0164526841</v>
      </c>
      <c r="T37" s="91">
        <f t="shared" si="6"/>
        <v>0.1048</v>
      </c>
      <c r="U37" s="1"/>
      <c r="W37" s="7">
        <f>$W$20</f>
        <v>200.27874999999997</v>
      </c>
      <c r="X37" s="19">
        <f>$X$17*E37</f>
        <v>48508.5</v>
      </c>
      <c r="Y37" s="19">
        <f>$Y$17*$A$36*INPUT!$E$92</f>
        <v>33543.816587372807</v>
      </c>
      <c r="Z37" s="19">
        <f>$Z$17*$A$36*INPUT!$F$92</f>
        <v>27661.417214639314</v>
      </c>
      <c r="AA37" s="19">
        <f t="shared" ref="AA37:AA38" si="13">$AA$17*$A$36</f>
        <v>8750</v>
      </c>
      <c r="AB37" s="24">
        <f>W37+X37+Y37+Z37+AA37</f>
        <v>118664.01255201211</v>
      </c>
      <c r="AC37" s="24"/>
      <c r="AD37" s="19"/>
      <c r="AG37" s="7">
        <f>$AG$20</f>
        <v>222.80250000000001</v>
      </c>
      <c r="AH37" s="19">
        <f>$AH$17*E37</f>
        <v>58582.499999999993</v>
      </c>
      <c r="AI37" s="19">
        <f>$A$36*$AI$17*INPUT!$E$92</f>
        <v>31483.104305554683</v>
      </c>
      <c r="AJ37" s="19">
        <f>$A$36*$AJ$17*INPUT!$F$92</f>
        <v>25979.039647129426</v>
      </c>
      <c r="AK37" s="19">
        <f>$A$36*$AK$17</f>
        <v>16250</v>
      </c>
      <c r="AL37" s="24">
        <f>AG37+AH37+AI37+AJ37+AK37</f>
        <v>132517.44645268409</v>
      </c>
      <c r="AM37" s="84">
        <f t="shared" si="8"/>
        <v>219.84484553569109</v>
      </c>
      <c r="AN37" s="84">
        <f t="shared" si="9"/>
        <v>-1241</v>
      </c>
      <c r="AO37" s="19"/>
      <c r="AP37" s="17"/>
      <c r="AQ37" s="38"/>
      <c r="AR37" s="17"/>
      <c r="AS37" s="394"/>
    </row>
    <row r="38" spans="1:45" x14ac:dyDescent="0.25">
      <c r="C38" s="13">
        <v>0.7</v>
      </c>
      <c r="E38" s="1">
        <f>C38*($A$36*730)</f>
        <v>2555000</v>
      </c>
      <c r="F38" s="1"/>
      <c r="G38" s="28">
        <f t="shared" si="0"/>
        <v>138067.4125520121</v>
      </c>
      <c r="H38" s="28">
        <f>+AL38</f>
        <v>155950.44645268409</v>
      </c>
      <c r="I38" s="28">
        <f t="shared" si="1"/>
        <v>307.78278374996751</v>
      </c>
      <c r="J38" s="90">
        <f>+H38-(I38+G38)</f>
        <v>17575.251116922009</v>
      </c>
      <c r="K38" s="54">
        <f>ROUND(+J38/G38,4)</f>
        <v>0.1273</v>
      </c>
      <c r="L38" s="28">
        <f>ROUND($Y$10*$E38,2)</f>
        <v>-3558.56</v>
      </c>
      <c r="M38" s="28">
        <f>ROUND($Y$11*$E38,2)</f>
        <v>309.98</v>
      </c>
      <c r="N38" s="28">
        <f>ROUND($Y$12*$E38,2)</f>
        <v>2328.19</v>
      </c>
      <c r="O38" s="28">
        <f>+G38+I38+L38+M38+N38</f>
        <v>137454.8053357621</v>
      </c>
      <c r="P38" s="28">
        <f>+H38+L38+M38+N38</f>
        <v>155030.0564526841</v>
      </c>
      <c r="Q38" s="54">
        <f>ROUND((P38-O38)/O38,4)</f>
        <v>0.12790000000000001</v>
      </c>
      <c r="R38" s="28">
        <f t="shared" si="4"/>
        <v>-1737.4</v>
      </c>
      <c r="S38" s="90">
        <f t="shared" si="5"/>
        <v>153292.65645268411</v>
      </c>
      <c r="T38" s="91">
        <f t="shared" si="6"/>
        <v>0.1152</v>
      </c>
      <c r="U38" s="1"/>
      <c r="W38" s="7">
        <f>$W$20</f>
        <v>200.27874999999997</v>
      </c>
      <c r="X38" s="19">
        <f>$X$17*E38</f>
        <v>67911.899999999994</v>
      </c>
      <c r="Y38" s="19">
        <f>$Y$17*$A$36*INPUT!$E$92</f>
        <v>33543.816587372807</v>
      </c>
      <c r="Z38" s="19">
        <f>$Z$17*$A$36*INPUT!$F$92</f>
        <v>27661.417214639314</v>
      </c>
      <c r="AA38" s="19">
        <f t="shared" si="13"/>
        <v>8750</v>
      </c>
      <c r="AB38" s="24">
        <f>W38+X38+Y38+Z38+AA38</f>
        <v>138067.4125520121</v>
      </c>
      <c r="AC38" s="24"/>
      <c r="AD38" s="19"/>
      <c r="AG38" s="7">
        <f>$AG$20</f>
        <v>222.80250000000001</v>
      </c>
      <c r="AH38" s="19">
        <f>$AH$17*E38</f>
        <v>82015.499999999985</v>
      </c>
      <c r="AI38" s="19">
        <f>$A$36*$AI$17*INPUT!$E$92</f>
        <v>31483.104305554683</v>
      </c>
      <c r="AJ38" s="19">
        <f>$A$36*$AJ$17*INPUT!$F$92</f>
        <v>25979.039647129426</v>
      </c>
      <c r="AK38" s="19">
        <f>$A$36*$AK$17</f>
        <v>16250</v>
      </c>
      <c r="AL38" s="24">
        <f>AG38+AH38+AI38+AJ38+AK38</f>
        <v>155950.44645268409</v>
      </c>
      <c r="AM38" s="84">
        <f>$AM$17*E38</f>
        <v>307.78278374996751</v>
      </c>
      <c r="AN38" s="84">
        <f>$AN$17*E38</f>
        <v>-1737.4</v>
      </c>
      <c r="AO38" s="19"/>
      <c r="AP38" s="17"/>
      <c r="AQ38" s="38"/>
      <c r="AR38" s="17"/>
      <c r="AS38" s="394"/>
    </row>
    <row r="39" spans="1:45" x14ac:dyDescent="0.25">
      <c r="Y39" s="19"/>
      <c r="Z39" s="19"/>
      <c r="AA39" s="19"/>
      <c r="AB39" s="19"/>
      <c r="AC39" s="19"/>
      <c r="AD39" s="19"/>
    </row>
    <row r="40" spans="1:45" x14ac:dyDescent="0.25">
      <c r="A40" s="17" t="s">
        <v>301</v>
      </c>
      <c r="B40" s="17"/>
      <c r="Y40" s="19"/>
      <c r="Z40" s="19"/>
      <c r="AA40" s="19"/>
      <c r="AB40" s="19"/>
      <c r="AC40" s="19"/>
      <c r="AD40" s="19"/>
    </row>
    <row r="41" spans="1:45" x14ac:dyDescent="0.25">
      <c r="A41" s="174" t="str">
        <f>("Average Usage = "&amp;TEXT(INPUT!$L$26*1,"0,000")&amp;" kWh per month")</f>
        <v>Average Usage = 194,032 kWh per month</v>
      </c>
      <c r="B41" s="174"/>
      <c r="Y41" s="19"/>
      <c r="Z41" s="19"/>
      <c r="AA41" s="19"/>
      <c r="AB41" s="19"/>
      <c r="AC41" s="19"/>
      <c r="AD41" s="19"/>
    </row>
    <row r="42" spans="1:45" x14ac:dyDescent="0.25">
      <c r="A42" s="174" t="str">
        <f>("Average Demand = "&amp;TEXT(INPUT!I105,"0")&amp;" kVA per month")</f>
        <v>Average Demand = 677 kVA per month</v>
      </c>
      <c r="B42" s="174"/>
      <c r="Y42" s="19"/>
      <c r="Z42" s="19"/>
      <c r="AA42" s="19"/>
      <c r="AB42" s="19"/>
      <c r="AC42" s="19"/>
      <c r="AD42" s="19"/>
    </row>
    <row r="43" spans="1:45" x14ac:dyDescent="0.25">
      <c r="A43" s="175" t="s">
        <v>302</v>
      </c>
      <c r="B43" s="175"/>
      <c r="D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J43" s="30"/>
      <c r="AK43" s="19"/>
      <c r="AL43" s="19"/>
      <c r="AM43" s="19"/>
      <c r="AN43" s="19"/>
      <c r="AO43" s="19"/>
      <c r="AP43" s="19"/>
      <c r="AQ43" s="19"/>
      <c r="AR43" s="6"/>
    </row>
    <row r="44" spans="1:45" x14ac:dyDescent="0.25">
      <c r="A44" s="176" t="s">
        <v>606</v>
      </c>
      <c r="B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Y44" s="12"/>
      <c r="AJ44" s="9"/>
    </row>
    <row r="45" spans="1:45" ht="13" x14ac:dyDescent="0.3">
      <c r="A45" s="177" t="s">
        <v>308</v>
      </c>
      <c r="B45" s="17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F45" s="3"/>
      <c r="AG45" s="2"/>
      <c r="AH45" s="3"/>
      <c r="AJ45" s="3"/>
    </row>
    <row r="46" spans="1:45" x14ac:dyDescent="0.25">
      <c r="A46" s="59"/>
      <c r="B46" s="59"/>
      <c r="AJ46" s="9"/>
    </row>
    <row r="47" spans="1:45" ht="13" x14ac:dyDescent="0.3">
      <c r="X47" s="3"/>
      <c r="AB47" s="3"/>
      <c r="AF47" s="3"/>
      <c r="AJ47" s="9"/>
    </row>
    <row r="48" spans="1:45" ht="13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F48" s="3"/>
      <c r="AG48" s="2"/>
      <c r="AH48" s="3"/>
      <c r="AJ48" s="3"/>
    </row>
    <row r="49" spans="3:36" ht="13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F49" s="3"/>
      <c r="AG49" s="2"/>
      <c r="AH49" s="3"/>
      <c r="AJ49" s="3"/>
    </row>
    <row r="50" spans="3:36" ht="13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Y50" s="3"/>
      <c r="Z50" s="3"/>
      <c r="AA50" s="3"/>
      <c r="AB50" s="3"/>
      <c r="AC50" s="3"/>
      <c r="AD50" s="3"/>
    </row>
    <row r="51" spans="3:36" x14ac:dyDescent="0.25">
      <c r="C51" s="175"/>
      <c r="F51" s="1"/>
      <c r="G51" s="1"/>
      <c r="H51" s="1"/>
      <c r="I51" s="1"/>
      <c r="J51" s="1"/>
      <c r="K51" s="1"/>
      <c r="L51" s="1"/>
      <c r="M51" s="335"/>
      <c r="N51" s="335"/>
      <c r="O51" s="1"/>
      <c r="P51" s="1"/>
      <c r="Q51" s="1"/>
      <c r="R51" s="1"/>
      <c r="S51" s="1"/>
      <c r="T51" s="1"/>
      <c r="U51" s="1"/>
      <c r="V51" s="1"/>
      <c r="X51" s="7"/>
      <c r="Y51" s="12"/>
      <c r="AB51" s="12"/>
      <c r="AC51" s="12"/>
      <c r="AD51" s="12"/>
      <c r="AF51" s="6"/>
      <c r="AH51" s="6"/>
      <c r="AJ51" s="9"/>
    </row>
    <row r="52" spans="3:36" x14ac:dyDescent="0.25">
      <c r="F52" s="1"/>
      <c r="G52" s="1"/>
      <c r="H52" s="1"/>
      <c r="I52" s="1"/>
      <c r="J52" s="1"/>
      <c r="K52" s="1"/>
      <c r="L52" s="1"/>
      <c r="O52" s="1"/>
      <c r="P52" s="1"/>
      <c r="Q52" s="1"/>
      <c r="R52" s="1"/>
      <c r="S52" s="1"/>
      <c r="T52" s="1"/>
      <c r="U52" s="1"/>
      <c r="V52" s="1"/>
      <c r="X52" s="7"/>
      <c r="Y52" s="12"/>
      <c r="AB52" s="12"/>
      <c r="AC52" s="12"/>
      <c r="AD52" s="12"/>
      <c r="AF52" s="6"/>
      <c r="AH52" s="6"/>
      <c r="AJ52" s="9"/>
    </row>
    <row r="53" spans="3:36" x14ac:dyDescent="0.25">
      <c r="F53" s="1"/>
      <c r="G53" s="1"/>
      <c r="H53" s="1"/>
      <c r="I53" s="1"/>
      <c r="J53" s="1"/>
      <c r="K53" s="1"/>
      <c r="L53" s="1"/>
      <c r="O53" s="1"/>
      <c r="P53" s="1"/>
      <c r="Q53" s="1"/>
      <c r="R53" s="1"/>
      <c r="S53" s="1"/>
      <c r="T53" s="1"/>
      <c r="U53" s="1"/>
      <c r="V53" s="1"/>
      <c r="X53" s="7"/>
      <c r="Y53" s="12"/>
      <c r="AB53" s="12"/>
      <c r="AC53" s="12"/>
      <c r="AD53" s="12"/>
      <c r="AF53" s="6"/>
      <c r="AH53" s="6"/>
      <c r="AJ53" s="9"/>
    </row>
    <row r="54" spans="3:36" x14ac:dyDescent="0.25">
      <c r="F54" s="1"/>
      <c r="G54" s="1"/>
      <c r="H54" s="1"/>
      <c r="I54" s="1"/>
      <c r="J54" s="1"/>
      <c r="K54" s="1"/>
      <c r="L54" s="1"/>
      <c r="O54" s="1"/>
      <c r="P54" s="1"/>
      <c r="Q54" s="1"/>
      <c r="R54" s="1"/>
      <c r="S54" s="1"/>
      <c r="T54" s="1"/>
      <c r="U54" s="1"/>
      <c r="V54" s="1"/>
      <c r="X54" s="7"/>
      <c r="Y54" s="12"/>
      <c r="AB54" s="12"/>
      <c r="AC54" s="12"/>
      <c r="AD54" s="12"/>
      <c r="AF54" s="6"/>
      <c r="AG54" s="10"/>
      <c r="AH54" s="6"/>
      <c r="AI54" s="10"/>
      <c r="AJ54" s="9"/>
    </row>
    <row r="55" spans="3:36" x14ac:dyDescent="0.25">
      <c r="F55" s="1"/>
      <c r="G55" s="1"/>
      <c r="H55" s="1"/>
      <c r="I55" s="1"/>
      <c r="J55" s="1"/>
      <c r="K55" s="1"/>
      <c r="L55" s="1"/>
      <c r="O55" s="1"/>
      <c r="P55" s="1"/>
      <c r="Q55" s="1"/>
      <c r="R55" s="1"/>
      <c r="S55" s="1"/>
      <c r="T55" s="1"/>
      <c r="U55" s="1"/>
      <c r="V55" s="1"/>
      <c r="X55" s="7"/>
      <c r="Y55" s="12"/>
      <c r="AB55" s="12"/>
      <c r="AC55" s="12"/>
      <c r="AD55" s="12"/>
      <c r="AF55" s="6"/>
      <c r="AG55" s="10"/>
      <c r="AH55" s="6"/>
      <c r="AI55" s="10"/>
      <c r="AJ55" s="9"/>
    </row>
    <row r="56" spans="3:36" x14ac:dyDescent="0.25">
      <c r="F56" s="1"/>
      <c r="G56" s="1"/>
      <c r="H56" s="1"/>
      <c r="I56" s="1"/>
      <c r="J56" s="1"/>
      <c r="K56" s="1"/>
      <c r="L56" s="1"/>
      <c r="O56" s="1"/>
      <c r="P56" s="1"/>
      <c r="Q56" s="1"/>
      <c r="R56" s="1"/>
      <c r="S56" s="1"/>
      <c r="T56" s="1"/>
      <c r="U56" s="1"/>
      <c r="V56" s="1"/>
      <c r="X56" s="7"/>
      <c r="Y56" s="12"/>
      <c r="AB56" s="12"/>
      <c r="AC56" s="12"/>
      <c r="AD56" s="12"/>
      <c r="AF56" s="6"/>
      <c r="AH56" s="6"/>
      <c r="AJ56" s="9"/>
    </row>
    <row r="57" spans="3:36" x14ac:dyDescent="0.25">
      <c r="F57" s="1"/>
      <c r="G57" s="1"/>
      <c r="H57" s="1"/>
      <c r="I57" s="1"/>
      <c r="J57" s="1"/>
      <c r="K57" s="1"/>
      <c r="L57" s="1"/>
      <c r="O57" s="1"/>
      <c r="P57" s="1"/>
      <c r="Q57" s="1"/>
      <c r="R57" s="1"/>
      <c r="S57" s="1"/>
      <c r="T57" s="1"/>
      <c r="U57" s="1"/>
      <c r="V57" s="1"/>
      <c r="X57" s="7"/>
      <c r="Y57" s="12"/>
      <c r="AB57" s="12"/>
      <c r="AC57" s="12"/>
      <c r="AD57" s="12"/>
      <c r="AF57" s="6"/>
      <c r="AH57" s="6"/>
      <c r="AJ57" s="9"/>
    </row>
    <row r="58" spans="3:36" x14ac:dyDescent="0.25">
      <c r="F58" s="1"/>
      <c r="G58" s="1"/>
      <c r="H58" s="1"/>
      <c r="I58" s="1"/>
      <c r="J58" s="1"/>
      <c r="K58" s="1"/>
      <c r="L58" s="1"/>
      <c r="O58" s="1"/>
      <c r="P58" s="1"/>
      <c r="Q58" s="1"/>
      <c r="R58" s="1"/>
      <c r="S58" s="1"/>
      <c r="T58" s="1"/>
      <c r="U58" s="1"/>
      <c r="V58" s="1"/>
      <c r="X58" s="7"/>
      <c r="Y58" s="12"/>
      <c r="AB58" s="12"/>
      <c r="AC58" s="12"/>
      <c r="AD58" s="12"/>
      <c r="AF58" s="6"/>
      <c r="AH58" s="6"/>
      <c r="AJ58" s="9"/>
    </row>
    <row r="59" spans="3:36" x14ac:dyDescent="0.25">
      <c r="F59" s="1"/>
      <c r="G59" s="1"/>
      <c r="H59" s="1"/>
      <c r="I59" s="1"/>
      <c r="J59" s="1"/>
      <c r="K59" s="1"/>
      <c r="L59" s="1"/>
      <c r="M59" s="335"/>
      <c r="N59" s="335"/>
      <c r="O59" s="1"/>
      <c r="P59" s="1"/>
      <c r="Q59" s="1"/>
      <c r="R59" s="1"/>
      <c r="S59" s="1"/>
      <c r="T59" s="1"/>
      <c r="U59" s="1"/>
      <c r="V59" s="1"/>
      <c r="X59" s="7"/>
      <c r="Y59" s="12"/>
      <c r="AB59" s="12"/>
      <c r="AC59" s="12"/>
      <c r="AD59" s="12"/>
      <c r="AF59" s="6"/>
      <c r="AH59" s="6"/>
      <c r="AJ59" s="9"/>
    </row>
    <row r="60" spans="3:36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X60" s="7"/>
      <c r="Y60" s="12"/>
      <c r="AB60" s="12"/>
      <c r="AC60" s="12"/>
      <c r="AD60" s="12"/>
      <c r="AF60" s="6"/>
      <c r="AH60" s="6"/>
      <c r="AJ60" s="9"/>
    </row>
    <row r="61" spans="3:36" ht="6.75" customHeight="1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7"/>
      <c r="Y61" s="12"/>
      <c r="AB61" s="12"/>
      <c r="AC61" s="12"/>
      <c r="AD61" s="12"/>
      <c r="AF61" s="6"/>
      <c r="AH61" s="6"/>
      <c r="AJ61" s="9"/>
    </row>
    <row r="62" spans="3:36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X62" s="7"/>
      <c r="Y62" s="12"/>
      <c r="AB62" s="12"/>
      <c r="AC62" s="12"/>
      <c r="AD62" s="12"/>
      <c r="AF62" s="6"/>
      <c r="AH62" s="6"/>
      <c r="AJ62" s="9"/>
    </row>
    <row r="63" spans="3:36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X63" s="7"/>
      <c r="Y63" s="12"/>
      <c r="AB63" s="12"/>
      <c r="AC63" s="12"/>
      <c r="AD63" s="12"/>
      <c r="AF63" s="6"/>
      <c r="AH63" s="6"/>
      <c r="AJ63" s="9"/>
    </row>
    <row r="64" spans="3:36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X64" s="7"/>
      <c r="Y64" s="12"/>
      <c r="AB64" s="12"/>
      <c r="AC64" s="12"/>
      <c r="AD64" s="12"/>
      <c r="AF64" s="6"/>
      <c r="AH64" s="6"/>
      <c r="AJ64" s="9"/>
    </row>
    <row r="65" spans="6:42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X65" s="7"/>
      <c r="Y65" s="12"/>
      <c r="AB65" s="12"/>
      <c r="AC65" s="12"/>
      <c r="AD65" s="12"/>
      <c r="AF65" s="6"/>
      <c r="AH65" s="6"/>
      <c r="AJ65" s="9"/>
    </row>
    <row r="66" spans="6:42" ht="13" x14ac:dyDescent="0.3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3"/>
      <c r="Z66" s="3"/>
      <c r="AA66" s="3"/>
      <c r="AB66" s="3"/>
      <c r="AC66" s="3"/>
      <c r="AD66" s="3"/>
    </row>
    <row r="67" spans="6:42" ht="13" x14ac:dyDescent="0.3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Y67" s="3"/>
      <c r="Z67" s="3"/>
      <c r="AA67" s="3"/>
      <c r="AB67" s="3"/>
      <c r="AC67" s="3"/>
      <c r="AD67" s="3"/>
    </row>
    <row r="68" spans="6:42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J68" s="9"/>
    </row>
    <row r="69" spans="6:42" x14ac:dyDescent="0.25">
      <c r="AM69" s="4"/>
      <c r="AN69" s="4"/>
      <c r="AO69" s="4"/>
      <c r="AP69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  <pageSetUpPr fitToPage="1"/>
  </sheetPr>
  <dimension ref="A1:AS69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7.1796875" customWidth="1"/>
    <col min="2" max="2" width="1.81640625" customWidth="1"/>
    <col min="3" max="3" width="8.1796875" bestFit="1" customWidth="1"/>
    <col min="4" max="4" width="1.81640625" customWidth="1"/>
    <col min="5" max="5" width="10.81640625" bestFit="1" customWidth="1"/>
    <col min="6" max="6" width="1.54296875" customWidth="1"/>
    <col min="7" max="7" width="15.1796875" bestFit="1" customWidth="1"/>
    <col min="8" max="9" width="14.7265625" customWidth="1"/>
    <col min="10" max="10" width="13.453125" bestFit="1" customWidth="1"/>
    <col min="11" max="11" width="9.81640625" customWidth="1"/>
    <col min="12" max="12" width="12.81640625" bestFit="1" customWidth="1"/>
    <col min="13" max="13" width="12.26953125" bestFit="1" customWidth="1"/>
    <col min="14" max="14" width="13.453125" bestFit="1" customWidth="1"/>
    <col min="15" max="16" width="15.1796875" bestFit="1" customWidth="1"/>
    <col min="17" max="17" width="9.81640625" customWidth="1"/>
    <col min="18" max="18" width="12.1796875" bestFit="1" customWidth="1"/>
    <col min="19" max="19" width="14.26953125" bestFit="1" customWidth="1"/>
    <col min="20" max="20" width="9.36328125" customWidth="1"/>
    <col min="21" max="21" width="3.54296875" customWidth="1"/>
    <col min="22" max="22" width="3" customWidth="1"/>
    <col min="23" max="23" width="9.7265625" bestFit="1" customWidth="1"/>
    <col min="24" max="24" width="12.90625" bestFit="1" customWidth="1"/>
    <col min="25" max="25" width="11.90625" bestFit="1" customWidth="1"/>
    <col min="26" max="26" width="12.453125" bestFit="1" customWidth="1"/>
    <col min="27" max="27" width="11.90625" bestFit="1" customWidth="1"/>
    <col min="28" max="28" width="13.6328125" bestFit="1" customWidth="1"/>
    <col min="29" max="29" width="2.54296875" customWidth="1"/>
    <col min="30" max="30" width="10" bestFit="1" customWidth="1"/>
    <col min="31" max="31" width="1.54296875" customWidth="1"/>
    <col min="32" max="32" width="2.453125" customWidth="1"/>
    <col min="33" max="33" width="13.453125" bestFit="1" customWidth="1"/>
    <col min="34" max="35" width="11.90625" bestFit="1" customWidth="1"/>
    <col min="36" max="36" width="12.453125" bestFit="1" customWidth="1"/>
    <col min="37" max="37" width="11.90625" bestFit="1" customWidth="1"/>
    <col min="38" max="38" width="13.6328125" bestFit="1" customWidth="1"/>
    <col min="39" max="39" width="12.26953125" bestFit="1" customWidth="1"/>
    <col min="40" max="40" width="10.90625" bestFit="1" customWidth="1"/>
    <col min="41" max="41" width="10" bestFit="1" customWidth="1"/>
    <col min="42" max="42" width="2.453125" customWidth="1"/>
    <col min="43" max="43" width="11.26953125" bestFit="1" customWidth="1"/>
    <col min="44" max="44" width="10.7265625" customWidth="1"/>
    <col min="45" max="45" width="10.453125" bestFit="1" customWidth="1"/>
  </cols>
  <sheetData>
    <row r="1" spans="1:45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2" spans="1:45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45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45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</row>
    <row r="5" spans="1:45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"/>
      <c r="O5" s="2"/>
      <c r="P5" s="2"/>
      <c r="Q5" s="2"/>
      <c r="R5" s="2"/>
      <c r="S5" s="2"/>
      <c r="T5" s="2"/>
    </row>
    <row r="6" spans="1:45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2"/>
      <c r="O6" s="2"/>
      <c r="P6" s="2"/>
      <c r="Q6" s="2"/>
      <c r="R6" s="2"/>
      <c r="S6" s="2"/>
      <c r="T6" s="2"/>
    </row>
    <row r="7" spans="1:45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2"/>
      <c r="N7" s="2"/>
      <c r="O7" s="2"/>
      <c r="P7" s="2"/>
      <c r="R7" s="198"/>
      <c r="S7" s="198"/>
      <c r="T7" s="198" t="str">
        <f>+'Rate Case Constants'!C25</f>
        <v>SCHEDULE N</v>
      </c>
    </row>
    <row r="8" spans="1:45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2"/>
      <c r="N8" s="2"/>
      <c r="O8" s="2"/>
      <c r="P8" s="2"/>
      <c r="R8" s="197"/>
      <c r="S8" s="197"/>
      <c r="T8" s="197" t="str">
        <f>+'Rate Case Constants'!L18</f>
        <v>PAGE 11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+INPUT!H73</f>
        <v>-1.4027969176742114E-3</v>
      </c>
    </row>
    <row r="11" spans="1:45" ht="13" x14ac:dyDescent="0.3">
      <c r="A11" s="124" t="s">
        <v>254</v>
      </c>
      <c r="W11" s="83" t="s">
        <v>70</v>
      </c>
      <c r="X11" s="2">
        <f>+INPUT!I73</f>
        <v>0</v>
      </c>
      <c r="Z11" s="59"/>
      <c r="AH11" s="59"/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+INPUT!J73</f>
        <v>8.6196706012648197E-4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A13" s="3" t="s">
        <v>1</v>
      </c>
      <c r="AD13" s="3"/>
      <c r="AH13" s="19"/>
      <c r="AI13" s="20" t="s">
        <v>6</v>
      </c>
      <c r="AJ13" s="20" t="s">
        <v>6</v>
      </c>
      <c r="AK13" s="20" t="s">
        <v>6</v>
      </c>
      <c r="AL13" s="19"/>
      <c r="AM13" s="19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31</v>
      </c>
      <c r="Z14" s="3" t="s">
        <v>27</v>
      </c>
      <c r="AA14" s="3" t="s">
        <v>19</v>
      </c>
      <c r="AB14" s="3" t="s">
        <v>1</v>
      </c>
      <c r="AC14" s="3"/>
      <c r="AD14" s="3"/>
      <c r="AG14" s="3" t="s">
        <v>6</v>
      </c>
      <c r="AH14" s="3" t="s">
        <v>6</v>
      </c>
      <c r="AI14" s="20" t="s">
        <v>31</v>
      </c>
      <c r="AJ14" s="20" t="s">
        <v>27</v>
      </c>
      <c r="AK14" s="20" t="s">
        <v>19</v>
      </c>
      <c r="AL14" s="20" t="s">
        <v>6</v>
      </c>
      <c r="AM14" s="20"/>
      <c r="AN14" s="83" t="s">
        <v>592</v>
      </c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22</v>
      </c>
      <c r="Z15" s="3" t="s">
        <v>22</v>
      </c>
      <c r="AA15" s="3" t="s">
        <v>15</v>
      </c>
      <c r="AB15" s="3" t="s">
        <v>5</v>
      </c>
      <c r="AC15" s="3"/>
      <c r="AD15" s="3"/>
      <c r="AG15" s="25" t="s">
        <v>52</v>
      </c>
      <c r="AH15" s="3" t="s">
        <v>53</v>
      </c>
      <c r="AI15" s="20" t="s">
        <v>22</v>
      </c>
      <c r="AJ15" s="20" t="s">
        <v>22</v>
      </c>
      <c r="AK15" s="20" t="s">
        <v>15</v>
      </c>
      <c r="AL15" s="20" t="s">
        <v>5</v>
      </c>
      <c r="AM15" s="86" t="s">
        <v>69</v>
      </c>
      <c r="AN15" s="85" t="s">
        <v>593</v>
      </c>
      <c r="AO15" s="3"/>
      <c r="AQ15" s="85"/>
      <c r="AR15" s="85"/>
      <c r="AS15" s="85"/>
    </row>
    <row r="16" spans="1:45" ht="13" x14ac:dyDescent="0.3">
      <c r="A16" s="3" t="s">
        <v>23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3</v>
      </c>
      <c r="Z16" s="3" t="s">
        <v>3</v>
      </c>
      <c r="AA16" s="3" t="s">
        <v>3</v>
      </c>
      <c r="AB16" s="3" t="s">
        <v>4</v>
      </c>
      <c r="AC16" s="3"/>
      <c r="AD16" s="3"/>
      <c r="AG16" s="25" t="s">
        <v>3</v>
      </c>
      <c r="AH16" s="3" t="s">
        <v>3</v>
      </c>
      <c r="AI16" s="20" t="s">
        <v>3</v>
      </c>
      <c r="AJ16" s="20" t="s">
        <v>3</v>
      </c>
      <c r="AK16" s="20" t="s">
        <v>3</v>
      </c>
      <c r="AL16" s="20" t="s">
        <v>4</v>
      </c>
      <c r="AM16" s="386" t="s">
        <v>471</v>
      </c>
      <c r="AN16" s="348" t="s">
        <v>439</v>
      </c>
      <c r="AO16" s="3"/>
      <c r="AQ16" s="85"/>
      <c r="AR16" s="85"/>
      <c r="AS16" s="85"/>
    </row>
    <row r="17" spans="1:45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+INPUT!$K$6</f>
        <v>2.5729999999999999E-2</v>
      </c>
      <c r="Y17" s="41">
        <f>+INPUT!$K$13</f>
        <v>8.52</v>
      </c>
      <c r="Z17" s="41">
        <f>+INPUT!$K$14</f>
        <v>6.84</v>
      </c>
      <c r="AA17" s="41">
        <f>+INPUT!$K$15</f>
        <v>2.0299999999999998</v>
      </c>
      <c r="AB17" s="3"/>
      <c r="AC17" s="3"/>
      <c r="AD17" s="40"/>
      <c r="AG17" s="25"/>
      <c r="AH17" s="40">
        <f>+INPUT!$K$34</f>
        <v>3.1279999999999995E-2</v>
      </c>
      <c r="AI17" s="41">
        <f>+INPUT!$K$41</f>
        <v>8.36</v>
      </c>
      <c r="AJ17" s="41">
        <f>+INPUT!$K$42</f>
        <v>6.71</v>
      </c>
      <c r="AK17" s="41">
        <f>+INPUT!$K$43</f>
        <v>2.79</v>
      </c>
      <c r="AL17" s="20"/>
      <c r="AM17" s="86">
        <f>INPUT!K73</f>
        <v>1.2493850673618749E-4</v>
      </c>
      <c r="AN17" s="86">
        <f>INPUT!K52</f>
        <v>-6.8000000000000005E-4</v>
      </c>
      <c r="AO17" s="40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49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" t="s">
        <v>55</v>
      </c>
      <c r="Z18" s="3" t="s">
        <v>55</v>
      </c>
      <c r="AA18" s="3" t="s">
        <v>55</v>
      </c>
      <c r="AB18" s="3"/>
      <c r="AC18" s="3"/>
      <c r="AD18" s="3"/>
      <c r="AG18" s="25"/>
      <c r="AH18" s="3" t="s">
        <v>11</v>
      </c>
      <c r="AI18" s="3" t="s">
        <v>55</v>
      </c>
      <c r="AJ18" s="3" t="s">
        <v>55</v>
      </c>
      <c r="AK18" s="3" t="s">
        <v>55</v>
      </c>
      <c r="AL18" s="20"/>
      <c r="AM18" s="86" t="s">
        <v>11</v>
      </c>
      <c r="AN18" s="86" t="s">
        <v>11</v>
      </c>
      <c r="AO18" s="3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20"/>
      <c r="AL19" s="20"/>
      <c r="AM19" s="85"/>
      <c r="AN19" s="85"/>
      <c r="AQ19" s="85"/>
      <c r="AR19" s="85"/>
      <c r="AS19" s="85"/>
    </row>
    <row r="20" spans="1:45" x14ac:dyDescent="0.25">
      <c r="A20" s="1">
        <v>250</v>
      </c>
      <c r="B20" s="1"/>
      <c r="C20" s="13">
        <v>0.3</v>
      </c>
      <c r="E20" s="1">
        <f>C20*($A$20*730)</f>
        <v>54750</v>
      </c>
      <c r="F20" s="1"/>
      <c r="G20" s="28">
        <f>+AB20</f>
        <v>5347.7770513839369</v>
      </c>
      <c r="H20" s="28">
        <f>+AL20</f>
        <v>5783.0778433773567</v>
      </c>
      <c r="I20" s="28">
        <f>AM20</f>
        <v>6.8403832438062651</v>
      </c>
      <c r="J20" s="90">
        <f>+H20-(I20+G20)</f>
        <v>428.46040874961363</v>
      </c>
      <c r="K20" s="54">
        <f>ROUND(+J20/G20,4)</f>
        <v>8.0100000000000005E-2</v>
      </c>
      <c r="L20" s="28">
        <f>ROUND($X$10*$E20,2)</f>
        <v>-76.8</v>
      </c>
      <c r="M20" s="28">
        <f>ROUND($X$11*$E20,2)</f>
        <v>0</v>
      </c>
      <c r="N20" s="28">
        <f>ROUND($X$12*$E20,2)</f>
        <v>47.19</v>
      </c>
      <c r="O20" s="28">
        <f>+G20+I20+L20+M20+N20</f>
        <v>5325.0074346277424</v>
      </c>
      <c r="P20" s="28">
        <f>+H20+L20+M20+N20</f>
        <v>5753.4678433773561</v>
      </c>
      <c r="Q20" s="54">
        <f>ROUND((P20-O20)/O20,4)</f>
        <v>8.0500000000000002E-2</v>
      </c>
      <c r="R20" s="28">
        <f>AN20</f>
        <v>-37.230000000000004</v>
      </c>
      <c r="S20" s="90">
        <f>P20+R20</f>
        <v>5716.2378433773565</v>
      </c>
      <c r="T20" s="91">
        <f>ROUND((S20-O20)/O20,4)</f>
        <v>7.3499999999999996E-2</v>
      </c>
      <c r="U20" s="1"/>
      <c r="W20" s="7">
        <f>+INPUT!$K$4</f>
        <v>329.9425</v>
      </c>
      <c r="X20" s="19">
        <f>$X$17*E20</f>
        <v>1408.7175</v>
      </c>
      <c r="Y20" s="19">
        <f>$Y$17*$A$20*INPUT!$E$93</f>
        <v>1709.2500723498101</v>
      </c>
      <c r="Z20" s="19">
        <f>$Z$17*$A$20*INPUT!$F$93</f>
        <v>1392.3669790341264</v>
      </c>
      <c r="AA20" s="19">
        <f>$AA$17*$A$20</f>
        <v>507.49999999999994</v>
      </c>
      <c r="AB20" s="24">
        <f>W20+X20+Y20+Z20+AA20</f>
        <v>5347.7770513839369</v>
      </c>
      <c r="AC20" s="24"/>
      <c r="AD20" s="19"/>
      <c r="AG20" s="7">
        <f>INPUT!$K$32</f>
        <v>329.9425</v>
      </c>
      <c r="AH20" s="19">
        <f>$AH$17*E20</f>
        <v>1712.5799999999997</v>
      </c>
      <c r="AI20" s="19">
        <f>$A$20*$AI$17*INPUT!$E$93</f>
        <v>1677.1514794418326</v>
      </c>
      <c r="AJ20" s="19">
        <f>$A$20*$AJ$17*INPUT!$F$93</f>
        <v>1365.9038639355247</v>
      </c>
      <c r="AK20" s="19">
        <f>$A$20*$AK$17</f>
        <v>697.5</v>
      </c>
      <c r="AL20" s="24">
        <f>AG20+AH20+AI20+AJ20+AK20</f>
        <v>5783.0778433773567</v>
      </c>
      <c r="AM20" s="84">
        <f>$AM$17*E20</f>
        <v>6.8403832438062651</v>
      </c>
      <c r="AN20" s="84">
        <f>$AN$17*E20</f>
        <v>-37.230000000000004</v>
      </c>
      <c r="AO20" s="19"/>
      <c r="AP20" s="17"/>
      <c r="AQ20" s="38"/>
      <c r="AR20" s="17"/>
      <c r="AS20" s="394"/>
    </row>
    <row r="21" spans="1:45" x14ac:dyDescent="0.25">
      <c r="C21" s="13">
        <v>0.5</v>
      </c>
      <c r="E21" s="1">
        <f>C21*($A$20*730)</f>
        <v>91250</v>
      </c>
      <c r="F21" s="1"/>
      <c r="G21" s="28">
        <f t="shared" ref="G21:G38" si="0">+AB21</f>
        <v>6286.9220513839364</v>
      </c>
      <c r="H21" s="28">
        <f>+AL21</f>
        <v>6924.7978433773578</v>
      </c>
      <c r="I21" s="28">
        <f t="shared" ref="I21:I38" si="1">AM21</f>
        <v>11.400638739677108</v>
      </c>
      <c r="J21" s="90">
        <f t="shared" ref="J21:J38" si="2">+H21-(I21+G21)</f>
        <v>626.47515325374388</v>
      </c>
      <c r="K21" s="54">
        <f>ROUND(+J21/G21,4)</f>
        <v>9.9599999999999994E-2</v>
      </c>
      <c r="L21" s="28">
        <f>ROUND($X$10*$E21,2)</f>
        <v>-128.01</v>
      </c>
      <c r="M21" s="28">
        <f>ROUND($X$11*$E21,2)</f>
        <v>0</v>
      </c>
      <c r="N21" s="28">
        <f>ROUND($X$12*$E21,2)</f>
        <v>78.650000000000006</v>
      </c>
      <c r="O21" s="28">
        <f t="shared" ref="O21:O37" si="3">+G21+I21+L21+M21+N21</f>
        <v>6248.9626901236134</v>
      </c>
      <c r="P21" s="28">
        <f>+H21+L21+M21+N21</f>
        <v>6875.4378433773572</v>
      </c>
      <c r="Q21" s="54">
        <f>ROUND((P21-O21)/O21,4)</f>
        <v>0.1003</v>
      </c>
      <c r="R21" s="28">
        <f t="shared" ref="R21:R38" si="4">AN21</f>
        <v>-62.050000000000004</v>
      </c>
      <c r="S21" s="90">
        <f t="shared" ref="S21:S38" si="5">P21+R21</f>
        <v>6813.3878433773571</v>
      </c>
      <c r="T21" s="91">
        <f t="shared" ref="T21:T38" si="6">ROUND((S21-O21)/O21,4)</f>
        <v>9.0300000000000005E-2</v>
      </c>
      <c r="U21" s="1"/>
      <c r="W21" s="7">
        <f>$W$20</f>
        <v>329.9425</v>
      </c>
      <c r="X21" s="19">
        <f>$X$17*E21</f>
        <v>2347.8624999999997</v>
      </c>
      <c r="Y21" s="19">
        <f>$Y$17*$A$20*INPUT!$E$93</f>
        <v>1709.2500723498101</v>
      </c>
      <c r="Z21" s="19">
        <f>$Z$17*$A$20*INPUT!$F$93</f>
        <v>1392.3669790341264</v>
      </c>
      <c r="AA21" s="19">
        <f>$AA$17*$A$20</f>
        <v>507.49999999999994</v>
      </c>
      <c r="AB21" s="24">
        <f>W21+X21+Y21+Z21+AA21</f>
        <v>6286.9220513839364</v>
      </c>
      <c r="AC21" s="24"/>
      <c r="AD21" s="19"/>
      <c r="AG21" s="7">
        <f>$AG$20</f>
        <v>329.9425</v>
      </c>
      <c r="AH21" s="19">
        <f>$AH$17*E21</f>
        <v>2854.2999999999997</v>
      </c>
      <c r="AI21" s="19">
        <f>$A$20*$AI$17*INPUT!$E$93</f>
        <v>1677.1514794418326</v>
      </c>
      <c r="AJ21" s="19">
        <f>$A$20*$AJ$17*INPUT!$F$93</f>
        <v>1365.9038639355247</v>
      </c>
      <c r="AK21" s="19">
        <f>$A$20*$AK$17</f>
        <v>697.5</v>
      </c>
      <c r="AL21" s="24">
        <f>AG21+AH21+AI21+AJ21+AK21</f>
        <v>6924.7978433773578</v>
      </c>
      <c r="AM21" s="84">
        <f t="shared" ref="AM21:AM37" si="7">$AM$17*E21</f>
        <v>11.400638739677108</v>
      </c>
      <c r="AN21" s="84">
        <f t="shared" ref="AN21:AN37" si="8">$AN$17*E21</f>
        <v>-62.050000000000004</v>
      </c>
      <c r="AO21" s="19"/>
      <c r="AP21" s="17"/>
      <c r="AQ21" s="38"/>
      <c r="AR21" s="17"/>
      <c r="AS21" s="394"/>
    </row>
    <row r="22" spans="1:45" x14ac:dyDescent="0.25">
      <c r="C22" s="13">
        <v>0.7</v>
      </c>
      <c r="E22" s="1">
        <f>C22*($A$20*730)</f>
        <v>127749.99999999999</v>
      </c>
      <c r="F22" s="1"/>
      <c r="G22" s="28">
        <f t="shared" si="0"/>
        <v>7226.0670513839359</v>
      </c>
      <c r="H22" s="28">
        <f>+AL22</f>
        <v>8066.5178433773563</v>
      </c>
      <c r="I22" s="28">
        <f t="shared" si="1"/>
        <v>15.960894235547951</v>
      </c>
      <c r="J22" s="90">
        <f t="shared" si="2"/>
        <v>824.48989775787231</v>
      </c>
      <c r="K22" s="54">
        <f>ROUND(+J22/G22,4)</f>
        <v>0.11409999999999999</v>
      </c>
      <c r="L22" s="28">
        <f>ROUND($X$10*$E22,2)</f>
        <v>-179.21</v>
      </c>
      <c r="M22" s="28">
        <f>ROUND($X$11*$E22,2)</f>
        <v>0</v>
      </c>
      <c r="N22" s="28">
        <f>ROUND($X$12*$E22,2)</f>
        <v>110.12</v>
      </c>
      <c r="O22" s="28">
        <f t="shared" si="3"/>
        <v>7172.9379456194838</v>
      </c>
      <c r="P22" s="28">
        <f>+H22+L22+M22+N22</f>
        <v>7997.4278433773561</v>
      </c>
      <c r="Q22" s="54">
        <f>ROUND((P22-O22)/O22,4)</f>
        <v>0.1149</v>
      </c>
      <c r="R22" s="28">
        <f t="shared" si="4"/>
        <v>-86.86999999999999</v>
      </c>
      <c r="S22" s="90">
        <f t="shared" si="5"/>
        <v>7910.5578433773562</v>
      </c>
      <c r="T22" s="91">
        <f t="shared" si="6"/>
        <v>0.1028</v>
      </c>
      <c r="U22" s="1"/>
      <c r="W22" s="7">
        <f>$W$20</f>
        <v>329.9425</v>
      </c>
      <c r="X22" s="19">
        <f>$X$17*E22</f>
        <v>3287.0074999999997</v>
      </c>
      <c r="Y22" s="19">
        <f>$Y$17*$A$20*INPUT!$E$93</f>
        <v>1709.2500723498101</v>
      </c>
      <c r="Z22" s="19">
        <f>$Z$17*$A$20*INPUT!$F$93</f>
        <v>1392.3669790341264</v>
      </c>
      <c r="AA22" s="19">
        <f>$AA$17*$A$20</f>
        <v>507.49999999999994</v>
      </c>
      <c r="AB22" s="24">
        <f>W22+X22+Y22+Z22+AA22</f>
        <v>7226.0670513839359</v>
      </c>
      <c r="AC22" s="24"/>
      <c r="AD22" s="19"/>
      <c r="AG22" s="7">
        <f>$AG$20</f>
        <v>329.9425</v>
      </c>
      <c r="AH22" s="19">
        <f>$AH$17*E22</f>
        <v>3996.0199999999991</v>
      </c>
      <c r="AI22" s="19">
        <f>$A$20*$AI$17*INPUT!$E$93</f>
        <v>1677.1514794418326</v>
      </c>
      <c r="AJ22" s="19">
        <f>$A$20*$AJ$17*INPUT!$F$93</f>
        <v>1365.9038639355247</v>
      </c>
      <c r="AK22" s="19">
        <f>$A$20*$AK$17</f>
        <v>697.5</v>
      </c>
      <c r="AL22" s="24">
        <f>AG22+AH22+AI22+AJ22+AK22</f>
        <v>8066.5178433773563</v>
      </c>
      <c r="AM22" s="84">
        <f t="shared" si="7"/>
        <v>15.960894235547951</v>
      </c>
      <c r="AN22" s="84">
        <f t="shared" si="8"/>
        <v>-86.86999999999999</v>
      </c>
      <c r="AO22" s="19"/>
      <c r="AP22" s="17"/>
      <c r="AQ22" s="38"/>
      <c r="AR22" s="17"/>
      <c r="AS22" s="394"/>
    </row>
    <row r="23" spans="1:45" x14ac:dyDescent="0.25">
      <c r="C23" s="13"/>
      <c r="E23" s="1"/>
      <c r="F23" s="1"/>
      <c r="G23" s="28"/>
      <c r="H23" s="28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19"/>
      <c r="AB23" s="24"/>
      <c r="AC23" s="24"/>
      <c r="AG23" s="7"/>
      <c r="AH23" s="19"/>
      <c r="AI23" s="19"/>
      <c r="AJ23" s="19"/>
      <c r="AK23" s="19"/>
      <c r="AL23" s="24"/>
      <c r="AM23" s="84"/>
      <c r="AN23" s="84"/>
      <c r="AP23" s="17"/>
      <c r="AQ23" s="84"/>
      <c r="AR23" s="17"/>
      <c r="AS23" s="84"/>
    </row>
    <row r="24" spans="1:45" x14ac:dyDescent="0.25">
      <c r="A24" s="1">
        <v>5000</v>
      </c>
      <c r="B24" s="1"/>
      <c r="C24" s="13">
        <v>0.3</v>
      </c>
      <c r="E24" s="1">
        <f>C24*($A$24*730)</f>
        <v>1095000</v>
      </c>
      <c r="F24" s="1"/>
      <c r="G24" s="28">
        <f t="shared" si="0"/>
        <v>100686.63352767873</v>
      </c>
      <c r="H24" s="28">
        <f>+AL24</f>
        <v>109392.64936754713</v>
      </c>
      <c r="I24" s="28">
        <f t="shared" si="1"/>
        <v>136.8076648761253</v>
      </c>
      <c r="J24" s="90">
        <f t="shared" si="2"/>
        <v>8569.20817499228</v>
      </c>
      <c r="K24" s="54">
        <f>ROUND(+J24/G24,4)</f>
        <v>8.5099999999999995E-2</v>
      </c>
      <c r="L24" s="28">
        <f>ROUND($X$10*$E24,2)</f>
        <v>-1536.06</v>
      </c>
      <c r="M24" s="28">
        <f>ROUND($X$11*$E24,2)</f>
        <v>0</v>
      </c>
      <c r="N24" s="28">
        <f>ROUND($X$12*$E24,2)</f>
        <v>943.85</v>
      </c>
      <c r="O24" s="28">
        <f t="shared" si="3"/>
        <v>100231.23119255486</v>
      </c>
      <c r="P24" s="28">
        <f>+H24+L24+M24+N24</f>
        <v>108800.43936754714</v>
      </c>
      <c r="Q24" s="54">
        <f>ROUND((P24-O24)/O24,4)</f>
        <v>8.5500000000000007E-2</v>
      </c>
      <c r="R24" s="28">
        <f t="shared" si="4"/>
        <v>-744.6</v>
      </c>
      <c r="S24" s="90">
        <f t="shared" si="5"/>
        <v>108055.83936754713</v>
      </c>
      <c r="T24" s="91">
        <f t="shared" si="6"/>
        <v>7.8100000000000003E-2</v>
      </c>
      <c r="U24" s="1"/>
      <c r="W24" s="7">
        <f>$W$20</f>
        <v>329.9425</v>
      </c>
      <c r="X24" s="19">
        <f>$X$17*E24</f>
        <v>28174.35</v>
      </c>
      <c r="Y24" s="19">
        <f>$Y$17*$A$24*INPUT!$E$93</f>
        <v>34185.001446996204</v>
      </c>
      <c r="Z24" s="19">
        <f>$Z$17*$A$24*INPUT!$F$93</f>
        <v>27847.339580682528</v>
      </c>
      <c r="AA24" s="19">
        <f>$AA$17*$A$24</f>
        <v>10149.999999999998</v>
      </c>
      <c r="AB24" s="24">
        <f>W24+X24+Y24+Z24+AA24</f>
        <v>100686.63352767873</v>
      </c>
      <c r="AC24" s="24"/>
      <c r="AD24" s="19"/>
      <c r="AG24" s="7">
        <f>$AG$20</f>
        <v>329.9425</v>
      </c>
      <c r="AH24" s="19">
        <f>$AH$17*E24</f>
        <v>34251.599999999991</v>
      </c>
      <c r="AI24" s="19">
        <f>$A$24*$AI$17*INPUT!$E$93</f>
        <v>33543.029588836653</v>
      </c>
      <c r="AJ24" s="19">
        <f>$A$24*$AJ$17*INPUT!$F$93</f>
        <v>27318.077278710494</v>
      </c>
      <c r="AK24" s="19">
        <f>$A$24*$AK$17</f>
        <v>13950</v>
      </c>
      <c r="AL24" s="24">
        <f>AG24+AH24+AI24+AJ24+AK24</f>
        <v>109392.64936754713</v>
      </c>
      <c r="AM24" s="84">
        <f t="shared" si="7"/>
        <v>136.8076648761253</v>
      </c>
      <c r="AN24" s="84">
        <f t="shared" si="8"/>
        <v>-744.6</v>
      </c>
      <c r="AO24" s="19"/>
      <c r="AP24" s="17"/>
      <c r="AQ24" s="38"/>
      <c r="AR24" s="144"/>
      <c r="AS24" s="394"/>
    </row>
    <row r="25" spans="1:45" x14ac:dyDescent="0.25">
      <c r="C25" s="13">
        <v>0.5</v>
      </c>
      <c r="E25" s="1">
        <f>C25*($A$24*730)</f>
        <v>1825000</v>
      </c>
      <c r="F25" s="1"/>
      <c r="G25" s="28">
        <f t="shared" si="0"/>
        <v>119469.53352767874</v>
      </c>
      <c r="H25" s="28">
        <f>+AL25</f>
        <v>132227.04936754715</v>
      </c>
      <c r="I25" s="28">
        <f t="shared" si="1"/>
        <v>228.01277479354218</v>
      </c>
      <c r="J25" s="90">
        <f t="shared" si="2"/>
        <v>12529.503065074867</v>
      </c>
      <c r="K25" s="54">
        <f>ROUND(+J25/G25,4)</f>
        <v>0.10489999999999999</v>
      </c>
      <c r="L25" s="28">
        <f>ROUND($X$10*$E25,2)</f>
        <v>-2560.1</v>
      </c>
      <c r="M25" s="28">
        <f>ROUND($X$11*$E25,2)</f>
        <v>0</v>
      </c>
      <c r="N25" s="28">
        <f>ROUND($X$12*$E25,2)</f>
        <v>1573.09</v>
      </c>
      <c r="O25" s="28">
        <f t="shared" si="3"/>
        <v>118710.53630247228</v>
      </c>
      <c r="P25" s="28">
        <f>+H25+L25+M25+N25</f>
        <v>131240.03936754714</v>
      </c>
      <c r="Q25" s="54">
        <f>ROUND((P25-O25)/O25,4)</f>
        <v>0.1055</v>
      </c>
      <c r="R25" s="28">
        <f t="shared" si="4"/>
        <v>-1241</v>
      </c>
      <c r="S25" s="90">
        <f t="shared" si="5"/>
        <v>129999.03936754714</v>
      </c>
      <c r="T25" s="91">
        <f t="shared" si="6"/>
        <v>9.5100000000000004E-2</v>
      </c>
      <c r="U25" s="1"/>
      <c r="W25" s="7">
        <f>$W$20</f>
        <v>329.9425</v>
      </c>
      <c r="X25" s="19">
        <f>$X$17*E25</f>
        <v>46957.25</v>
      </c>
      <c r="Y25" s="19">
        <f>$Y$17*$A$24*INPUT!$E$93</f>
        <v>34185.001446996204</v>
      </c>
      <c r="Z25" s="19">
        <f>$Z$17*$A$24*INPUT!$F$93</f>
        <v>27847.339580682528</v>
      </c>
      <c r="AA25" s="19">
        <f>$AA$17*$A$24</f>
        <v>10149.999999999998</v>
      </c>
      <c r="AB25" s="24">
        <f>W25+X25+Y25+Z25+AA25</f>
        <v>119469.53352767874</v>
      </c>
      <c r="AC25" s="24"/>
      <c r="AD25" s="19"/>
      <c r="AG25" s="7">
        <f>$AG$20</f>
        <v>329.9425</v>
      </c>
      <c r="AH25" s="19">
        <f>$AH$17*E25</f>
        <v>57085.999999999993</v>
      </c>
      <c r="AI25" s="19">
        <f>$A$24*$AI$17*INPUT!$E$93</f>
        <v>33543.029588836653</v>
      </c>
      <c r="AJ25" s="19">
        <f>$A$24*$AJ$17*INPUT!$F$93</f>
        <v>27318.077278710494</v>
      </c>
      <c r="AK25" s="19">
        <f>$A$24*$AK$17</f>
        <v>13950</v>
      </c>
      <c r="AL25" s="24">
        <f>AG25+AH25+AI25+AJ25+AK25</f>
        <v>132227.04936754715</v>
      </c>
      <c r="AM25" s="84">
        <f t="shared" si="7"/>
        <v>228.01277479354218</v>
      </c>
      <c r="AN25" s="84">
        <f t="shared" si="8"/>
        <v>-1241</v>
      </c>
      <c r="AO25" s="19"/>
      <c r="AP25" s="17"/>
      <c r="AQ25" s="38"/>
      <c r="AR25" s="144"/>
      <c r="AS25" s="394"/>
    </row>
    <row r="26" spans="1:45" x14ac:dyDescent="0.25">
      <c r="C26" s="13">
        <v>0.7</v>
      </c>
      <c r="E26" s="1">
        <f>C26*($A$24*730)</f>
        <v>2555000</v>
      </c>
      <c r="F26" s="1"/>
      <c r="G26" s="28">
        <f t="shared" si="0"/>
        <v>138252.43352767872</v>
      </c>
      <c r="H26" s="28">
        <f>+AL26</f>
        <v>155061.44936754715</v>
      </c>
      <c r="I26" s="28">
        <f t="shared" si="1"/>
        <v>319.21788471095903</v>
      </c>
      <c r="J26" s="90">
        <f t="shared" si="2"/>
        <v>16489.797955157468</v>
      </c>
      <c r="K26" s="54">
        <f>ROUND(+J26/G26,4)</f>
        <v>0.1193</v>
      </c>
      <c r="L26" s="28">
        <f>ROUND($X$10*$E26,2)</f>
        <v>-3584.15</v>
      </c>
      <c r="M26" s="28">
        <f>ROUND($X$11*$E26,2)</f>
        <v>0</v>
      </c>
      <c r="N26" s="28">
        <f>ROUND($X$12*$E26,2)</f>
        <v>2202.33</v>
      </c>
      <c r="O26" s="28">
        <f t="shared" si="3"/>
        <v>137189.83141238967</v>
      </c>
      <c r="P26" s="28">
        <f>+H26+L26+M26+N26</f>
        <v>153679.62936754714</v>
      </c>
      <c r="Q26" s="54">
        <f>ROUND((P26-O26)/O26,4)</f>
        <v>0.1202</v>
      </c>
      <c r="R26" s="28">
        <f t="shared" si="4"/>
        <v>-1737.4</v>
      </c>
      <c r="S26" s="90">
        <f t="shared" si="5"/>
        <v>151942.22936754714</v>
      </c>
      <c r="T26" s="91">
        <f t="shared" si="6"/>
        <v>0.1075</v>
      </c>
      <c r="U26" s="1"/>
      <c r="W26" s="7">
        <f>$W$20</f>
        <v>329.9425</v>
      </c>
      <c r="X26" s="19">
        <f>$X$17*E26</f>
        <v>65740.149999999994</v>
      </c>
      <c r="Y26" s="19">
        <f>$Y$17*$A$24*INPUT!$E$93</f>
        <v>34185.001446996204</v>
      </c>
      <c r="Z26" s="19">
        <f>$Z$17*$A$24*INPUT!$F$93</f>
        <v>27847.339580682528</v>
      </c>
      <c r="AA26" s="19">
        <f>$AA$17*$A$24</f>
        <v>10149.999999999998</v>
      </c>
      <c r="AB26" s="24">
        <f>W26+X26+Y26+Z26+AA26</f>
        <v>138252.43352767872</v>
      </c>
      <c r="AC26" s="24"/>
      <c r="AD26" s="19"/>
      <c r="AG26" s="7">
        <f>$AG$20</f>
        <v>329.9425</v>
      </c>
      <c r="AH26" s="19">
        <f>$AH$17*E26</f>
        <v>79920.399999999994</v>
      </c>
      <c r="AI26" s="19">
        <f>$A$24*$AI$17*INPUT!$E$93</f>
        <v>33543.029588836653</v>
      </c>
      <c r="AJ26" s="19">
        <f>$A$24*$AJ$17*INPUT!$F$93</f>
        <v>27318.077278710494</v>
      </c>
      <c r="AK26" s="19">
        <f>$A$24*$AK$17</f>
        <v>13950</v>
      </c>
      <c r="AL26" s="24">
        <f>AG26+AH26+AI26+AJ26+AK26</f>
        <v>155061.44936754715</v>
      </c>
      <c r="AM26" s="84">
        <f t="shared" si="7"/>
        <v>319.21788471095903</v>
      </c>
      <c r="AN26" s="84">
        <f t="shared" si="8"/>
        <v>-1737.4</v>
      </c>
      <c r="AO26" s="19"/>
      <c r="AP26" s="17"/>
      <c r="AQ26" s="38"/>
      <c r="AR26" s="17"/>
      <c r="AS26" s="394"/>
    </row>
    <row r="27" spans="1:45" x14ac:dyDescent="0.25">
      <c r="C27" s="13"/>
      <c r="E27" s="1"/>
      <c r="F27" s="1"/>
      <c r="G27" s="28"/>
      <c r="H27" s="28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19"/>
      <c r="AB27" s="24"/>
      <c r="AC27" s="24"/>
      <c r="AG27" s="7"/>
      <c r="AH27" s="19"/>
      <c r="AI27" s="19"/>
      <c r="AJ27" s="19"/>
      <c r="AK27" s="19"/>
      <c r="AL27" s="24"/>
      <c r="AM27" s="84"/>
      <c r="AN27" s="84"/>
      <c r="AP27" s="17"/>
      <c r="AQ27" s="84"/>
      <c r="AR27" s="17"/>
      <c r="AS27" s="84"/>
    </row>
    <row r="28" spans="1:45" x14ac:dyDescent="0.25">
      <c r="A28" s="1">
        <v>10000</v>
      </c>
      <c r="B28" s="1"/>
      <c r="C28" s="13">
        <v>0.3</v>
      </c>
      <c r="E28" s="1">
        <f>C28*($A$28*730)</f>
        <v>2190000</v>
      </c>
      <c r="F28" s="1"/>
      <c r="G28" s="28">
        <f t="shared" si="0"/>
        <v>201043.32455535745</v>
      </c>
      <c r="H28" s="28">
        <f>+AL28</f>
        <v>218455.35623509428</v>
      </c>
      <c r="I28" s="28">
        <f t="shared" si="1"/>
        <v>273.6153297522506</v>
      </c>
      <c r="J28" s="90">
        <f t="shared" si="2"/>
        <v>17138.416349984589</v>
      </c>
      <c r="K28" s="54">
        <f>ROUND(+J28/G28,4)</f>
        <v>8.5199999999999998E-2</v>
      </c>
      <c r="L28" s="28">
        <f>ROUND($X$10*$E28,2)</f>
        <v>-3072.13</v>
      </c>
      <c r="M28" s="28">
        <f>ROUND($X$11*$E28,2)</f>
        <v>0</v>
      </c>
      <c r="N28" s="28">
        <f>ROUND($X$12*$E28,2)</f>
        <v>1887.71</v>
      </c>
      <c r="O28" s="28">
        <f t="shared" si="3"/>
        <v>200132.51988510968</v>
      </c>
      <c r="P28" s="28">
        <f>+H28+L28+M28+N28</f>
        <v>217270.93623509427</v>
      </c>
      <c r="Q28" s="54">
        <f>ROUND((P28-O28)/O28,4)</f>
        <v>8.5599999999999996E-2</v>
      </c>
      <c r="R28" s="28">
        <f t="shared" si="4"/>
        <v>-1489.2</v>
      </c>
      <c r="S28" s="90">
        <f t="shared" si="5"/>
        <v>215781.73623509426</v>
      </c>
      <c r="T28" s="91">
        <f t="shared" si="6"/>
        <v>7.8200000000000006E-2</v>
      </c>
      <c r="U28" s="1"/>
      <c r="W28" s="7">
        <f>$W$20</f>
        <v>329.9425</v>
      </c>
      <c r="X28" s="19">
        <f>$X$17*E28</f>
        <v>56348.7</v>
      </c>
      <c r="Y28" s="19">
        <f>$Y$17*$A$28*INPUT!$E$93</f>
        <v>68370.002893992409</v>
      </c>
      <c r="Z28" s="19">
        <f>$Z$17*$A$28*INPUT!$F$93</f>
        <v>55694.679161365057</v>
      </c>
      <c r="AA28" s="19">
        <f>$AA$17*$A$28</f>
        <v>20299.999999999996</v>
      </c>
      <c r="AB28" s="24">
        <f>W28+X28+Y28+Z28+AA28</f>
        <v>201043.32455535745</v>
      </c>
      <c r="AC28" s="24"/>
      <c r="AD28" s="19"/>
      <c r="AG28" s="7">
        <f>$AG$20</f>
        <v>329.9425</v>
      </c>
      <c r="AH28" s="19">
        <f>$AH$17*E28</f>
        <v>68503.199999999983</v>
      </c>
      <c r="AI28" s="19">
        <f>$A$28*$AI$17*INPUT!$E$93</f>
        <v>67086.059177673305</v>
      </c>
      <c r="AJ28" s="19">
        <f>$A$28*$AJ$17*INPUT!$F$93</f>
        <v>54636.154557420989</v>
      </c>
      <c r="AK28" s="19">
        <f>$A$28*$AK$17</f>
        <v>27900</v>
      </c>
      <c r="AL28" s="24">
        <f>AG28+AH28+AI28+AJ28+AK28</f>
        <v>218455.35623509428</v>
      </c>
      <c r="AM28" s="84">
        <f t="shared" si="7"/>
        <v>273.6153297522506</v>
      </c>
      <c r="AN28" s="84">
        <f t="shared" si="8"/>
        <v>-1489.2</v>
      </c>
      <c r="AO28" s="19"/>
      <c r="AP28" s="17"/>
      <c r="AQ28" s="38"/>
      <c r="AR28" s="17"/>
      <c r="AS28" s="394"/>
    </row>
    <row r="29" spans="1:45" x14ac:dyDescent="0.25">
      <c r="C29" s="13">
        <v>0.5</v>
      </c>
      <c r="E29" s="1">
        <f>C29*($A$28*730)</f>
        <v>3650000</v>
      </c>
      <c r="F29" s="1"/>
      <c r="G29" s="28">
        <f t="shared" si="0"/>
        <v>238609.12455535747</v>
      </c>
      <c r="H29" s="28">
        <f>+AL29</f>
        <v>264124.1562350943</v>
      </c>
      <c r="I29" s="28">
        <f t="shared" si="1"/>
        <v>456.02554958708436</v>
      </c>
      <c r="J29" s="90">
        <f t="shared" si="2"/>
        <v>25059.006130149734</v>
      </c>
      <c r="K29" s="54">
        <f>ROUND(+J29/G29,4)</f>
        <v>0.105</v>
      </c>
      <c r="L29" s="28">
        <f>ROUND($X$10*$E29,2)</f>
        <v>-5120.21</v>
      </c>
      <c r="M29" s="28">
        <f>ROUND($X$11*$E29,2)</f>
        <v>0</v>
      </c>
      <c r="N29" s="28">
        <f>ROUND($X$12*$E29,2)</f>
        <v>3146.18</v>
      </c>
      <c r="O29" s="28">
        <f t="shared" si="3"/>
        <v>237091.12010494457</v>
      </c>
      <c r="P29" s="28">
        <f>+H29+L29+M29+N29</f>
        <v>262150.12623509433</v>
      </c>
      <c r="Q29" s="54">
        <f>ROUND((P29-O29)/O29,4)</f>
        <v>0.1057</v>
      </c>
      <c r="R29" s="28">
        <f t="shared" si="4"/>
        <v>-2482</v>
      </c>
      <c r="S29" s="90">
        <f t="shared" si="5"/>
        <v>259668.12623509433</v>
      </c>
      <c r="T29" s="91">
        <f t="shared" si="6"/>
        <v>9.5200000000000007E-2</v>
      </c>
      <c r="U29" s="1"/>
      <c r="W29" s="7">
        <f>$W$20</f>
        <v>329.9425</v>
      </c>
      <c r="X29" s="19">
        <f>$X$17*E29</f>
        <v>93914.5</v>
      </c>
      <c r="Y29" s="19">
        <f>$Y$17*$A$28*INPUT!$E$93</f>
        <v>68370.002893992409</v>
      </c>
      <c r="Z29" s="19">
        <f>$Z$17*$A$28*INPUT!$F$93</f>
        <v>55694.679161365057</v>
      </c>
      <c r="AA29" s="19">
        <f>$AA$17*$A$28</f>
        <v>20299.999999999996</v>
      </c>
      <c r="AB29" s="24">
        <f>W29+X29+Y29+Z29+AA29</f>
        <v>238609.12455535747</v>
      </c>
      <c r="AC29" s="24"/>
      <c r="AD29" s="19"/>
      <c r="AG29" s="7">
        <f>$AG$20</f>
        <v>329.9425</v>
      </c>
      <c r="AH29" s="19">
        <f>$AH$17*E29</f>
        <v>114171.99999999999</v>
      </c>
      <c r="AI29" s="19">
        <f>$A$28*$AI$17*INPUT!$E$93</f>
        <v>67086.059177673305</v>
      </c>
      <c r="AJ29" s="19">
        <f>$A$28*$AJ$17*INPUT!$F$93</f>
        <v>54636.154557420989</v>
      </c>
      <c r="AK29" s="19">
        <f>$A$28*$AK$17</f>
        <v>27900</v>
      </c>
      <c r="AL29" s="24">
        <f>AG29+AH29+AI29+AJ29+AK29</f>
        <v>264124.1562350943</v>
      </c>
      <c r="AM29" s="84">
        <f t="shared" si="7"/>
        <v>456.02554958708436</v>
      </c>
      <c r="AN29" s="84">
        <f t="shared" si="8"/>
        <v>-2482</v>
      </c>
      <c r="AO29" s="19"/>
      <c r="AP29" s="17"/>
      <c r="AQ29" s="38"/>
      <c r="AR29" s="17"/>
      <c r="AS29" s="394"/>
    </row>
    <row r="30" spans="1:45" x14ac:dyDescent="0.25">
      <c r="C30" s="13">
        <v>0.7</v>
      </c>
      <c r="E30" s="1">
        <f>C30*($A$28*730)</f>
        <v>5110000</v>
      </c>
      <c r="F30" s="1"/>
      <c r="G30" s="28">
        <f t="shared" si="0"/>
        <v>276174.92455535743</v>
      </c>
      <c r="H30" s="28">
        <f>+AL30</f>
        <v>309792.95623509429</v>
      </c>
      <c r="I30" s="28">
        <f t="shared" si="1"/>
        <v>638.43576942191805</v>
      </c>
      <c r="J30" s="90">
        <f t="shared" si="2"/>
        <v>32979.595910314936</v>
      </c>
      <c r="K30" s="54">
        <f>ROUND(+J30/G30,4)</f>
        <v>0.11940000000000001</v>
      </c>
      <c r="L30" s="28">
        <f>ROUND($X$10*$E30,2)</f>
        <v>-7168.29</v>
      </c>
      <c r="M30" s="28">
        <f>ROUND($X$11*$E30,2)</f>
        <v>0</v>
      </c>
      <c r="N30" s="28">
        <f>ROUND($X$12*$E30,2)</f>
        <v>4404.6499999999996</v>
      </c>
      <c r="O30" s="28">
        <f t="shared" si="3"/>
        <v>274049.7203247794</v>
      </c>
      <c r="P30" s="28">
        <f>+H30+L30+M30+N30</f>
        <v>307029.31623509433</v>
      </c>
      <c r="Q30" s="54">
        <f>ROUND((P30-O30)/O30,4)</f>
        <v>0.1203</v>
      </c>
      <c r="R30" s="28">
        <f t="shared" si="4"/>
        <v>-3474.8</v>
      </c>
      <c r="S30" s="90">
        <f t="shared" si="5"/>
        <v>303554.51623509434</v>
      </c>
      <c r="T30" s="91">
        <f t="shared" si="6"/>
        <v>0.1077</v>
      </c>
      <c r="U30" s="1"/>
      <c r="W30" s="7">
        <f>$W$20</f>
        <v>329.9425</v>
      </c>
      <c r="X30" s="19">
        <f>$X$17*E30</f>
        <v>131480.29999999999</v>
      </c>
      <c r="Y30" s="19">
        <f>$Y$17*$A$28*INPUT!$E$93</f>
        <v>68370.002893992409</v>
      </c>
      <c r="Z30" s="19">
        <f>$Z$17*$A$28*INPUT!$F$93</f>
        <v>55694.679161365057</v>
      </c>
      <c r="AA30" s="19">
        <f>$AA$17*$A$28</f>
        <v>20299.999999999996</v>
      </c>
      <c r="AB30" s="24">
        <f>W30+X30+Y30+Z30+AA30</f>
        <v>276174.92455535743</v>
      </c>
      <c r="AC30" s="24"/>
      <c r="AD30" s="19"/>
      <c r="AG30" s="7">
        <f>$AG$20</f>
        <v>329.9425</v>
      </c>
      <c r="AH30" s="19">
        <f>$AH$17*E30</f>
        <v>159840.79999999999</v>
      </c>
      <c r="AI30" s="19">
        <f>$A$28*$AI$17*INPUT!$E$93</f>
        <v>67086.059177673305</v>
      </c>
      <c r="AJ30" s="19">
        <f>$A$28*$AJ$17*INPUT!$F$93</f>
        <v>54636.154557420989</v>
      </c>
      <c r="AK30" s="19">
        <f>$A$28*$AK$17</f>
        <v>27900</v>
      </c>
      <c r="AL30" s="24">
        <f>AG30+AH30+AI30+AJ30+AK30</f>
        <v>309792.95623509429</v>
      </c>
      <c r="AM30" s="84">
        <f t="shared" si="7"/>
        <v>638.43576942191805</v>
      </c>
      <c r="AN30" s="84">
        <f t="shared" si="8"/>
        <v>-3474.8</v>
      </c>
      <c r="AO30" s="19"/>
      <c r="AP30" s="17"/>
      <c r="AQ30" s="38"/>
      <c r="AR30" s="17"/>
      <c r="AS30" s="394"/>
    </row>
    <row r="31" spans="1:45" x14ac:dyDescent="0.25">
      <c r="C31" s="13"/>
      <c r="E31" s="1"/>
      <c r="F31" s="1"/>
      <c r="G31" s="28"/>
      <c r="H31" s="28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19"/>
      <c r="AB31" s="24"/>
      <c r="AC31" s="24"/>
      <c r="AG31" s="7"/>
      <c r="AH31" s="19"/>
      <c r="AI31" s="19"/>
      <c r="AJ31" s="19"/>
      <c r="AK31" s="19"/>
      <c r="AL31" s="24"/>
      <c r="AM31" s="84"/>
      <c r="AN31" s="84"/>
      <c r="AP31" s="17"/>
      <c r="AQ31" s="84"/>
      <c r="AR31" s="17"/>
      <c r="AS31" s="84"/>
    </row>
    <row r="32" spans="1:45" x14ac:dyDescent="0.25">
      <c r="A32" s="1">
        <v>25000</v>
      </c>
      <c r="B32" s="1"/>
      <c r="C32" s="13">
        <v>0.3</v>
      </c>
      <c r="E32" s="1">
        <f>C32*($A$32*730)</f>
        <v>5475000</v>
      </c>
      <c r="F32" s="1"/>
      <c r="G32" s="28">
        <f t="shared" si="0"/>
        <v>502113.39763839368</v>
      </c>
      <c r="H32" s="28">
        <f>+AL32</f>
        <v>545643.47683773562</v>
      </c>
      <c r="I32" s="28">
        <f t="shared" si="1"/>
        <v>684.03832438062648</v>
      </c>
      <c r="J32" s="90">
        <f t="shared" si="2"/>
        <v>42846.040874961298</v>
      </c>
      <c r="K32" s="54">
        <f>ROUND(+J32/G32,4)</f>
        <v>8.5300000000000001E-2</v>
      </c>
      <c r="L32" s="28">
        <f>ROUND($X$10*$E32,2)</f>
        <v>-7680.31</v>
      </c>
      <c r="M32" s="28">
        <f>ROUND($X$11*$E32,2)</f>
        <v>0</v>
      </c>
      <c r="N32" s="28">
        <f>ROUND($X$12*$E32,2)</f>
        <v>4719.2700000000004</v>
      </c>
      <c r="O32" s="28">
        <f t="shared" si="3"/>
        <v>499836.39596277435</v>
      </c>
      <c r="P32" s="28">
        <f>+H32+L32+M32+N32</f>
        <v>542682.43683773559</v>
      </c>
      <c r="Q32" s="54">
        <f>ROUND((P32-O32)/O32,4)</f>
        <v>8.5699999999999998E-2</v>
      </c>
      <c r="R32" s="28">
        <f t="shared" si="4"/>
        <v>-3723.0000000000005</v>
      </c>
      <c r="S32" s="90">
        <f t="shared" si="5"/>
        <v>538959.43683773559</v>
      </c>
      <c r="T32" s="91">
        <f t="shared" si="6"/>
        <v>7.8299999999999995E-2</v>
      </c>
      <c r="U32" s="1"/>
      <c r="W32" s="7">
        <f>$W$20</f>
        <v>329.9425</v>
      </c>
      <c r="X32" s="19">
        <f>$X$17*E32</f>
        <v>140871.75</v>
      </c>
      <c r="Y32" s="19">
        <f>$Y$17*$A$32*INPUT!$E$93</f>
        <v>170925.00723498102</v>
      </c>
      <c r="Z32" s="19">
        <f>$Z$17*$A$32*INPUT!$F$93</f>
        <v>139236.69790341266</v>
      </c>
      <c r="AA32" s="19">
        <f>$AA$17*$A$32</f>
        <v>50749.999999999993</v>
      </c>
      <c r="AB32" s="24">
        <f>W32+X32+Y32+Z32+AA32</f>
        <v>502113.39763839368</v>
      </c>
      <c r="AC32" s="24"/>
      <c r="AD32" s="19"/>
      <c r="AG32" s="7">
        <f>$AG$20</f>
        <v>329.9425</v>
      </c>
      <c r="AH32" s="19">
        <f>$AH$17*E32</f>
        <v>171257.99999999997</v>
      </c>
      <c r="AI32" s="19">
        <f>$A$32*$AI$17*INPUT!$E$93</f>
        <v>167715.14794418326</v>
      </c>
      <c r="AJ32" s="19">
        <f>$A$32*$AJ$17*INPUT!$F$93</f>
        <v>136590.38639355247</v>
      </c>
      <c r="AK32" s="19">
        <f>$A$32*$AK$17</f>
        <v>69750</v>
      </c>
      <c r="AL32" s="24">
        <f>AG32+AH32+AI32+AJ32+AK32</f>
        <v>545643.47683773562</v>
      </c>
      <c r="AM32" s="84">
        <f t="shared" si="7"/>
        <v>684.03832438062648</v>
      </c>
      <c r="AN32" s="84">
        <f t="shared" si="8"/>
        <v>-3723.0000000000005</v>
      </c>
      <c r="AO32" s="19"/>
      <c r="AP32" s="17"/>
      <c r="AQ32" s="38"/>
      <c r="AR32" s="17"/>
      <c r="AS32" s="394"/>
    </row>
    <row r="33" spans="1:45" x14ac:dyDescent="0.25">
      <c r="C33" s="13">
        <v>0.5</v>
      </c>
      <c r="E33" s="1">
        <f>C33*($A$32*730)</f>
        <v>9125000</v>
      </c>
      <c r="F33" s="1"/>
      <c r="G33" s="28">
        <f t="shared" si="0"/>
        <v>596027.89763839368</v>
      </c>
      <c r="H33" s="28">
        <f>+AL33</f>
        <v>659815.47683773562</v>
      </c>
      <c r="I33" s="28">
        <f t="shared" si="1"/>
        <v>1140.0638739677108</v>
      </c>
      <c r="J33" s="90">
        <f t="shared" si="2"/>
        <v>62647.515325374203</v>
      </c>
      <c r="K33" s="54">
        <f>ROUND(+J33/G33,4)</f>
        <v>0.1051</v>
      </c>
      <c r="L33" s="28">
        <f>ROUND($X$10*$E33,2)</f>
        <v>-12800.52</v>
      </c>
      <c r="M33" s="28">
        <f>ROUND($X$11*$E33,2)</f>
        <v>0</v>
      </c>
      <c r="N33" s="28">
        <f>ROUND($X$12*$E33,2)</f>
        <v>7865.45</v>
      </c>
      <c r="O33" s="28">
        <f t="shared" si="3"/>
        <v>592232.89151236136</v>
      </c>
      <c r="P33" s="28">
        <f>+H33+L33+M33+N33</f>
        <v>654880.40683773556</v>
      </c>
      <c r="Q33" s="54">
        <f>ROUND((P33-O33)/O33,4)</f>
        <v>0.10580000000000001</v>
      </c>
      <c r="R33" s="28">
        <f t="shared" si="4"/>
        <v>-6205</v>
      </c>
      <c r="S33" s="90">
        <f t="shared" si="5"/>
        <v>648675.40683773556</v>
      </c>
      <c r="T33" s="91">
        <f t="shared" si="6"/>
        <v>9.5299999999999996E-2</v>
      </c>
      <c r="U33" s="1"/>
      <c r="W33" s="7">
        <f>$W$20</f>
        <v>329.9425</v>
      </c>
      <c r="X33" s="19">
        <f>$X$17*E33</f>
        <v>234786.25</v>
      </c>
      <c r="Y33" s="19">
        <f>$Y$17*$A$32*INPUT!$E$93</f>
        <v>170925.00723498102</v>
      </c>
      <c r="Z33" s="19">
        <f>$Z$17*$A$32*INPUT!$F$93</f>
        <v>139236.69790341266</v>
      </c>
      <c r="AA33" s="19">
        <f>$AA$17*$A$32</f>
        <v>50749.999999999993</v>
      </c>
      <c r="AB33" s="24">
        <f>W33+X33+Y33+Z33+AA33</f>
        <v>596027.89763839368</v>
      </c>
      <c r="AC33" s="24"/>
      <c r="AD33" s="19"/>
      <c r="AG33" s="7">
        <f>$AG$20</f>
        <v>329.9425</v>
      </c>
      <c r="AH33" s="19">
        <f>$AH$17*E33</f>
        <v>285429.99999999994</v>
      </c>
      <c r="AI33" s="19">
        <f>$A$32*$AI$17*INPUT!$E$93</f>
        <v>167715.14794418326</v>
      </c>
      <c r="AJ33" s="19">
        <f>$A$32*$AJ$17*INPUT!$F$93</f>
        <v>136590.38639355247</v>
      </c>
      <c r="AK33" s="19">
        <f>$A$32*$AK$17</f>
        <v>69750</v>
      </c>
      <c r="AL33" s="24">
        <f>AG33+AH33+AI33+AJ33+AK33</f>
        <v>659815.47683773562</v>
      </c>
      <c r="AM33" s="84">
        <f t="shared" si="7"/>
        <v>1140.0638739677108</v>
      </c>
      <c r="AN33" s="84">
        <f t="shared" si="8"/>
        <v>-6205</v>
      </c>
      <c r="AO33" s="19"/>
      <c r="AP33" s="17"/>
      <c r="AQ33" s="38"/>
      <c r="AR33" s="17"/>
      <c r="AS33" s="394"/>
    </row>
    <row r="34" spans="1:45" x14ac:dyDescent="0.25">
      <c r="C34" s="13">
        <v>0.7</v>
      </c>
      <c r="E34" s="1">
        <f>C34*($A$32*730)</f>
        <v>12775000</v>
      </c>
      <c r="F34" s="1"/>
      <c r="G34" s="28">
        <f t="shared" si="0"/>
        <v>689942.39763839368</v>
      </c>
      <c r="H34" s="28">
        <f>+AL34</f>
        <v>773987.47683773562</v>
      </c>
      <c r="I34" s="28">
        <f t="shared" si="1"/>
        <v>1596.0894235547953</v>
      </c>
      <c r="J34" s="90">
        <f t="shared" si="2"/>
        <v>82448.989775787108</v>
      </c>
      <c r="K34" s="54">
        <f>ROUND(+J34/G34,4)</f>
        <v>0.1195</v>
      </c>
      <c r="L34" s="28">
        <f>ROUND($X$10*$E34,2)</f>
        <v>-17920.73</v>
      </c>
      <c r="M34" s="28">
        <f>ROUND($X$11*$E34,2)</f>
        <v>0</v>
      </c>
      <c r="N34" s="28">
        <f>ROUND($X$12*$E34,2)</f>
        <v>11011.63</v>
      </c>
      <c r="O34" s="28">
        <f t="shared" si="3"/>
        <v>684629.38706194854</v>
      </c>
      <c r="P34" s="28">
        <f>+H34+L34+M34+N34</f>
        <v>767078.37683773565</v>
      </c>
      <c r="Q34" s="54">
        <f>ROUND((P34-O34)/O34,4)</f>
        <v>0.12039999999999999</v>
      </c>
      <c r="R34" s="28">
        <f t="shared" si="4"/>
        <v>-8687</v>
      </c>
      <c r="S34" s="90">
        <f t="shared" si="5"/>
        <v>758391.37683773565</v>
      </c>
      <c r="T34" s="91">
        <f t="shared" si="6"/>
        <v>0.1077</v>
      </c>
      <c r="U34" s="1"/>
      <c r="W34" s="7">
        <f>$W$20</f>
        <v>329.9425</v>
      </c>
      <c r="X34" s="19">
        <f>$X$17*E34</f>
        <v>328700.75</v>
      </c>
      <c r="Y34" s="19">
        <f>$Y$17*$A$32*INPUT!$E$93</f>
        <v>170925.00723498102</v>
      </c>
      <c r="Z34" s="19">
        <f>$Z$17*$A$32*INPUT!$F$93</f>
        <v>139236.69790341266</v>
      </c>
      <c r="AA34" s="19">
        <f>$AA$17*$A$32</f>
        <v>50749.999999999993</v>
      </c>
      <c r="AB34" s="24">
        <f>W34+X34+Y34+Z34+AA34</f>
        <v>689942.39763839368</v>
      </c>
      <c r="AC34" s="24"/>
      <c r="AD34" s="19"/>
      <c r="AG34" s="7">
        <f>$AG$20</f>
        <v>329.9425</v>
      </c>
      <c r="AH34" s="19">
        <f>$AH$17*E34</f>
        <v>399601.99999999994</v>
      </c>
      <c r="AI34" s="19">
        <f>$A$32*$AI$17*INPUT!$E$93</f>
        <v>167715.14794418326</v>
      </c>
      <c r="AJ34" s="19">
        <f>$A$32*$AJ$17*INPUT!$F$93</f>
        <v>136590.38639355247</v>
      </c>
      <c r="AK34" s="19">
        <f>$A$32*$AK$17</f>
        <v>69750</v>
      </c>
      <c r="AL34" s="24">
        <f>AG34+AH34+AI34+AJ34+AK34</f>
        <v>773987.47683773562</v>
      </c>
      <c r="AM34" s="84">
        <f t="shared" si="7"/>
        <v>1596.0894235547953</v>
      </c>
      <c r="AN34" s="84">
        <f t="shared" si="8"/>
        <v>-8687</v>
      </c>
      <c r="AO34" s="19"/>
      <c r="AP34" s="17"/>
      <c r="AQ34" s="38"/>
      <c r="AR34" s="17"/>
      <c r="AS34" s="394"/>
    </row>
    <row r="35" spans="1:45" x14ac:dyDescent="0.25">
      <c r="C35" s="13"/>
      <c r="E35" s="1"/>
      <c r="F35" s="1"/>
      <c r="G35" s="28"/>
      <c r="H35" s="28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19"/>
      <c r="AB35" s="24"/>
      <c r="AC35" s="24"/>
      <c r="AG35" s="7"/>
      <c r="AH35" s="19"/>
      <c r="AI35" s="19"/>
      <c r="AJ35" s="19"/>
      <c r="AK35" s="19"/>
      <c r="AL35" s="24"/>
      <c r="AM35" s="84"/>
      <c r="AN35" s="84"/>
      <c r="AP35" s="17"/>
      <c r="AQ35" s="84"/>
      <c r="AR35" s="17"/>
      <c r="AS35" s="84"/>
    </row>
    <row r="36" spans="1:45" x14ac:dyDescent="0.25">
      <c r="A36" s="1">
        <v>50000</v>
      </c>
      <c r="B36" s="1"/>
      <c r="C36" s="13">
        <v>0.3</v>
      </c>
      <c r="E36" s="1">
        <f>C36*($A$36*730)</f>
        <v>10950000</v>
      </c>
      <c r="F36" s="1"/>
      <c r="G36" s="28">
        <f t="shared" si="0"/>
        <v>1003896.8527767872</v>
      </c>
      <c r="H36" s="28">
        <f>+AL36</f>
        <v>1090957.0111754714</v>
      </c>
      <c r="I36" s="28">
        <f t="shared" si="1"/>
        <v>1368.076648761253</v>
      </c>
      <c r="J36" s="90">
        <f t="shared" si="2"/>
        <v>85692.081749922829</v>
      </c>
      <c r="K36" s="54">
        <f>ROUND(+J36/G36,4)</f>
        <v>8.5400000000000004E-2</v>
      </c>
      <c r="L36" s="28">
        <f>ROUND($X$10*$E36,2)</f>
        <v>-15360.63</v>
      </c>
      <c r="M36" s="28">
        <f>ROUND($X$11*$E36,2)</f>
        <v>0</v>
      </c>
      <c r="N36" s="28">
        <f>ROUND($X$12*$E36,2)</f>
        <v>9438.5400000000009</v>
      </c>
      <c r="O36" s="28">
        <f t="shared" si="3"/>
        <v>999342.83942554856</v>
      </c>
      <c r="P36" s="28">
        <f>+H36+L36+M36+N36</f>
        <v>1085034.9211754715</v>
      </c>
      <c r="Q36" s="54">
        <f>ROUND((P36-O36)/O36,4)</f>
        <v>8.5699999999999998E-2</v>
      </c>
      <c r="R36" s="28">
        <f t="shared" si="4"/>
        <v>-7446.0000000000009</v>
      </c>
      <c r="S36" s="90">
        <f t="shared" si="5"/>
        <v>1077588.9211754715</v>
      </c>
      <c r="T36" s="91">
        <f t="shared" si="6"/>
        <v>7.8299999999999995E-2</v>
      </c>
      <c r="U36" s="1"/>
      <c r="W36" s="7">
        <f>$W$20</f>
        <v>329.9425</v>
      </c>
      <c r="X36" s="19">
        <f>$X$17*E36</f>
        <v>281743.5</v>
      </c>
      <c r="Y36" s="19">
        <f>$Y$17*$A$36*INPUT!$E$93</f>
        <v>341850.01446996204</v>
      </c>
      <c r="Z36" s="19">
        <f>$Z$17*$A$36*INPUT!$F$93</f>
        <v>278473.39580682531</v>
      </c>
      <c r="AA36" s="19">
        <f>$AA$17*$A$36</f>
        <v>101499.99999999999</v>
      </c>
      <c r="AB36" s="24">
        <f>W36+X36+Y36+Z36+AA36</f>
        <v>1003896.8527767872</v>
      </c>
      <c r="AC36" s="24"/>
      <c r="AD36" s="19"/>
      <c r="AG36" s="7">
        <f>$AG$20</f>
        <v>329.9425</v>
      </c>
      <c r="AH36" s="19">
        <f>$AH$17*E36</f>
        <v>342515.99999999994</v>
      </c>
      <c r="AI36" s="19">
        <f>$A$36*$AI$17*INPUT!$E$93</f>
        <v>335430.29588836653</v>
      </c>
      <c r="AJ36" s="19">
        <f>$A$36*$AJ$17*INPUT!$F$93</f>
        <v>273180.77278710494</v>
      </c>
      <c r="AK36" s="19">
        <f>$A$36*$AK$17</f>
        <v>139500</v>
      </c>
      <c r="AL36" s="24">
        <f>AG36+AH36+AI36+AJ36+AK36</f>
        <v>1090957.0111754714</v>
      </c>
      <c r="AM36" s="84">
        <f t="shared" si="7"/>
        <v>1368.076648761253</v>
      </c>
      <c r="AN36" s="84">
        <f t="shared" si="8"/>
        <v>-7446.0000000000009</v>
      </c>
      <c r="AO36" s="19"/>
      <c r="AP36" s="17"/>
      <c r="AQ36" s="38"/>
      <c r="AR36" s="17"/>
      <c r="AS36" s="394"/>
    </row>
    <row r="37" spans="1:45" x14ac:dyDescent="0.25">
      <c r="C37" s="13">
        <v>0.5</v>
      </c>
      <c r="E37" s="1">
        <f>C37*($A$36*730)</f>
        <v>18250000</v>
      </c>
      <c r="F37" s="1"/>
      <c r="G37" s="28">
        <f t="shared" si="0"/>
        <v>1191725.8527767872</v>
      </c>
      <c r="H37" s="28">
        <f>+AL37</f>
        <v>1319301.0111754714</v>
      </c>
      <c r="I37" s="28">
        <f t="shared" si="1"/>
        <v>2280.1277479354217</v>
      </c>
      <c r="J37" s="90">
        <f t="shared" si="2"/>
        <v>125295.03065074864</v>
      </c>
      <c r="K37" s="54">
        <f>ROUND(+J37/G37,4)</f>
        <v>0.1051</v>
      </c>
      <c r="L37" s="28">
        <f>ROUND($X$10*$E37,2)</f>
        <v>-25601.040000000001</v>
      </c>
      <c r="M37" s="28">
        <f>ROUND($X$11*$E37,2)</f>
        <v>0</v>
      </c>
      <c r="N37" s="28">
        <f>ROUND($X$12*$E37,2)</f>
        <v>15730.9</v>
      </c>
      <c r="O37" s="28">
        <f t="shared" si="3"/>
        <v>1184135.8405247226</v>
      </c>
      <c r="P37" s="28">
        <f>+H37+L37+M37+N37</f>
        <v>1309430.8711754712</v>
      </c>
      <c r="Q37" s="54">
        <f>ROUND((P37-O37)/O37,4)</f>
        <v>0.10580000000000001</v>
      </c>
      <c r="R37" s="28">
        <f t="shared" si="4"/>
        <v>-12410</v>
      </c>
      <c r="S37" s="90">
        <f t="shared" si="5"/>
        <v>1297020.8711754712</v>
      </c>
      <c r="T37" s="91">
        <f t="shared" si="6"/>
        <v>9.5299999999999996E-2</v>
      </c>
      <c r="U37" s="1"/>
      <c r="W37" s="7">
        <f>$W$20</f>
        <v>329.9425</v>
      </c>
      <c r="X37" s="19">
        <f>$X$17*E37</f>
        <v>469572.5</v>
      </c>
      <c r="Y37" s="19">
        <f>$Y$17*$A$36*INPUT!$E$93</f>
        <v>341850.01446996204</v>
      </c>
      <c r="Z37" s="19">
        <f>$Z$17*$A$36*INPUT!$F$93</f>
        <v>278473.39580682531</v>
      </c>
      <c r="AA37" s="19">
        <f>$AA$17*$A$36</f>
        <v>101499.99999999999</v>
      </c>
      <c r="AB37" s="24">
        <f>W37+X37+Y37+Z37+AA37</f>
        <v>1191725.8527767872</v>
      </c>
      <c r="AC37" s="24"/>
      <c r="AD37" s="19"/>
      <c r="AG37" s="7">
        <f>$AG$20</f>
        <v>329.9425</v>
      </c>
      <c r="AH37" s="19">
        <f>$AH$17*E37</f>
        <v>570859.99999999988</v>
      </c>
      <c r="AI37" s="19">
        <f>$A$36*$AI$17*INPUT!$E$93</f>
        <v>335430.29588836653</v>
      </c>
      <c r="AJ37" s="19">
        <f>$A$36*$AJ$17*INPUT!$F$93</f>
        <v>273180.77278710494</v>
      </c>
      <c r="AK37" s="19">
        <f>$A$36*$AK$17</f>
        <v>139500</v>
      </c>
      <c r="AL37" s="24">
        <f>AG37+AH37+AI37+AJ37+AK37</f>
        <v>1319301.0111754714</v>
      </c>
      <c r="AM37" s="84">
        <f t="shared" si="7"/>
        <v>2280.1277479354217</v>
      </c>
      <c r="AN37" s="84">
        <f t="shared" si="8"/>
        <v>-12410</v>
      </c>
      <c r="AO37" s="19"/>
      <c r="AP37" s="17"/>
      <c r="AQ37" s="38"/>
      <c r="AR37" s="17"/>
      <c r="AS37" s="394"/>
    </row>
    <row r="38" spans="1:45" x14ac:dyDescent="0.25">
      <c r="C38" s="13">
        <v>0.7</v>
      </c>
      <c r="E38" s="1">
        <f>C38*($A$36*730)</f>
        <v>25550000</v>
      </c>
      <c r="F38" s="1"/>
      <c r="G38" s="28">
        <f t="shared" si="0"/>
        <v>1379554.8527767872</v>
      </c>
      <c r="H38" s="28">
        <f>+AL38</f>
        <v>1547645.0111754714</v>
      </c>
      <c r="I38" s="28">
        <f t="shared" si="1"/>
        <v>3192.1788471095906</v>
      </c>
      <c r="J38" s="90">
        <f t="shared" si="2"/>
        <v>164897.97955157445</v>
      </c>
      <c r="K38" s="54">
        <f>ROUND(+J38/G38,4)</f>
        <v>0.1195</v>
      </c>
      <c r="L38" s="28">
        <f>ROUND($X$10*$E38,2)</f>
        <v>-35841.46</v>
      </c>
      <c r="M38" s="28">
        <f>ROUND($X$11*$E38,2)</f>
        <v>0</v>
      </c>
      <c r="N38" s="28">
        <f>ROUND($X$12*$E38,2)</f>
        <v>22023.26</v>
      </c>
      <c r="O38" s="28">
        <f>+G38+I38+L38+M38+N38</f>
        <v>1368928.831623897</v>
      </c>
      <c r="P38" s="28">
        <f>+H38+L38+M38+N38</f>
        <v>1533826.8111754714</v>
      </c>
      <c r="Q38" s="54">
        <f>ROUND((P38-O38)/O38,4)</f>
        <v>0.1205</v>
      </c>
      <c r="R38" s="28">
        <f t="shared" si="4"/>
        <v>-17374</v>
      </c>
      <c r="S38" s="90">
        <f t="shared" si="5"/>
        <v>1516452.8111754714</v>
      </c>
      <c r="T38" s="91">
        <f t="shared" si="6"/>
        <v>0.10780000000000001</v>
      </c>
      <c r="U38" s="1"/>
      <c r="W38" s="7">
        <f>$W$20</f>
        <v>329.9425</v>
      </c>
      <c r="X38" s="19">
        <f>$X$17*E38</f>
        <v>657401.5</v>
      </c>
      <c r="Y38" s="19">
        <f>$Y$17*$A$36*INPUT!$E$93</f>
        <v>341850.01446996204</v>
      </c>
      <c r="Z38" s="19">
        <f>$Z$17*$A$36*INPUT!$F$93</f>
        <v>278473.39580682531</v>
      </c>
      <c r="AA38" s="19">
        <f>$AA$17*$A$36</f>
        <v>101499.99999999999</v>
      </c>
      <c r="AB38" s="24">
        <f>W38+X38+Y38+Z38+AA38</f>
        <v>1379554.8527767872</v>
      </c>
      <c r="AC38" s="24"/>
      <c r="AD38" s="19"/>
      <c r="AG38" s="7">
        <f>$AG$20</f>
        <v>329.9425</v>
      </c>
      <c r="AH38" s="19">
        <f>$AH$17*E38</f>
        <v>799203.99999999988</v>
      </c>
      <c r="AI38" s="19">
        <f>$A$36*$AI$17*INPUT!$E$93</f>
        <v>335430.29588836653</v>
      </c>
      <c r="AJ38" s="19">
        <f>$A$36*$AJ$17*INPUT!$F$93</f>
        <v>273180.77278710494</v>
      </c>
      <c r="AK38" s="19">
        <f>$A$36*$AK$17</f>
        <v>139500</v>
      </c>
      <c r="AL38" s="24">
        <f>AG38+AH38+AI38+AJ38+AK38</f>
        <v>1547645.0111754714</v>
      </c>
      <c r="AM38" s="84">
        <f>$AM$17*E38</f>
        <v>3192.1788471095906</v>
      </c>
      <c r="AN38" s="84">
        <f>$AN$17*E38</f>
        <v>-17374</v>
      </c>
      <c r="AO38" s="19"/>
      <c r="AP38" s="17"/>
      <c r="AQ38" s="38"/>
      <c r="AR38" s="17"/>
      <c r="AS38" s="394"/>
    </row>
    <row r="39" spans="1:45" x14ac:dyDescent="0.25">
      <c r="X39" s="19"/>
      <c r="Y39" s="19"/>
      <c r="Z39" s="19"/>
      <c r="AA39" s="19"/>
      <c r="AB39" s="19"/>
      <c r="AC39" s="19"/>
    </row>
    <row r="40" spans="1:45" x14ac:dyDescent="0.25">
      <c r="A40" s="17" t="s">
        <v>301</v>
      </c>
      <c r="X40" s="19"/>
      <c r="Y40" s="19"/>
      <c r="Z40" s="19"/>
      <c r="AA40" s="19"/>
      <c r="AB40" s="19"/>
      <c r="AC40" s="19"/>
    </row>
    <row r="41" spans="1:45" x14ac:dyDescent="0.25">
      <c r="A41" s="174" t="str">
        <f>("Average Usage = "&amp;TEXT(INPUT!$K$26*1,"0,000")&amp;" kWh per month")</f>
        <v>Average Usage = 1,288,759 kWh per month</v>
      </c>
      <c r="X41" s="19"/>
      <c r="Y41" s="19"/>
      <c r="Z41" s="19"/>
      <c r="AA41" s="19"/>
      <c r="AB41" s="19"/>
      <c r="AC41" s="19"/>
    </row>
    <row r="42" spans="1:45" x14ac:dyDescent="0.25">
      <c r="A42" s="174" t="str">
        <f>("Average Demand = "&amp;TEXT(INPUT!I106,"0,000")&amp;" kVA per month")</f>
        <v>Average Demand = 3,466 kVA per month</v>
      </c>
      <c r="X42" s="19"/>
      <c r="Y42" s="19"/>
      <c r="Z42" s="19"/>
      <c r="AA42" s="19"/>
      <c r="AB42" s="19"/>
      <c r="AC42" s="19"/>
    </row>
    <row r="43" spans="1:45" x14ac:dyDescent="0.25">
      <c r="A43" s="175" t="s">
        <v>302</v>
      </c>
      <c r="C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I43" s="30"/>
      <c r="AJ43" s="19"/>
      <c r="AK43" s="19"/>
      <c r="AL43" s="19"/>
      <c r="AM43" s="19"/>
      <c r="AN43" s="19"/>
      <c r="AO43" s="19"/>
      <c r="AP43" s="19"/>
      <c r="AQ43" s="6"/>
    </row>
    <row r="44" spans="1:45" x14ac:dyDescent="0.25">
      <c r="A44" s="176" t="s">
        <v>606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X44" s="12"/>
      <c r="AI44" s="9"/>
    </row>
    <row r="45" spans="1:45" ht="13" x14ac:dyDescent="0.3">
      <c r="A45" s="177" t="s">
        <v>308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E45" s="3"/>
      <c r="AF45" s="2"/>
      <c r="AG45" s="3"/>
      <c r="AI45" s="3"/>
    </row>
    <row r="46" spans="1:45" x14ac:dyDescent="0.25">
      <c r="A46" s="59"/>
      <c r="AI46" s="9"/>
    </row>
    <row r="47" spans="1:45" ht="13" x14ac:dyDescent="0.3">
      <c r="W47" s="3"/>
      <c r="AA47" s="3"/>
      <c r="AE47" s="3"/>
      <c r="AI47" s="9"/>
    </row>
    <row r="48" spans="1:45" ht="1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E48" s="3"/>
      <c r="AF48" s="2"/>
      <c r="AG48" s="3"/>
      <c r="AI48" s="3"/>
    </row>
    <row r="49" spans="2:35" ht="1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E49" s="3"/>
      <c r="AF49" s="2"/>
      <c r="AG49" s="3"/>
      <c r="AI49" s="3"/>
    </row>
    <row r="50" spans="2:35" ht="1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</row>
    <row r="51" spans="2:35" x14ac:dyDescent="0.25">
      <c r="B51" s="175"/>
      <c r="C51" s="1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7"/>
      <c r="X51" s="12"/>
      <c r="AA51" s="12"/>
      <c r="AB51" s="12"/>
      <c r="AC51" s="12"/>
      <c r="AE51" s="6"/>
      <c r="AG51" s="6"/>
      <c r="AI51" s="9"/>
    </row>
    <row r="52" spans="2:35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7"/>
      <c r="X52" s="12"/>
      <c r="AA52" s="12"/>
      <c r="AB52" s="12"/>
      <c r="AC52" s="12"/>
      <c r="AE52" s="6"/>
      <c r="AG52" s="6"/>
      <c r="AI52" s="9"/>
    </row>
    <row r="53" spans="2:35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7"/>
      <c r="X53" s="12"/>
      <c r="AA53" s="12"/>
      <c r="AB53" s="12"/>
      <c r="AC53" s="12"/>
      <c r="AE53" s="6"/>
      <c r="AG53" s="6"/>
      <c r="AI53" s="9"/>
    </row>
    <row r="54" spans="2:35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7"/>
      <c r="X54" s="12"/>
      <c r="AA54" s="12"/>
      <c r="AB54" s="12"/>
      <c r="AC54" s="12"/>
      <c r="AE54" s="6"/>
      <c r="AF54" s="10"/>
      <c r="AG54" s="6"/>
      <c r="AH54" s="10"/>
      <c r="AI54" s="9"/>
    </row>
    <row r="55" spans="2:35" ht="6.75" customHeight="1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F55" s="10"/>
      <c r="AG55" s="6"/>
      <c r="AH55" s="10"/>
      <c r="AI55" s="9"/>
    </row>
    <row r="56" spans="2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2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2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G58" s="6"/>
      <c r="AI58" s="9"/>
    </row>
    <row r="59" spans="2:35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G59" s="6"/>
      <c r="AI59" s="9"/>
    </row>
    <row r="60" spans="2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2:35" ht="6.75" customHeight="1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2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2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2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ht="1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</row>
    <row r="67" spans="5:41" ht="1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I68" s="9"/>
    </row>
    <row r="69" spans="5:41" x14ac:dyDescent="0.25">
      <c r="AL69" s="4"/>
      <c r="AM69" s="4"/>
      <c r="AN69" s="4"/>
      <c r="AO69" s="4"/>
    </row>
  </sheetData>
  <mergeCells count="5">
    <mergeCell ref="L15:N15"/>
    <mergeCell ref="A1:T1"/>
    <mergeCell ref="A2:T2"/>
    <mergeCell ref="A3:T3"/>
    <mergeCell ref="A4:T4"/>
  </mergeCells>
  <phoneticPr fontId="6" type="noConversion"/>
  <printOptions horizontalCentered="1"/>
  <pageMargins left="0.75" right="0.75" top="1.5" bottom="0.5" header="1" footer="0.5"/>
  <pageSetup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fitToPage="1"/>
  </sheetPr>
  <dimension ref="A1:AS69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7.1796875" customWidth="1"/>
    <col min="2" max="2" width="3.7265625" customWidth="1"/>
    <col min="3" max="3" width="8.1796875" bestFit="1" customWidth="1"/>
    <col min="4" max="4" width="1.81640625" customWidth="1"/>
    <col min="5" max="5" width="10.81640625" bestFit="1" customWidth="1"/>
    <col min="6" max="6" width="2" customWidth="1"/>
    <col min="7" max="7" width="15.1796875" bestFit="1" customWidth="1"/>
    <col min="8" max="8" width="15.1796875" customWidth="1"/>
    <col min="9" max="9" width="11.453125" bestFit="1" customWidth="1"/>
    <col min="10" max="10" width="13.453125" bestFit="1" customWidth="1"/>
    <col min="11" max="11" width="9.81640625" customWidth="1"/>
    <col min="12" max="12" width="14.26953125" bestFit="1" customWidth="1"/>
    <col min="13" max="13" width="8.7265625" customWidth="1"/>
    <col min="14" max="14" width="14.54296875" customWidth="1"/>
    <col min="15" max="16" width="15.1796875" bestFit="1" customWidth="1"/>
    <col min="17" max="17" width="9.81640625" customWidth="1"/>
    <col min="18" max="18" width="13.1796875" bestFit="1" customWidth="1"/>
    <col min="19" max="19" width="14.26953125" bestFit="1" customWidth="1"/>
    <col min="20" max="20" width="9.36328125" customWidth="1"/>
    <col min="21" max="22" width="2.1796875" customWidth="1"/>
    <col min="23" max="23" width="10" customWidth="1"/>
    <col min="24" max="24" width="14.453125" bestFit="1" customWidth="1"/>
    <col min="25" max="25" width="12.7265625" bestFit="1" customWidth="1"/>
    <col min="26" max="26" width="13.81640625" bestFit="1" customWidth="1"/>
    <col min="27" max="27" width="12.7265625" bestFit="1" customWidth="1"/>
    <col min="28" max="28" width="14.453125" bestFit="1" customWidth="1"/>
    <col min="29" max="29" width="2.453125" customWidth="1"/>
    <col min="30" max="30" width="6.1796875" customWidth="1"/>
    <col min="31" max="31" width="2.54296875" customWidth="1"/>
    <col min="32" max="32" width="2" customWidth="1"/>
    <col min="33" max="33" width="11.7265625" customWidth="1"/>
    <col min="34" max="34" width="14.453125" bestFit="1" customWidth="1"/>
    <col min="35" max="35" width="12.7265625" bestFit="1" customWidth="1"/>
    <col min="36" max="36" width="13.81640625" bestFit="1" customWidth="1"/>
    <col min="37" max="37" width="12.7265625" bestFit="1" customWidth="1"/>
    <col min="38" max="38" width="14.453125" bestFit="1" customWidth="1"/>
    <col min="39" max="40" width="14.453125" customWidth="1"/>
    <col min="41" max="41" width="14.453125" bestFit="1" customWidth="1"/>
    <col min="42" max="42" width="11.1796875" customWidth="1"/>
    <col min="43" max="43" width="11.453125" bestFit="1" customWidth="1"/>
    <col min="44" max="44" width="10.7265625" customWidth="1"/>
    <col min="45" max="45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Constants'!L19</f>
        <v>PAGE 12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+INPUT!H74</f>
        <v>-1.3876518865103941E-3</v>
      </c>
    </row>
    <row r="11" spans="1:45" ht="13" x14ac:dyDescent="0.3">
      <c r="A11" s="124" t="s">
        <v>253</v>
      </c>
      <c r="W11" s="83" t="s">
        <v>70</v>
      </c>
      <c r="X11" s="2">
        <f>+INPUT!I74</f>
        <v>0</v>
      </c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+INPUT!J74</f>
        <v>5.096125656047849E-4</v>
      </c>
      <c r="AG12" s="59"/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A13" s="3" t="s">
        <v>1</v>
      </c>
      <c r="AD13" s="3"/>
      <c r="AH13" s="19"/>
      <c r="AI13" s="20" t="s">
        <v>6</v>
      </c>
      <c r="AJ13" s="20" t="s">
        <v>6</v>
      </c>
      <c r="AK13" s="20" t="s">
        <v>6</v>
      </c>
      <c r="AL13" s="19"/>
      <c r="AM13" s="19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31</v>
      </c>
      <c r="Z14" s="3" t="s">
        <v>27</v>
      </c>
      <c r="AA14" s="3" t="s">
        <v>19</v>
      </c>
      <c r="AB14" s="3" t="s">
        <v>1</v>
      </c>
      <c r="AC14" s="3"/>
      <c r="AD14" s="3"/>
      <c r="AG14" s="3" t="s">
        <v>6</v>
      </c>
      <c r="AH14" s="3" t="s">
        <v>6</v>
      </c>
      <c r="AI14" s="20" t="s">
        <v>31</v>
      </c>
      <c r="AJ14" s="20" t="s">
        <v>27</v>
      </c>
      <c r="AK14" s="20" t="s">
        <v>19</v>
      </c>
      <c r="AL14" s="20" t="s">
        <v>6</v>
      </c>
      <c r="AM14" s="20"/>
      <c r="AN14" s="83" t="s">
        <v>592</v>
      </c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22</v>
      </c>
      <c r="Z15" s="3" t="s">
        <v>22</v>
      </c>
      <c r="AA15" s="3" t="s">
        <v>15</v>
      </c>
      <c r="AB15" s="3" t="s">
        <v>5</v>
      </c>
      <c r="AC15" s="3"/>
      <c r="AD15" s="3"/>
      <c r="AG15" s="25" t="s">
        <v>52</v>
      </c>
      <c r="AH15" s="3" t="s">
        <v>53</v>
      </c>
      <c r="AI15" s="20" t="s">
        <v>22</v>
      </c>
      <c r="AJ15" s="20" t="s">
        <v>22</v>
      </c>
      <c r="AK15" s="20" t="s">
        <v>15</v>
      </c>
      <c r="AL15" s="20" t="s">
        <v>5</v>
      </c>
      <c r="AM15" s="86" t="s">
        <v>69</v>
      </c>
      <c r="AN15" s="85" t="s">
        <v>593</v>
      </c>
      <c r="AO15" s="3"/>
      <c r="AQ15" s="85"/>
      <c r="AR15" s="85"/>
      <c r="AS15" s="85"/>
    </row>
    <row r="16" spans="1:45" ht="13" x14ac:dyDescent="0.3">
      <c r="A16" s="3" t="s">
        <v>23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3</v>
      </c>
      <c r="Z16" s="3" t="s">
        <v>3</v>
      </c>
      <c r="AA16" s="3" t="s">
        <v>3</v>
      </c>
      <c r="AB16" s="3" t="s">
        <v>4</v>
      </c>
      <c r="AC16" s="3"/>
      <c r="AD16" s="3"/>
      <c r="AG16" s="25" t="s">
        <v>3</v>
      </c>
      <c r="AH16" s="3" t="s">
        <v>3</v>
      </c>
      <c r="AI16" s="20" t="s">
        <v>3</v>
      </c>
      <c r="AJ16" s="20" t="s">
        <v>3</v>
      </c>
      <c r="AK16" s="20" t="s">
        <v>3</v>
      </c>
      <c r="AL16" s="20" t="s">
        <v>4</v>
      </c>
      <c r="AM16" s="386" t="s">
        <v>471</v>
      </c>
      <c r="AN16" s="348" t="s">
        <v>439</v>
      </c>
      <c r="AO16" s="3"/>
      <c r="AQ16" s="85"/>
      <c r="AR16" s="85"/>
      <c r="AS16" s="85"/>
    </row>
    <row r="17" spans="1:45" ht="13" x14ac:dyDescent="0.3">
      <c r="A17" s="206"/>
      <c r="B17" s="10"/>
      <c r="C17" s="206"/>
      <c r="D17" s="10"/>
      <c r="E17" s="206"/>
      <c r="F17" s="206"/>
      <c r="G17" s="206"/>
      <c r="H17" s="206"/>
      <c r="I17" s="85"/>
      <c r="J17" s="206" t="s">
        <v>66</v>
      </c>
      <c r="K17" s="57" t="s">
        <v>67</v>
      </c>
      <c r="L17" s="207"/>
      <c r="M17" s="207"/>
      <c r="N17" s="208"/>
      <c r="O17" s="206" t="s">
        <v>66</v>
      </c>
      <c r="P17" s="206" t="s">
        <v>66</v>
      </c>
      <c r="Q17" s="57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+INPUT!$M$6</f>
        <v>2.513E-2</v>
      </c>
      <c r="Y17" s="41">
        <f>+INPUT!$M$13</f>
        <v>8.39</v>
      </c>
      <c r="Z17" s="41">
        <f>+INPUT!$M$14</f>
        <v>6.74</v>
      </c>
      <c r="AA17" s="41">
        <f>+INPUT!$M$15</f>
        <v>1.23</v>
      </c>
      <c r="AB17" s="3"/>
      <c r="AC17" s="3"/>
      <c r="AD17" s="40"/>
      <c r="AG17" s="25"/>
      <c r="AH17" s="40">
        <f>+INPUT!$M$34</f>
        <v>3.066E-2</v>
      </c>
      <c r="AI17" s="41">
        <f>+INPUT!$M$41</f>
        <v>8.0399999999999991</v>
      </c>
      <c r="AJ17" s="41">
        <f>+INPUT!$M$42</f>
        <v>6.46</v>
      </c>
      <c r="AK17" s="41">
        <f>+INPUT!$M$43</f>
        <v>2.16</v>
      </c>
      <c r="AL17" s="20"/>
      <c r="AM17" s="86">
        <f>INPUT!K74</f>
        <v>7.2429665527232751E-5</v>
      </c>
      <c r="AN17" s="86">
        <f>INPUT!M52</f>
        <v>-6.8000000000000005E-4</v>
      </c>
      <c r="AO17" s="40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49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" t="s">
        <v>55</v>
      </c>
      <c r="Z18" s="3" t="s">
        <v>55</v>
      </c>
      <c r="AA18" s="3" t="s">
        <v>55</v>
      </c>
      <c r="AB18" s="3"/>
      <c r="AC18" s="3"/>
      <c r="AD18" s="3"/>
      <c r="AG18" s="25"/>
      <c r="AH18" s="3" t="s">
        <v>11</v>
      </c>
      <c r="AI18" s="3" t="s">
        <v>55</v>
      </c>
      <c r="AJ18" s="3" t="s">
        <v>55</v>
      </c>
      <c r="AK18" s="3" t="s">
        <v>55</v>
      </c>
      <c r="AL18" s="20"/>
      <c r="AM18" s="86" t="s">
        <v>11</v>
      </c>
      <c r="AN18" s="86" t="s">
        <v>11</v>
      </c>
      <c r="AO18" s="3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20"/>
      <c r="AL19" s="20"/>
      <c r="AM19" s="85"/>
      <c r="AN19" s="85"/>
      <c r="AQ19" s="85"/>
      <c r="AR19" s="85"/>
      <c r="AS19" s="85"/>
    </row>
    <row r="20" spans="1:45" x14ac:dyDescent="0.25">
      <c r="A20" s="1">
        <v>250</v>
      </c>
      <c r="B20" s="1"/>
      <c r="C20" s="13">
        <v>0.3</v>
      </c>
      <c r="E20" s="1">
        <f>C20*($A$20*730)</f>
        <v>54750</v>
      </c>
      <c r="F20" s="1"/>
      <c r="G20" s="28">
        <f>+AB20</f>
        <v>6631.8906509850494</v>
      </c>
      <c r="H20" s="28">
        <f>+AL20</f>
        <v>7023.5647747630574</v>
      </c>
      <c r="I20" s="28">
        <f>AM20</f>
        <v>3.9655241876159932</v>
      </c>
      <c r="J20" s="90">
        <f>+H20-(I20+G20)</f>
        <v>387.70859959039171</v>
      </c>
      <c r="K20" s="54">
        <f>ROUND(+J20/G20,4)</f>
        <v>5.8500000000000003E-2</v>
      </c>
      <c r="L20" s="28">
        <f>ROUND($X$10*$E20,2)</f>
        <v>-75.97</v>
      </c>
      <c r="M20" s="28">
        <f>ROUND($X$11*$E20,2)</f>
        <v>0</v>
      </c>
      <c r="N20" s="28">
        <f>ROUND($X$12*$E20,2)</f>
        <v>27.9</v>
      </c>
      <c r="O20" s="28">
        <f>+G20+I20+L20+M20+N20</f>
        <v>6587.786175172665</v>
      </c>
      <c r="P20" s="28">
        <f>+H20+L20+M20+N20</f>
        <v>6975.4947747630567</v>
      </c>
      <c r="Q20" s="54">
        <f>ROUND((P20-O20)/O20,4)</f>
        <v>5.8900000000000001E-2</v>
      </c>
      <c r="R20" s="28">
        <f>AN20</f>
        <v>-37.230000000000004</v>
      </c>
      <c r="S20" s="90">
        <f>P20+R20</f>
        <v>6938.2647747630572</v>
      </c>
      <c r="T20" s="91">
        <f>ROUND((S20-O20)/O20,4)</f>
        <v>5.3199999999999997E-2</v>
      </c>
      <c r="U20" s="1"/>
      <c r="W20" s="7">
        <f>+INPUT!$M$4</f>
        <v>1499.96</v>
      </c>
      <c r="X20" s="19">
        <f>$X$17*E20</f>
        <v>1375.8675000000001</v>
      </c>
      <c r="Y20" s="19">
        <f>$Y$17*$A$20*INPUT!$E$94</f>
        <v>1902.0245237563577</v>
      </c>
      <c r="Z20" s="19">
        <f>$Z$17*$A$20*INPUT!$F$94</f>
        <v>1546.5386272286914</v>
      </c>
      <c r="AA20" s="19">
        <f>$AA$17*$A$20</f>
        <v>307.5</v>
      </c>
      <c r="AB20" s="24">
        <f>W20+X20+Y20+Z20+AA20</f>
        <v>6631.8906509850494</v>
      </c>
      <c r="AC20" s="24"/>
      <c r="AD20" s="19"/>
      <c r="AG20" s="7">
        <f>INPUT!$M$32</f>
        <v>1499.96</v>
      </c>
      <c r="AH20" s="19">
        <f>$AH$17*E20</f>
        <v>1678.635</v>
      </c>
      <c r="AI20" s="19">
        <f>$A$20*$AI$17*INPUT!$E$94</f>
        <v>1822.6790430275464</v>
      </c>
      <c r="AJ20" s="19">
        <f>$A$20*$AJ$17*INPUT!$F$94</f>
        <v>1482.2907317355114</v>
      </c>
      <c r="AK20" s="19">
        <f>$A$20*$AK$17</f>
        <v>540</v>
      </c>
      <c r="AL20" s="24">
        <f>AG20+AH20+AI20+AJ20+AK20</f>
        <v>7023.5647747630574</v>
      </c>
      <c r="AM20" s="84">
        <f>$AM$17*E20</f>
        <v>3.9655241876159932</v>
      </c>
      <c r="AN20" s="84">
        <f>$AN$17*E20</f>
        <v>-37.230000000000004</v>
      </c>
      <c r="AO20" s="19"/>
      <c r="AP20" s="17"/>
      <c r="AQ20" s="38"/>
      <c r="AR20" s="17"/>
      <c r="AS20" s="394"/>
    </row>
    <row r="21" spans="1:45" x14ac:dyDescent="0.25">
      <c r="C21" s="13">
        <v>0.5</v>
      </c>
      <c r="E21" s="1">
        <f>C21*($A$20*730)</f>
        <v>91250</v>
      </c>
      <c r="F21" s="1"/>
      <c r="G21" s="28">
        <f t="shared" ref="G21:G38" si="0">+AB21</f>
        <v>7549.1356509850493</v>
      </c>
      <c r="H21" s="28">
        <f>+AL21</f>
        <v>8142.6547747630575</v>
      </c>
      <c r="I21" s="28">
        <f t="shared" ref="I21:I38" si="1">AM21</f>
        <v>6.6092069793599881</v>
      </c>
      <c r="J21" s="90">
        <f t="shared" ref="J21:J37" si="2">+H21-(I21+G21)</f>
        <v>586.90991679864783</v>
      </c>
      <c r="K21" s="54">
        <f>ROUND(+J21/G21,4)</f>
        <v>7.7700000000000005E-2</v>
      </c>
      <c r="L21" s="28">
        <f>ROUND($X$10*$E21,2)</f>
        <v>-126.62</v>
      </c>
      <c r="M21" s="28">
        <f>ROUND($X$11*$E21,2)</f>
        <v>0</v>
      </c>
      <c r="N21" s="28">
        <f>ROUND($X$12*$E21,2)</f>
        <v>46.5</v>
      </c>
      <c r="O21" s="28">
        <f t="shared" ref="O21:O37" si="3">+G21+I21+L21+M21+N21</f>
        <v>7475.6248579644098</v>
      </c>
      <c r="P21" s="28">
        <f>+H21+L21+M21+N21</f>
        <v>8062.5347747630576</v>
      </c>
      <c r="Q21" s="54">
        <f>ROUND((P21-O21)/O21,4)</f>
        <v>7.85E-2</v>
      </c>
      <c r="R21" s="28">
        <f t="shared" ref="R21:R38" si="4">AN21</f>
        <v>-62.050000000000004</v>
      </c>
      <c r="S21" s="90">
        <f t="shared" ref="S21:S38" si="5">P21+R21</f>
        <v>8000.4847747630574</v>
      </c>
      <c r="T21" s="91">
        <f t="shared" ref="T21:T38" si="6">ROUND((S21-O21)/O21,4)</f>
        <v>7.0199999999999999E-2</v>
      </c>
      <c r="U21" s="1"/>
      <c r="W21" s="7">
        <f>$W$20</f>
        <v>1499.96</v>
      </c>
      <c r="X21" s="19">
        <f>$X$17*E21</f>
        <v>2293.1125000000002</v>
      </c>
      <c r="Y21" s="19">
        <f>$Y$17*$A$20*INPUT!$E$94</f>
        <v>1902.0245237563577</v>
      </c>
      <c r="Z21" s="19">
        <f>$Z$17*$A$20*INPUT!$F$94</f>
        <v>1546.5386272286914</v>
      </c>
      <c r="AA21" s="19">
        <f>$AA$17*$A$20</f>
        <v>307.5</v>
      </c>
      <c r="AB21" s="24">
        <f>W21+X21+Y21+Z21+AA21</f>
        <v>7549.1356509850493</v>
      </c>
      <c r="AC21" s="24"/>
      <c r="AD21" s="19"/>
      <c r="AG21" s="7">
        <f>$AG$20</f>
        <v>1499.96</v>
      </c>
      <c r="AH21" s="19">
        <f>$AH$17*E21</f>
        <v>2797.7249999999999</v>
      </c>
      <c r="AI21" s="19">
        <f>$A$20*$AI$17*INPUT!$E$94</f>
        <v>1822.6790430275464</v>
      </c>
      <c r="AJ21" s="19">
        <f>$A$20*$AJ$17*INPUT!$F$94</f>
        <v>1482.2907317355114</v>
      </c>
      <c r="AK21" s="19">
        <f>$A$20*$AK$17</f>
        <v>540</v>
      </c>
      <c r="AL21" s="24">
        <f>AG21+AH21+AI21+AJ21+AK21</f>
        <v>8142.6547747630575</v>
      </c>
      <c r="AM21" s="84">
        <f t="shared" ref="AM21:AM37" si="7">$AM$17*E21</f>
        <v>6.6092069793599881</v>
      </c>
      <c r="AN21" s="84">
        <f t="shared" ref="AN21:AN37" si="8">$AN$17*E21</f>
        <v>-62.050000000000004</v>
      </c>
      <c r="AO21" s="19"/>
      <c r="AP21" s="17"/>
      <c r="AQ21" s="38"/>
      <c r="AR21" s="17"/>
      <c r="AS21" s="394"/>
    </row>
    <row r="22" spans="1:45" x14ac:dyDescent="0.25">
      <c r="C22" s="13">
        <v>0.7</v>
      </c>
      <c r="E22" s="1">
        <f>C22*($A$20*730)</f>
        <v>127749.99999999999</v>
      </c>
      <c r="F22" s="1"/>
      <c r="G22" s="28">
        <f t="shared" si="0"/>
        <v>8466.3806509850474</v>
      </c>
      <c r="H22" s="28">
        <f>+AL22</f>
        <v>9261.7447747630576</v>
      </c>
      <c r="I22" s="28">
        <f t="shared" si="1"/>
        <v>9.2528897711039821</v>
      </c>
      <c r="J22" s="90">
        <f t="shared" si="2"/>
        <v>786.11123400690667</v>
      </c>
      <c r="K22" s="54">
        <f>ROUND(+J22/G22,4)</f>
        <v>9.2899999999999996E-2</v>
      </c>
      <c r="L22" s="28">
        <f>ROUND($X$10*$E22,2)</f>
        <v>-177.27</v>
      </c>
      <c r="M22" s="28">
        <f>ROUND($X$11*$E22,2)</f>
        <v>0</v>
      </c>
      <c r="N22" s="28">
        <f>ROUND($X$12*$E22,2)</f>
        <v>65.099999999999994</v>
      </c>
      <c r="O22" s="28">
        <f t="shared" si="3"/>
        <v>8363.4635407561509</v>
      </c>
      <c r="P22" s="28">
        <f>+H22+L22+M22+N22</f>
        <v>9149.5747747630576</v>
      </c>
      <c r="Q22" s="54">
        <f>ROUND((P22-O22)/O22,4)</f>
        <v>9.4E-2</v>
      </c>
      <c r="R22" s="28">
        <f t="shared" si="4"/>
        <v>-86.86999999999999</v>
      </c>
      <c r="S22" s="90">
        <f t="shared" si="5"/>
        <v>9062.7047747630568</v>
      </c>
      <c r="T22" s="91">
        <f t="shared" si="6"/>
        <v>8.3599999999999994E-2</v>
      </c>
      <c r="U22" s="1"/>
      <c r="W22" s="7">
        <f>$W$20</f>
        <v>1499.96</v>
      </c>
      <c r="X22" s="19">
        <f>$X$17*E22</f>
        <v>3210.3574999999996</v>
      </c>
      <c r="Y22" s="19">
        <f>$Y$17*$A$20*INPUT!$E$94</f>
        <v>1902.0245237563577</v>
      </c>
      <c r="Z22" s="19">
        <f>$Z$17*$A$20*INPUT!$F$94</f>
        <v>1546.5386272286914</v>
      </c>
      <c r="AA22" s="19">
        <f>$AA$17*$A$20</f>
        <v>307.5</v>
      </c>
      <c r="AB22" s="24">
        <f>W22+X22+Y22+Z22+AA22</f>
        <v>8466.3806509850474</v>
      </c>
      <c r="AC22" s="24"/>
      <c r="AD22" s="19"/>
      <c r="AG22" s="7">
        <f>$AG$20</f>
        <v>1499.96</v>
      </c>
      <c r="AH22" s="19">
        <f>$AH$17*E22</f>
        <v>3916.8149999999996</v>
      </c>
      <c r="AI22" s="19">
        <f>$A$20*$AI$17*INPUT!$E$94</f>
        <v>1822.6790430275464</v>
      </c>
      <c r="AJ22" s="19">
        <f>$A$20*$AJ$17*INPUT!$F$94</f>
        <v>1482.2907317355114</v>
      </c>
      <c r="AK22" s="19">
        <f>$A$20*$AK$17</f>
        <v>540</v>
      </c>
      <c r="AL22" s="24">
        <f>AG22+AH22+AI22+AJ22+AK22</f>
        <v>9261.7447747630576</v>
      </c>
      <c r="AM22" s="84">
        <f t="shared" si="7"/>
        <v>9.2528897711039821</v>
      </c>
      <c r="AN22" s="84">
        <f t="shared" si="8"/>
        <v>-86.86999999999999</v>
      </c>
      <c r="AO22" s="19"/>
      <c r="AP22" s="17"/>
      <c r="AQ22" s="38"/>
      <c r="AR22" s="17"/>
      <c r="AS22" s="394"/>
    </row>
    <row r="23" spans="1:45" x14ac:dyDescent="0.25">
      <c r="C23" s="13"/>
      <c r="E23" s="1"/>
      <c r="F23" s="1"/>
      <c r="G23" s="28"/>
      <c r="H23" s="28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19"/>
      <c r="AB23" s="24"/>
      <c r="AC23" s="24"/>
      <c r="AG23" s="7"/>
      <c r="AH23" s="19"/>
      <c r="AI23" s="19"/>
      <c r="AJ23" s="19"/>
      <c r="AK23" s="19"/>
      <c r="AL23" s="24"/>
      <c r="AM23" s="84"/>
      <c r="AN23" s="84"/>
      <c r="AP23" s="17"/>
      <c r="AQ23" s="84"/>
      <c r="AR23" s="17"/>
      <c r="AS23" s="84"/>
    </row>
    <row r="24" spans="1:45" x14ac:dyDescent="0.25">
      <c r="A24" s="1">
        <v>10000</v>
      </c>
      <c r="B24" s="1"/>
      <c r="C24" s="13">
        <v>0.3</v>
      </c>
      <c r="E24" s="1">
        <f>C24*($A$24*730)</f>
        <v>2190000</v>
      </c>
      <c r="F24" s="1"/>
      <c r="G24" s="28">
        <f t="shared" si="0"/>
        <v>206777.18603940197</v>
      </c>
      <c r="H24" s="28">
        <f>+AL24</f>
        <v>222444.15099052229</v>
      </c>
      <c r="I24" s="28">
        <f t="shared" si="1"/>
        <v>158.62096750463974</v>
      </c>
      <c r="J24" s="90">
        <f t="shared" si="2"/>
        <v>15508.34398361569</v>
      </c>
      <c r="K24" s="54">
        <f>ROUND(+J24/G24,4)</f>
        <v>7.4999999999999997E-2</v>
      </c>
      <c r="L24" s="28">
        <f>ROUND($X$10*$E24,2)</f>
        <v>-3038.96</v>
      </c>
      <c r="M24" s="28">
        <f>ROUND($X$11*$E24,2)</f>
        <v>0</v>
      </c>
      <c r="N24" s="28">
        <f>ROUND($X$12*$E24,2)</f>
        <v>1116.05</v>
      </c>
      <c r="O24" s="28">
        <f t="shared" si="3"/>
        <v>205012.8970069066</v>
      </c>
      <c r="P24" s="28">
        <f>+H24+L24+M24+N24</f>
        <v>220521.24099052229</v>
      </c>
      <c r="Q24" s="54">
        <f>ROUND((P24-O24)/O24,4)</f>
        <v>7.5600000000000001E-2</v>
      </c>
      <c r="R24" s="28">
        <f t="shared" si="4"/>
        <v>-1489.2</v>
      </c>
      <c r="S24" s="90">
        <f t="shared" si="5"/>
        <v>219032.04099052228</v>
      </c>
      <c r="T24" s="91">
        <f t="shared" si="6"/>
        <v>6.8400000000000002E-2</v>
      </c>
      <c r="U24" s="1"/>
      <c r="W24" s="7">
        <f>$W$20</f>
        <v>1499.96</v>
      </c>
      <c r="X24" s="19">
        <f>$X$17*E24</f>
        <v>55034.7</v>
      </c>
      <c r="Y24" s="19">
        <f>$Y$17*$A$24*INPUT!$E$94</f>
        <v>76080.980950254307</v>
      </c>
      <c r="Z24" s="19">
        <f>$Z$17*$A$24*INPUT!$F$94</f>
        <v>61861.545089147665</v>
      </c>
      <c r="AA24" s="19">
        <f>$AA$17*$A$24</f>
        <v>12300</v>
      </c>
      <c r="AB24" s="24">
        <f>W24+X24+Y24+Z24+AA24</f>
        <v>206777.18603940197</v>
      </c>
      <c r="AC24" s="24"/>
      <c r="AD24" s="19"/>
      <c r="AG24" s="7">
        <f>$AG$20</f>
        <v>1499.96</v>
      </c>
      <c r="AH24" s="19">
        <f>$AH$17*E24</f>
        <v>67145.399999999994</v>
      </c>
      <c r="AI24" s="19">
        <f>$A$24*$AI$17*INPUT!$E$94</f>
        <v>72907.161721101846</v>
      </c>
      <c r="AJ24" s="19">
        <f>$A$24*$AJ$17*INPUT!$F$94</f>
        <v>59291.62926942046</v>
      </c>
      <c r="AK24" s="19">
        <f>$A$24*$AK$17</f>
        <v>21600</v>
      </c>
      <c r="AL24" s="24">
        <f>AG24+AH24+AI24+AJ24+AK24</f>
        <v>222444.15099052229</v>
      </c>
      <c r="AM24" s="84">
        <f t="shared" si="7"/>
        <v>158.62096750463974</v>
      </c>
      <c r="AN24" s="84">
        <f t="shared" si="8"/>
        <v>-1489.2</v>
      </c>
      <c r="AO24" s="19"/>
      <c r="AP24" s="17"/>
      <c r="AQ24" s="38"/>
      <c r="AR24" s="144"/>
      <c r="AS24" s="394"/>
    </row>
    <row r="25" spans="1:45" x14ac:dyDescent="0.25">
      <c r="C25" s="13">
        <v>0.5</v>
      </c>
      <c r="E25" s="1">
        <f>C25*($A$24*730)</f>
        <v>3650000</v>
      </c>
      <c r="F25" s="1"/>
      <c r="G25" s="28">
        <f t="shared" si="0"/>
        <v>243466.98603940199</v>
      </c>
      <c r="H25" s="28">
        <f>+AL25</f>
        <v>267207.75099052233</v>
      </c>
      <c r="I25" s="28">
        <f t="shared" si="1"/>
        <v>264.36827917439956</v>
      </c>
      <c r="J25" s="90">
        <f t="shared" si="2"/>
        <v>23476.396671945928</v>
      </c>
      <c r="K25" s="54">
        <f>ROUND(+J25/G25,4)</f>
        <v>9.64E-2</v>
      </c>
      <c r="L25" s="28">
        <f>ROUND($X$10*$E25,2)</f>
        <v>-5064.93</v>
      </c>
      <c r="M25" s="28">
        <f>ROUND($X$11*$E25,2)</f>
        <v>0</v>
      </c>
      <c r="N25" s="28">
        <f>ROUND($X$12*$E25,2)</f>
        <v>1860.09</v>
      </c>
      <c r="O25" s="28">
        <f t="shared" si="3"/>
        <v>240526.5143185764</v>
      </c>
      <c r="P25" s="28">
        <f>+H25+L25+M25+N25</f>
        <v>264002.91099052236</v>
      </c>
      <c r="Q25" s="54">
        <f>ROUND((P25-O25)/O25,4)</f>
        <v>9.7600000000000006E-2</v>
      </c>
      <c r="R25" s="28">
        <f t="shared" si="4"/>
        <v>-2482</v>
      </c>
      <c r="S25" s="90">
        <f t="shared" si="5"/>
        <v>261520.91099052236</v>
      </c>
      <c r="T25" s="91">
        <f t="shared" si="6"/>
        <v>8.7300000000000003E-2</v>
      </c>
      <c r="U25" s="1"/>
      <c r="W25" s="7">
        <f>$W$20</f>
        <v>1499.96</v>
      </c>
      <c r="X25" s="19">
        <f>$X$17*E25</f>
        <v>91724.5</v>
      </c>
      <c r="Y25" s="19">
        <f>$Y$17*$A$24*INPUT!$E$94</f>
        <v>76080.980950254307</v>
      </c>
      <c r="Z25" s="19">
        <f>$Z$17*$A$24*INPUT!$F$94</f>
        <v>61861.545089147665</v>
      </c>
      <c r="AA25" s="19">
        <f>$AA$17*$A$24</f>
        <v>12300</v>
      </c>
      <c r="AB25" s="24">
        <f>W25+X25+Y25+Z25+AA25</f>
        <v>243466.98603940199</v>
      </c>
      <c r="AC25" s="24"/>
      <c r="AD25" s="19"/>
      <c r="AG25" s="7">
        <f>$AG$20</f>
        <v>1499.96</v>
      </c>
      <c r="AH25" s="19">
        <f>$AH$17*E25</f>
        <v>111909</v>
      </c>
      <c r="AI25" s="19">
        <f>$A$24*$AI$17*INPUT!$E$94</f>
        <v>72907.161721101846</v>
      </c>
      <c r="AJ25" s="19">
        <f>$A$24*$AJ$17*INPUT!$F$94</f>
        <v>59291.62926942046</v>
      </c>
      <c r="AK25" s="19">
        <f>$A$24*$AK$17</f>
        <v>21600</v>
      </c>
      <c r="AL25" s="24">
        <f>AG25+AH25+AI25+AJ25+AK25</f>
        <v>267207.75099052233</v>
      </c>
      <c r="AM25" s="84">
        <f t="shared" si="7"/>
        <v>264.36827917439956</v>
      </c>
      <c r="AN25" s="84">
        <f t="shared" si="8"/>
        <v>-2482</v>
      </c>
      <c r="AO25" s="19"/>
      <c r="AP25" s="17"/>
      <c r="AQ25" s="38"/>
      <c r="AR25" s="144"/>
      <c r="AS25" s="394"/>
    </row>
    <row r="26" spans="1:45" x14ac:dyDescent="0.25">
      <c r="C26" s="13">
        <v>0.7</v>
      </c>
      <c r="E26" s="1">
        <f>C26*($A$24*730)</f>
        <v>5110000</v>
      </c>
      <c r="F26" s="1"/>
      <c r="G26" s="28">
        <f t="shared" si="0"/>
        <v>280156.78603940201</v>
      </c>
      <c r="H26" s="28">
        <f>+AL26</f>
        <v>311971.3509905223</v>
      </c>
      <c r="I26" s="28">
        <f t="shared" si="1"/>
        <v>370.11559084415933</v>
      </c>
      <c r="J26" s="90">
        <f t="shared" si="2"/>
        <v>31444.449360276107</v>
      </c>
      <c r="K26" s="54">
        <f>ROUND(+J26/G26,4)</f>
        <v>0.11219999999999999</v>
      </c>
      <c r="L26" s="28">
        <f>ROUND($X$10*$E26,2)</f>
        <v>-7090.9</v>
      </c>
      <c r="M26" s="28">
        <f>ROUND($X$11*$E26,2)</f>
        <v>0</v>
      </c>
      <c r="N26" s="28">
        <f>ROUND($X$12*$E26,2)</f>
        <v>2604.12</v>
      </c>
      <c r="O26" s="28">
        <f t="shared" si="3"/>
        <v>276040.12163024617</v>
      </c>
      <c r="P26" s="28">
        <f>+H26+L26+M26+N26</f>
        <v>307484.57099052228</v>
      </c>
      <c r="Q26" s="54">
        <f>ROUND((P26-O26)/O26,4)</f>
        <v>0.1139</v>
      </c>
      <c r="R26" s="28">
        <f t="shared" si="4"/>
        <v>-3474.8</v>
      </c>
      <c r="S26" s="90">
        <f t="shared" si="5"/>
        <v>304009.77099052229</v>
      </c>
      <c r="T26" s="91">
        <f t="shared" si="6"/>
        <v>0.1013</v>
      </c>
      <c r="U26" s="1"/>
      <c r="W26" s="7">
        <f>$W$20</f>
        <v>1499.96</v>
      </c>
      <c r="X26" s="19">
        <f>$X$17*E26</f>
        <v>128414.3</v>
      </c>
      <c r="Y26" s="19">
        <f>$Y$17*$A$24*INPUT!$E$94</f>
        <v>76080.980950254307</v>
      </c>
      <c r="Z26" s="19">
        <f>$Z$17*$A$24*INPUT!$F$94</f>
        <v>61861.545089147665</v>
      </c>
      <c r="AA26" s="19">
        <f>$AA$17*$A$24</f>
        <v>12300</v>
      </c>
      <c r="AB26" s="24">
        <f>W26+X26+Y26+Z26+AA26</f>
        <v>280156.78603940201</v>
      </c>
      <c r="AC26" s="24"/>
      <c r="AD26" s="19"/>
      <c r="AG26" s="7">
        <f>$AG$20</f>
        <v>1499.96</v>
      </c>
      <c r="AH26" s="19">
        <f>$AH$17*E26</f>
        <v>156672.6</v>
      </c>
      <c r="AI26" s="19">
        <f>$A$24*$AI$17*INPUT!$E$94</f>
        <v>72907.161721101846</v>
      </c>
      <c r="AJ26" s="19">
        <f>$A$24*$AJ$17*INPUT!$F$94</f>
        <v>59291.62926942046</v>
      </c>
      <c r="AK26" s="19">
        <f>$A$24*$AK$17</f>
        <v>21600</v>
      </c>
      <c r="AL26" s="24">
        <f>AG26+AH26+AI26+AJ26+AK26</f>
        <v>311971.3509905223</v>
      </c>
      <c r="AM26" s="84">
        <f t="shared" si="7"/>
        <v>370.11559084415933</v>
      </c>
      <c r="AN26" s="84">
        <f t="shared" si="8"/>
        <v>-3474.8</v>
      </c>
      <c r="AO26" s="19"/>
      <c r="AP26" s="17"/>
      <c r="AQ26" s="38"/>
      <c r="AR26" s="17"/>
      <c r="AS26" s="394"/>
    </row>
    <row r="27" spans="1:45" x14ac:dyDescent="0.25">
      <c r="C27" s="13"/>
      <c r="E27" s="1"/>
      <c r="F27" s="1"/>
      <c r="G27" s="28"/>
      <c r="H27" s="28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19"/>
      <c r="AB27" s="24"/>
      <c r="AC27" s="24"/>
      <c r="AG27" s="7"/>
      <c r="AH27" s="19"/>
      <c r="AI27" s="19"/>
      <c r="AJ27" s="19"/>
      <c r="AK27" s="19"/>
      <c r="AL27" s="24"/>
      <c r="AM27" s="84"/>
      <c r="AN27" s="84"/>
      <c r="AP27" s="17"/>
      <c r="AQ27" s="84"/>
      <c r="AR27" s="17"/>
      <c r="AS27" s="84"/>
    </row>
    <row r="28" spans="1:45" x14ac:dyDescent="0.25">
      <c r="A28" s="1">
        <v>25000</v>
      </c>
      <c r="B28" s="1"/>
      <c r="C28" s="13">
        <v>0.3</v>
      </c>
      <c r="E28" s="1">
        <f>C28*($A$28*730)</f>
        <v>5475000</v>
      </c>
      <c r="F28" s="1"/>
      <c r="G28" s="28">
        <f t="shared" si="0"/>
        <v>514693.02509850491</v>
      </c>
      <c r="H28" s="28">
        <f>+AL28</f>
        <v>553860.43747630576</v>
      </c>
      <c r="I28" s="28">
        <f t="shared" si="1"/>
        <v>396.55241876159931</v>
      </c>
      <c r="J28" s="90">
        <f t="shared" si="2"/>
        <v>38770.859959039255</v>
      </c>
      <c r="K28" s="54">
        <f>ROUND(+J28/G28,4)</f>
        <v>7.5300000000000006E-2</v>
      </c>
      <c r="L28" s="28">
        <f>ROUND($X$10*$E28,2)</f>
        <v>-7597.39</v>
      </c>
      <c r="M28" s="28">
        <f>ROUND($X$11*$E28,2)</f>
        <v>0</v>
      </c>
      <c r="N28" s="28">
        <f>ROUND($X$12*$E28,2)</f>
        <v>2790.13</v>
      </c>
      <c r="O28" s="28">
        <f t="shared" si="3"/>
        <v>510282.31751726649</v>
      </c>
      <c r="P28" s="28">
        <f>+H28+L28+M28+N28</f>
        <v>549053.17747630575</v>
      </c>
      <c r="Q28" s="54">
        <f>ROUND((P28-O28)/O28,4)</f>
        <v>7.5999999999999998E-2</v>
      </c>
      <c r="R28" s="28">
        <f t="shared" si="4"/>
        <v>-3723.0000000000005</v>
      </c>
      <c r="S28" s="90">
        <f t="shared" si="5"/>
        <v>545330.17747630575</v>
      </c>
      <c r="T28" s="91">
        <f t="shared" si="6"/>
        <v>6.8699999999999997E-2</v>
      </c>
      <c r="U28" s="1"/>
      <c r="W28" s="7">
        <f>$W$20</f>
        <v>1499.96</v>
      </c>
      <c r="X28" s="19">
        <f>$X$17*E28</f>
        <v>137586.75</v>
      </c>
      <c r="Y28" s="19">
        <f>$Y$17*$A$28*INPUT!$E$94</f>
        <v>190202.45237563577</v>
      </c>
      <c r="Z28" s="19">
        <f>$Z$17*$A$28*INPUT!$F$94</f>
        <v>154653.86272286915</v>
      </c>
      <c r="AA28" s="19">
        <f>$AA$17*$A$28</f>
        <v>30750</v>
      </c>
      <c r="AB28" s="24">
        <f>W28+X28+Y28+Z28+AA28</f>
        <v>514693.02509850491</v>
      </c>
      <c r="AC28" s="24"/>
      <c r="AD28" s="19"/>
      <c r="AG28" s="7">
        <f>$AG$20</f>
        <v>1499.96</v>
      </c>
      <c r="AH28" s="19">
        <f>$AH$17*E28</f>
        <v>167863.5</v>
      </c>
      <c r="AI28" s="19">
        <f>$A$28*$AI$17*INPUT!$E$94</f>
        <v>182267.90430275461</v>
      </c>
      <c r="AJ28" s="19">
        <f>$A$28*$AJ$17*INPUT!$F$94</f>
        <v>148229.07317355115</v>
      </c>
      <c r="AK28" s="19">
        <f>$A$28*$AK$17</f>
        <v>54000</v>
      </c>
      <c r="AL28" s="24">
        <f>AG28+AH28+AI28+AJ28+AK28</f>
        <v>553860.43747630576</v>
      </c>
      <c r="AM28" s="84">
        <f t="shared" si="7"/>
        <v>396.55241876159931</v>
      </c>
      <c r="AN28" s="84">
        <f t="shared" si="8"/>
        <v>-3723.0000000000005</v>
      </c>
      <c r="AO28" s="19"/>
      <c r="AP28" s="17"/>
      <c r="AQ28" s="38"/>
      <c r="AR28" s="17"/>
      <c r="AS28" s="394"/>
    </row>
    <row r="29" spans="1:45" x14ac:dyDescent="0.25">
      <c r="C29" s="13">
        <v>0.5</v>
      </c>
      <c r="E29" s="1">
        <f>C29*($A$28*730)</f>
        <v>9125000</v>
      </c>
      <c r="F29" s="1"/>
      <c r="G29" s="28">
        <f t="shared" si="0"/>
        <v>606417.52509850496</v>
      </c>
      <c r="H29" s="28">
        <f>+AL29</f>
        <v>665769.43747630576</v>
      </c>
      <c r="I29" s="28">
        <f t="shared" si="1"/>
        <v>660.92069793599887</v>
      </c>
      <c r="J29" s="90">
        <f t="shared" si="2"/>
        <v>58690.991679864819</v>
      </c>
      <c r="K29" s="54">
        <f>ROUND(+J29/G29,4)</f>
        <v>9.6799999999999997E-2</v>
      </c>
      <c r="L29" s="28">
        <f>ROUND($X$10*$E29,2)</f>
        <v>-12662.32</v>
      </c>
      <c r="M29" s="28">
        <f>ROUND($X$11*$E29,2)</f>
        <v>0</v>
      </c>
      <c r="N29" s="28">
        <f>ROUND($X$12*$E29,2)</f>
        <v>4650.21</v>
      </c>
      <c r="O29" s="28">
        <f t="shared" si="3"/>
        <v>599066.33579644095</v>
      </c>
      <c r="P29" s="28">
        <f>+H29+L29+M29+N29</f>
        <v>657757.32747630577</v>
      </c>
      <c r="Q29" s="54">
        <f>ROUND((P29-O29)/O29,4)</f>
        <v>9.8000000000000004E-2</v>
      </c>
      <c r="R29" s="28">
        <f t="shared" si="4"/>
        <v>-6205</v>
      </c>
      <c r="S29" s="90">
        <f t="shared" si="5"/>
        <v>651552.32747630577</v>
      </c>
      <c r="T29" s="91">
        <f t="shared" si="6"/>
        <v>8.7599999999999997E-2</v>
      </c>
      <c r="U29" s="1"/>
      <c r="W29" s="7">
        <f>$W$20</f>
        <v>1499.96</v>
      </c>
      <c r="X29" s="19">
        <f>$X$17*E29</f>
        <v>229311.25</v>
      </c>
      <c r="Y29" s="19">
        <f>$Y$17*$A$28*INPUT!$E$94</f>
        <v>190202.45237563577</v>
      </c>
      <c r="Z29" s="19">
        <f>$Z$17*$A$28*INPUT!$F$94</f>
        <v>154653.86272286915</v>
      </c>
      <c r="AA29" s="19">
        <f>$AA$17*$A$28</f>
        <v>30750</v>
      </c>
      <c r="AB29" s="24">
        <f>W29+X29+Y29+Z29+AA29</f>
        <v>606417.52509850496</v>
      </c>
      <c r="AC29" s="24"/>
      <c r="AD29" s="19"/>
      <c r="AG29" s="7">
        <f>$AG$20</f>
        <v>1499.96</v>
      </c>
      <c r="AH29" s="19">
        <f>$AH$17*E29</f>
        <v>279772.5</v>
      </c>
      <c r="AI29" s="19">
        <f>$A$28*$AI$17*INPUT!$E$94</f>
        <v>182267.90430275461</v>
      </c>
      <c r="AJ29" s="19">
        <f>$A$28*$AJ$17*INPUT!$F$94</f>
        <v>148229.07317355115</v>
      </c>
      <c r="AK29" s="19">
        <f>$A$28*$AK$17</f>
        <v>54000</v>
      </c>
      <c r="AL29" s="24">
        <f>AG29+AH29+AI29+AJ29+AK29</f>
        <v>665769.43747630576</v>
      </c>
      <c r="AM29" s="84">
        <f t="shared" si="7"/>
        <v>660.92069793599887</v>
      </c>
      <c r="AN29" s="84">
        <f t="shared" si="8"/>
        <v>-6205</v>
      </c>
      <c r="AO29" s="19"/>
      <c r="AP29" s="17"/>
      <c r="AQ29" s="38"/>
      <c r="AR29" s="17"/>
      <c r="AS29" s="394"/>
    </row>
    <row r="30" spans="1:45" x14ac:dyDescent="0.25">
      <c r="C30" s="13">
        <v>0.7</v>
      </c>
      <c r="E30" s="1">
        <f>C30*($A$28*730)</f>
        <v>12775000</v>
      </c>
      <c r="F30" s="1"/>
      <c r="G30" s="28">
        <f t="shared" si="0"/>
        <v>698142.02509850496</v>
      </c>
      <c r="H30" s="28">
        <f>+AL30</f>
        <v>777678.43747630576</v>
      </c>
      <c r="I30" s="28">
        <f t="shared" si="1"/>
        <v>925.28897711039838</v>
      </c>
      <c r="J30" s="90">
        <f t="shared" si="2"/>
        <v>78611.123400690383</v>
      </c>
      <c r="K30" s="54">
        <f>ROUND(+J30/G30,4)</f>
        <v>0.11260000000000001</v>
      </c>
      <c r="L30" s="28">
        <f>ROUND($X$10*$E30,2)</f>
        <v>-17727.25</v>
      </c>
      <c r="M30" s="28">
        <f>ROUND($X$11*$E30,2)</f>
        <v>0</v>
      </c>
      <c r="N30" s="28">
        <f>ROUND($X$12*$E30,2)</f>
        <v>6510.3</v>
      </c>
      <c r="O30" s="28">
        <f t="shared" si="3"/>
        <v>687850.36407561542</v>
      </c>
      <c r="P30" s="28">
        <f>+H30+L30+M30+N30</f>
        <v>766461.4874763058</v>
      </c>
      <c r="Q30" s="54">
        <f>ROUND((P30-O30)/O30,4)</f>
        <v>0.1143</v>
      </c>
      <c r="R30" s="28">
        <f t="shared" si="4"/>
        <v>-8687</v>
      </c>
      <c r="S30" s="90">
        <f t="shared" si="5"/>
        <v>757774.4874763058</v>
      </c>
      <c r="T30" s="91">
        <f t="shared" si="6"/>
        <v>0.1017</v>
      </c>
      <c r="U30" s="1"/>
      <c r="W30" s="7">
        <f>$W$20</f>
        <v>1499.96</v>
      </c>
      <c r="X30" s="19">
        <f>$X$17*E30</f>
        <v>321035.75</v>
      </c>
      <c r="Y30" s="19">
        <f>$Y$17*$A$28*INPUT!$E$94</f>
        <v>190202.45237563577</v>
      </c>
      <c r="Z30" s="19">
        <f>$Z$17*$A$28*INPUT!$F$94</f>
        <v>154653.86272286915</v>
      </c>
      <c r="AA30" s="19">
        <f>$AA$17*$A$28</f>
        <v>30750</v>
      </c>
      <c r="AB30" s="24">
        <f>W30+X30+Y30+Z30+AA30</f>
        <v>698142.02509850496</v>
      </c>
      <c r="AC30" s="24"/>
      <c r="AD30" s="19"/>
      <c r="AG30" s="7">
        <f>$AG$20</f>
        <v>1499.96</v>
      </c>
      <c r="AH30" s="19">
        <f>$AH$17*E30</f>
        <v>391681.5</v>
      </c>
      <c r="AI30" s="19">
        <f>$A$28*$AI$17*INPUT!$E$94</f>
        <v>182267.90430275461</v>
      </c>
      <c r="AJ30" s="19">
        <f>$A$28*$AJ$17*INPUT!$F$94</f>
        <v>148229.07317355115</v>
      </c>
      <c r="AK30" s="19">
        <f>$A$28*$AK$17</f>
        <v>54000</v>
      </c>
      <c r="AL30" s="24">
        <f>AG30+AH30+AI30+AJ30+AK30</f>
        <v>777678.43747630576</v>
      </c>
      <c r="AM30" s="84">
        <f t="shared" si="7"/>
        <v>925.28897711039838</v>
      </c>
      <c r="AN30" s="84">
        <f t="shared" si="8"/>
        <v>-8687</v>
      </c>
      <c r="AO30" s="19"/>
      <c r="AP30" s="17"/>
      <c r="AQ30" s="38"/>
      <c r="AR30" s="17"/>
      <c r="AS30" s="394"/>
    </row>
    <row r="31" spans="1:45" x14ac:dyDescent="0.25">
      <c r="C31" s="13"/>
      <c r="E31" s="1"/>
      <c r="F31" s="1"/>
      <c r="G31" s="28"/>
      <c r="H31" s="28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19"/>
      <c r="AB31" s="24"/>
      <c r="AC31" s="24"/>
      <c r="AG31" s="7"/>
      <c r="AH31" s="19"/>
      <c r="AI31" s="19"/>
      <c r="AJ31" s="19"/>
      <c r="AK31" s="19"/>
      <c r="AL31" s="24"/>
      <c r="AM31" s="84"/>
      <c r="AN31" s="84"/>
      <c r="AP31" s="17"/>
      <c r="AQ31" s="84"/>
      <c r="AR31" s="17"/>
      <c r="AS31" s="84"/>
    </row>
    <row r="32" spans="1:45" x14ac:dyDescent="0.25">
      <c r="A32" s="1">
        <v>50000</v>
      </c>
      <c r="B32" s="1"/>
      <c r="C32" s="13">
        <v>0.3</v>
      </c>
      <c r="E32" s="1">
        <f>C32*($A$32*730)</f>
        <v>10950000</v>
      </c>
      <c r="F32" s="1"/>
      <c r="G32" s="28">
        <f t="shared" si="0"/>
        <v>1027886.0901970098</v>
      </c>
      <c r="H32" s="28">
        <f>+AL32</f>
        <v>1106220.9149526116</v>
      </c>
      <c r="I32" s="28">
        <f t="shared" si="1"/>
        <v>793.10483752319863</v>
      </c>
      <c r="J32" s="90">
        <f t="shared" si="2"/>
        <v>77541.71991807851</v>
      </c>
      <c r="K32" s="54">
        <f>ROUND(+J32/G32,4)</f>
        <v>7.5399999999999995E-2</v>
      </c>
      <c r="L32" s="28">
        <f>ROUND($X$10*$E32,2)</f>
        <v>-15194.79</v>
      </c>
      <c r="M32" s="28">
        <f>ROUND($X$11*$E32,2)</f>
        <v>0</v>
      </c>
      <c r="N32" s="28">
        <f>ROUND($X$12*$E32,2)</f>
        <v>5580.26</v>
      </c>
      <c r="O32" s="28">
        <f t="shared" si="3"/>
        <v>1019064.665034533</v>
      </c>
      <c r="P32" s="28">
        <f>+H32+L32+M32+N32</f>
        <v>1096606.3849526115</v>
      </c>
      <c r="Q32" s="54">
        <f>ROUND((P32-O32)/O32,4)</f>
        <v>7.6100000000000001E-2</v>
      </c>
      <c r="R32" s="28">
        <f t="shared" si="4"/>
        <v>-7446.0000000000009</v>
      </c>
      <c r="S32" s="90">
        <f t="shared" si="5"/>
        <v>1089160.3849526115</v>
      </c>
      <c r="T32" s="91">
        <f t="shared" si="6"/>
        <v>6.88E-2</v>
      </c>
      <c r="U32" s="1"/>
      <c r="W32" s="7">
        <f>$W$20</f>
        <v>1499.96</v>
      </c>
      <c r="X32" s="19">
        <f>$X$17*E32</f>
        <v>275173.5</v>
      </c>
      <c r="Y32" s="19">
        <f>$Y$17*$A$32*INPUT!$E$94</f>
        <v>380404.90475127153</v>
      </c>
      <c r="Z32" s="19">
        <f>$Z$17*$A$32*INPUT!$F$94</f>
        <v>309307.7254457383</v>
      </c>
      <c r="AA32" s="19">
        <f>$AA$17*$A$32</f>
        <v>61500</v>
      </c>
      <c r="AB32" s="24">
        <f>W32+X32+Y32+Z32+AA32</f>
        <v>1027886.0901970098</v>
      </c>
      <c r="AC32" s="24"/>
      <c r="AD32" s="19"/>
      <c r="AG32" s="7">
        <f>$AG$20</f>
        <v>1499.96</v>
      </c>
      <c r="AH32" s="19">
        <f>$AH$17*E32</f>
        <v>335727</v>
      </c>
      <c r="AI32" s="19">
        <f>$A$32*$AI$17*INPUT!$E$94</f>
        <v>364535.80860550923</v>
      </c>
      <c r="AJ32" s="19">
        <f>$A$32*$AJ$17*INPUT!$F$94</f>
        <v>296458.1463471023</v>
      </c>
      <c r="AK32" s="19">
        <f>$A$32*$AK$17</f>
        <v>108000</v>
      </c>
      <c r="AL32" s="24">
        <f>AG32+AH32+AI32+AJ32+AK32</f>
        <v>1106220.9149526116</v>
      </c>
      <c r="AM32" s="84">
        <f t="shared" si="7"/>
        <v>793.10483752319863</v>
      </c>
      <c r="AN32" s="84">
        <f t="shared" si="8"/>
        <v>-7446.0000000000009</v>
      </c>
      <c r="AO32" s="19"/>
      <c r="AP32" s="17"/>
      <c r="AQ32" s="38"/>
      <c r="AR32" s="17"/>
      <c r="AS32" s="394"/>
    </row>
    <row r="33" spans="1:45" x14ac:dyDescent="0.25">
      <c r="C33" s="13">
        <v>0.5</v>
      </c>
      <c r="E33" s="1">
        <f>C33*($A$32*730)</f>
        <v>18250000</v>
      </c>
      <c r="F33" s="1"/>
      <c r="G33" s="28">
        <f t="shared" si="0"/>
        <v>1211335.09019701</v>
      </c>
      <c r="H33" s="28">
        <f>+AL33</f>
        <v>1330038.9149526116</v>
      </c>
      <c r="I33" s="28">
        <f t="shared" si="1"/>
        <v>1321.8413958719977</v>
      </c>
      <c r="J33" s="90">
        <f t="shared" si="2"/>
        <v>117381.98335972964</v>
      </c>
      <c r="K33" s="54">
        <f>ROUND(+J33/G33,4)</f>
        <v>9.69E-2</v>
      </c>
      <c r="L33" s="28">
        <f>ROUND($X$10*$E33,2)</f>
        <v>-25324.65</v>
      </c>
      <c r="M33" s="28">
        <f>ROUND($X$11*$E33,2)</f>
        <v>0</v>
      </c>
      <c r="N33" s="28">
        <f>ROUND($X$12*$E33,2)</f>
        <v>9300.43</v>
      </c>
      <c r="O33" s="28">
        <f t="shared" si="3"/>
        <v>1196632.7115928819</v>
      </c>
      <c r="P33" s="28">
        <f>+H33+L33+M33+N33</f>
        <v>1314014.6949526116</v>
      </c>
      <c r="Q33" s="54">
        <f>ROUND((P33-O33)/O33,4)</f>
        <v>9.8100000000000007E-2</v>
      </c>
      <c r="R33" s="28">
        <f t="shared" si="4"/>
        <v>-12410</v>
      </c>
      <c r="S33" s="90">
        <f t="shared" si="5"/>
        <v>1301604.6949526116</v>
      </c>
      <c r="T33" s="91">
        <f t="shared" si="6"/>
        <v>8.77E-2</v>
      </c>
      <c r="U33" s="1"/>
      <c r="W33" s="7">
        <f>$W$20</f>
        <v>1499.96</v>
      </c>
      <c r="X33" s="19">
        <f>$X$17*E33</f>
        <v>458622.5</v>
      </c>
      <c r="Y33" s="19">
        <f>$Y$17*$A$32*INPUT!$E$94</f>
        <v>380404.90475127153</v>
      </c>
      <c r="Z33" s="19">
        <f>$Z$17*$A$32*INPUT!$F$94</f>
        <v>309307.7254457383</v>
      </c>
      <c r="AA33" s="19">
        <f>$AA$17*$A$32</f>
        <v>61500</v>
      </c>
      <c r="AB33" s="24">
        <f>W33+X33+Y33+Z33+AA33</f>
        <v>1211335.09019701</v>
      </c>
      <c r="AC33" s="24"/>
      <c r="AD33" s="19"/>
      <c r="AG33" s="7">
        <f>$AG$20</f>
        <v>1499.96</v>
      </c>
      <c r="AH33" s="19">
        <f>$AH$17*E33</f>
        <v>559545</v>
      </c>
      <c r="AI33" s="19">
        <f>$A$32*$AI$17*INPUT!$E$94</f>
        <v>364535.80860550923</v>
      </c>
      <c r="AJ33" s="19">
        <f>$A$32*$AJ$17*INPUT!$F$94</f>
        <v>296458.1463471023</v>
      </c>
      <c r="AK33" s="19">
        <f>$A$32*$AK$17</f>
        <v>108000</v>
      </c>
      <c r="AL33" s="24">
        <f>AG33+AH33+AI33+AJ33+AK33</f>
        <v>1330038.9149526116</v>
      </c>
      <c r="AM33" s="84">
        <f t="shared" si="7"/>
        <v>1321.8413958719977</v>
      </c>
      <c r="AN33" s="84">
        <f t="shared" si="8"/>
        <v>-12410</v>
      </c>
      <c r="AO33" s="19"/>
      <c r="AP33" s="17"/>
      <c r="AQ33" s="38"/>
      <c r="AR33" s="17"/>
      <c r="AS33" s="394"/>
    </row>
    <row r="34" spans="1:45" x14ac:dyDescent="0.25">
      <c r="C34" s="13">
        <v>0.7</v>
      </c>
      <c r="E34" s="1">
        <f>C34*($A$32*730)</f>
        <v>25550000</v>
      </c>
      <c r="F34" s="1"/>
      <c r="G34" s="28">
        <f t="shared" si="0"/>
        <v>1394784.0901970097</v>
      </c>
      <c r="H34" s="28">
        <f>+AL34</f>
        <v>1553856.9149526116</v>
      </c>
      <c r="I34" s="28">
        <f t="shared" si="1"/>
        <v>1850.5779542207968</v>
      </c>
      <c r="J34" s="90">
        <f t="shared" si="2"/>
        <v>157222.246801381</v>
      </c>
      <c r="K34" s="54">
        <f>ROUND(+J34/G34,4)</f>
        <v>0.11269999999999999</v>
      </c>
      <c r="L34" s="28">
        <f>ROUND($X$10*$E34,2)</f>
        <v>-35454.51</v>
      </c>
      <c r="M34" s="28">
        <f>ROUND($X$11*$E34,2)</f>
        <v>0</v>
      </c>
      <c r="N34" s="28">
        <f>ROUND($X$12*$E34,2)</f>
        <v>13020.6</v>
      </c>
      <c r="O34" s="28">
        <f t="shared" si="3"/>
        <v>1374200.7581512306</v>
      </c>
      <c r="P34" s="28">
        <f>+H34+L34+M34+N34</f>
        <v>1531423.0049526116</v>
      </c>
      <c r="Q34" s="54">
        <f>ROUND((P34-O34)/O34,4)</f>
        <v>0.1144</v>
      </c>
      <c r="R34" s="28">
        <f t="shared" si="4"/>
        <v>-17374</v>
      </c>
      <c r="S34" s="90">
        <f t="shared" si="5"/>
        <v>1514049.0049526116</v>
      </c>
      <c r="T34" s="91">
        <f t="shared" si="6"/>
        <v>0.1018</v>
      </c>
      <c r="U34" s="1"/>
      <c r="W34" s="7">
        <f>$W$20</f>
        <v>1499.96</v>
      </c>
      <c r="X34" s="19">
        <f>$X$17*E34</f>
        <v>642071.5</v>
      </c>
      <c r="Y34" s="19">
        <f>$Y$17*$A$32*INPUT!$E$94</f>
        <v>380404.90475127153</v>
      </c>
      <c r="Z34" s="19">
        <f>$Z$17*$A$32*INPUT!$F$94</f>
        <v>309307.7254457383</v>
      </c>
      <c r="AA34" s="19">
        <f>$AA$17*$A$32</f>
        <v>61500</v>
      </c>
      <c r="AB34" s="24">
        <f>W34+X34+Y34+Z34+AA34</f>
        <v>1394784.0901970097</v>
      </c>
      <c r="AC34" s="24"/>
      <c r="AD34" s="19"/>
      <c r="AG34" s="7">
        <f>$AG$20</f>
        <v>1499.96</v>
      </c>
      <c r="AH34" s="19">
        <f>$AH$17*E34</f>
        <v>783363</v>
      </c>
      <c r="AI34" s="19">
        <f>$A$32*$AI$17*INPUT!$E$94</f>
        <v>364535.80860550923</v>
      </c>
      <c r="AJ34" s="19">
        <f>$A$32*$AJ$17*INPUT!$F$94</f>
        <v>296458.1463471023</v>
      </c>
      <c r="AK34" s="19">
        <f>$A$32*$AK$17</f>
        <v>108000</v>
      </c>
      <c r="AL34" s="24">
        <f>AG34+AH34+AI34+AJ34+AK34</f>
        <v>1553856.9149526116</v>
      </c>
      <c r="AM34" s="84">
        <f t="shared" si="7"/>
        <v>1850.5779542207968</v>
      </c>
      <c r="AN34" s="84">
        <f t="shared" si="8"/>
        <v>-17374</v>
      </c>
      <c r="AO34" s="19"/>
      <c r="AP34" s="17"/>
      <c r="AQ34" s="38"/>
      <c r="AR34" s="17"/>
      <c r="AS34" s="394"/>
    </row>
    <row r="35" spans="1:45" x14ac:dyDescent="0.25">
      <c r="C35" s="13"/>
      <c r="E35" s="1"/>
      <c r="F35" s="1"/>
      <c r="G35" s="28"/>
      <c r="H35" s="28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19"/>
      <c r="AB35" s="24"/>
      <c r="AC35" s="24"/>
      <c r="AG35" s="7"/>
      <c r="AH35" s="19"/>
      <c r="AI35" s="19"/>
      <c r="AJ35" s="19"/>
      <c r="AK35" s="19"/>
      <c r="AL35" s="24"/>
      <c r="AM35" s="84"/>
      <c r="AN35" s="84"/>
      <c r="AP35" s="17"/>
      <c r="AQ35" s="84"/>
      <c r="AR35" s="17"/>
      <c r="AS35" s="84"/>
    </row>
    <row r="36" spans="1:45" x14ac:dyDescent="0.25">
      <c r="A36" s="1">
        <v>75000</v>
      </c>
      <c r="B36" s="1"/>
      <c r="C36" s="13">
        <v>0.3</v>
      </c>
      <c r="E36" s="1">
        <f>C36*($A$36*730)</f>
        <v>16425000</v>
      </c>
      <c r="F36" s="1"/>
      <c r="G36" s="28">
        <f t="shared" si="0"/>
        <v>1541079.155295515</v>
      </c>
      <c r="H36" s="28">
        <f>+AL36</f>
        <v>1658581.3924289173</v>
      </c>
      <c r="I36" s="28">
        <f t="shared" si="1"/>
        <v>1189.657256284798</v>
      </c>
      <c r="J36" s="90">
        <f t="shared" si="2"/>
        <v>116312.57987711765</v>
      </c>
      <c r="K36" s="54">
        <f>ROUND(+J36/G36,4)</f>
        <v>7.5499999999999998E-2</v>
      </c>
      <c r="L36" s="28">
        <f>ROUND($X$10*$E36,2)</f>
        <v>-22792.18</v>
      </c>
      <c r="M36" s="28">
        <f>ROUND($X$11*$E36,2)</f>
        <v>0</v>
      </c>
      <c r="N36" s="28">
        <f>ROUND($X$12*$E36,2)</f>
        <v>8370.39</v>
      </c>
      <c r="O36" s="28">
        <f t="shared" si="3"/>
        <v>1527847.0225517997</v>
      </c>
      <c r="P36" s="28">
        <f>+H36+L36+M36+N36</f>
        <v>1644159.6024289173</v>
      </c>
      <c r="Q36" s="54">
        <f>ROUND((P36-O36)/O36,4)</f>
        <v>7.6100000000000001E-2</v>
      </c>
      <c r="R36" s="28">
        <f t="shared" si="4"/>
        <v>-11169</v>
      </c>
      <c r="S36" s="90">
        <f t="shared" si="5"/>
        <v>1632990.6024289173</v>
      </c>
      <c r="T36" s="91">
        <f t="shared" si="6"/>
        <v>6.88E-2</v>
      </c>
      <c r="U36" s="1"/>
      <c r="W36" s="7">
        <f>$W$20</f>
        <v>1499.96</v>
      </c>
      <c r="X36" s="19">
        <f>$X$17*E36</f>
        <v>412760.25</v>
      </c>
      <c r="Y36" s="19">
        <f>$Y$17*$A$36*INPUT!$E$94</f>
        <v>570607.35712690733</v>
      </c>
      <c r="Z36" s="19">
        <f>$Z$17*$A$36*INPUT!$F$94</f>
        <v>463961.58816860744</v>
      </c>
      <c r="AA36" s="19">
        <f>$AA$17*$A$36</f>
        <v>92250</v>
      </c>
      <c r="AB36" s="24">
        <f>W36+X36+Y36+Z36+AA36</f>
        <v>1541079.155295515</v>
      </c>
      <c r="AC36" s="24"/>
      <c r="AD36" s="19"/>
      <c r="AG36" s="7">
        <f>$AG$20</f>
        <v>1499.96</v>
      </c>
      <c r="AH36" s="19">
        <f>$AH$17*E36</f>
        <v>503590.5</v>
      </c>
      <c r="AI36" s="19">
        <f>$A$36*$AI$17*INPUT!$E$94</f>
        <v>546803.7129082639</v>
      </c>
      <c r="AJ36" s="19">
        <f>$A$36*$AJ$17*INPUT!$F$94</f>
        <v>444687.21952065342</v>
      </c>
      <c r="AK36" s="19">
        <f>$A$36*$AK$17</f>
        <v>162000</v>
      </c>
      <c r="AL36" s="24">
        <f>AG36+AH36+AI36+AJ36+AK36</f>
        <v>1658581.3924289173</v>
      </c>
      <c r="AM36" s="84">
        <f t="shared" si="7"/>
        <v>1189.657256284798</v>
      </c>
      <c r="AN36" s="84">
        <f t="shared" si="8"/>
        <v>-11169</v>
      </c>
      <c r="AO36" s="19"/>
      <c r="AP36" s="17"/>
      <c r="AQ36" s="38"/>
      <c r="AR36" s="17"/>
      <c r="AS36" s="394"/>
    </row>
    <row r="37" spans="1:45" x14ac:dyDescent="0.25">
      <c r="C37" s="13">
        <v>0.5</v>
      </c>
      <c r="E37" s="1">
        <f>C37*($A$36*730)</f>
        <v>27375000</v>
      </c>
      <c r="F37" s="1"/>
      <c r="G37" s="28">
        <f t="shared" si="0"/>
        <v>1816252.655295515</v>
      </c>
      <c r="H37" s="28">
        <f>+AL37</f>
        <v>1994308.3924289171</v>
      </c>
      <c r="I37" s="28">
        <f t="shared" si="1"/>
        <v>1982.7620938079965</v>
      </c>
      <c r="J37" s="90">
        <f t="shared" si="2"/>
        <v>176072.97503959411</v>
      </c>
      <c r="K37" s="54">
        <f>ROUND(+J37/G37,4)</f>
        <v>9.69E-2</v>
      </c>
      <c r="L37" s="28">
        <f>ROUND($X$10*$E37,2)</f>
        <v>-37986.97</v>
      </c>
      <c r="M37" s="28">
        <f>ROUND($X$11*$E37,2)</f>
        <v>0</v>
      </c>
      <c r="N37" s="28">
        <f>ROUND($X$12*$E37,2)</f>
        <v>13950.64</v>
      </c>
      <c r="O37" s="28">
        <f t="shared" si="3"/>
        <v>1794199.0873893229</v>
      </c>
      <c r="P37" s="28">
        <f>+H37+L37+M37+N37</f>
        <v>1970272.062428917</v>
      </c>
      <c r="Q37" s="54">
        <f>ROUND((P37-O37)/O37,4)</f>
        <v>9.8100000000000007E-2</v>
      </c>
      <c r="R37" s="28">
        <f t="shared" si="4"/>
        <v>-18615</v>
      </c>
      <c r="S37" s="90">
        <f t="shared" si="5"/>
        <v>1951657.062428917</v>
      </c>
      <c r="T37" s="91">
        <f t="shared" si="6"/>
        <v>8.7800000000000003E-2</v>
      </c>
      <c r="U37" s="1"/>
      <c r="W37" s="7">
        <f>$W$20</f>
        <v>1499.96</v>
      </c>
      <c r="X37" s="19">
        <f>$X$17*E37</f>
        <v>687933.75</v>
      </c>
      <c r="Y37" s="19">
        <f>$Y$17*$A$36*INPUT!$E$94</f>
        <v>570607.35712690733</v>
      </c>
      <c r="Z37" s="19">
        <f>$Z$17*$A$36*INPUT!$F$94</f>
        <v>463961.58816860744</v>
      </c>
      <c r="AA37" s="19">
        <f>$AA$17*$A$36</f>
        <v>92250</v>
      </c>
      <c r="AB37" s="24">
        <f>W37+X37+Y37+Z37+AA37</f>
        <v>1816252.655295515</v>
      </c>
      <c r="AC37" s="24"/>
      <c r="AD37" s="19"/>
      <c r="AG37" s="7">
        <f>$AG$20</f>
        <v>1499.96</v>
      </c>
      <c r="AH37" s="19">
        <f>$AH$17*E37</f>
        <v>839317.5</v>
      </c>
      <c r="AI37" s="19">
        <f>$A$36*$AI$17*INPUT!$E$94</f>
        <v>546803.7129082639</v>
      </c>
      <c r="AJ37" s="19">
        <f>$A$36*$AJ$17*INPUT!$F$94</f>
        <v>444687.21952065342</v>
      </c>
      <c r="AK37" s="19">
        <f>$A$36*$AK$17</f>
        <v>162000</v>
      </c>
      <c r="AL37" s="24">
        <f>AG37+AH37+AI37+AJ37+AK37</f>
        <v>1994308.3924289171</v>
      </c>
      <c r="AM37" s="84">
        <f t="shared" si="7"/>
        <v>1982.7620938079965</v>
      </c>
      <c r="AN37" s="84">
        <f t="shared" si="8"/>
        <v>-18615</v>
      </c>
      <c r="AO37" s="19"/>
      <c r="AP37" s="17"/>
      <c r="AQ37" s="38"/>
      <c r="AR37" s="17"/>
      <c r="AS37" s="394"/>
    </row>
    <row r="38" spans="1:45" x14ac:dyDescent="0.25">
      <c r="C38" s="13">
        <v>0.7</v>
      </c>
      <c r="E38" s="1">
        <f>C38*($A$36*730)</f>
        <v>38325000</v>
      </c>
      <c r="F38" s="1"/>
      <c r="G38" s="28">
        <f t="shared" si="0"/>
        <v>2091426.155295515</v>
      </c>
      <c r="H38" s="28">
        <f>+AL38</f>
        <v>2330035.3924289173</v>
      </c>
      <c r="I38" s="28">
        <f t="shared" si="1"/>
        <v>2775.8669313311952</v>
      </c>
      <c r="J38" s="90">
        <f>+H38-(I38+G38)</f>
        <v>235833.37020207127</v>
      </c>
      <c r="K38" s="54">
        <f>ROUND(+J38/G38,4)</f>
        <v>0.1128</v>
      </c>
      <c r="L38" s="28">
        <f>ROUND($X$10*$E38,2)</f>
        <v>-53181.760000000002</v>
      </c>
      <c r="M38" s="28">
        <f>ROUND($X$11*$E38,2)</f>
        <v>0</v>
      </c>
      <c r="N38" s="28">
        <f>ROUND($X$12*$E38,2)</f>
        <v>19530.900000000001</v>
      </c>
      <c r="O38" s="28">
        <f>+G38+I38+L38+M38+N38</f>
        <v>2060551.162226846</v>
      </c>
      <c r="P38" s="28">
        <f>+H38+L38+M38+N38</f>
        <v>2296384.5324289175</v>
      </c>
      <c r="Q38" s="54">
        <f>ROUND((P38-O38)/O38,4)</f>
        <v>0.1145</v>
      </c>
      <c r="R38" s="28">
        <f t="shared" si="4"/>
        <v>-26061.000000000004</v>
      </c>
      <c r="S38" s="90">
        <f t="shared" si="5"/>
        <v>2270323.5324289175</v>
      </c>
      <c r="T38" s="91">
        <f t="shared" si="6"/>
        <v>0.1018</v>
      </c>
      <c r="U38" s="1"/>
      <c r="W38" s="7">
        <f>$W$20</f>
        <v>1499.96</v>
      </c>
      <c r="X38" s="19">
        <f>$X$17*E38</f>
        <v>963107.25</v>
      </c>
      <c r="Y38" s="19">
        <f>$Y$17*$A$36*INPUT!$E$94</f>
        <v>570607.35712690733</v>
      </c>
      <c r="Z38" s="19">
        <f>$Z$17*$A$36*INPUT!$F$94</f>
        <v>463961.58816860744</v>
      </c>
      <c r="AA38" s="19">
        <f>$AA$17*$A$36</f>
        <v>92250</v>
      </c>
      <c r="AB38" s="24">
        <f>W38+X38+Y38+Z38+AA38</f>
        <v>2091426.155295515</v>
      </c>
      <c r="AC38" s="24"/>
      <c r="AD38" s="19"/>
      <c r="AG38" s="7">
        <f>$AG$20</f>
        <v>1499.96</v>
      </c>
      <c r="AH38" s="19">
        <f>$AH$17*E38</f>
        <v>1175044.5</v>
      </c>
      <c r="AI38" s="19">
        <f>$A$36*$AI$17*INPUT!$E$94</f>
        <v>546803.7129082639</v>
      </c>
      <c r="AJ38" s="19">
        <f>$A$36*$AJ$17*INPUT!$F$94</f>
        <v>444687.21952065342</v>
      </c>
      <c r="AK38" s="19">
        <f>$A$36*$AK$17</f>
        <v>162000</v>
      </c>
      <c r="AL38" s="24">
        <f>AG38+AH38+AI38+AJ38+AK38</f>
        <v>2330035.3924289173</v>
      </c>
      <c r="AM38" s="84">
        <f>$AM$17*E38</f>
        <v>2775.8669313311952</v>
      </c>
      <c r="AN38" s="84">
        <f>$AN$17*E38</f>
        <v>-26061.000000000004</v>
      </c>
      <c r="AO38" s="19"/>
      <c r="AP38" s="17"/>
      <c r="AQ38" s="38"/>
      <c r="AR38" s="17"/>
      <c r="AS38" s="394"/>
    </row>
    <row r="39" spans="1:45" x14ac:dyDescent="0.25">
      <c r="X39" s="19"/>
      <c r="Y39" s="19"/>
      <c r="Z39" s="19"/>
      <c r="AA39" s="19"/>
      <c r="AB39" s="19"/>
      <c r="AC39" s="19"/>
    </row>
    <row r="40" spans="1:45" x14ac:dyDescent="0.25">
      <c r="A40" s="17" t="s">
        <v>301</v>
      </c>
      <c r="X40" s="19"/>
      <c r="Y40" s="19"/>
      <c r="Z40" s="19"/>
      <c r="AA40" s="19"/>
      <c r="AB40" s="19"/>
      <c r="AC40" s="19"/>
    </row>
    <row r="41" spans="1:45" x14ac:dyDescent="0.25">
      <c r="A41" s="174" t="str">
        <f>("Average Usage = "&amp;TEXT(INPUT!$M$26*1,"0,000")&amp;" kWh per month")</f>
        <v>Average Usage = 5,852,624 kWh per month</v>
      </c>
      <c r="X41" s="19"/>
      <c r="Y41" s="19"/>
      <c r="Z41" s="19"/>
      <c r="AA41" s="19"/>
      <c r="AB41" s="19"/>
      <c r="AC41" s="19"/>
    </row>
    <row r="42" spans="1:45" x14ac:dyDescent="0.25">
      <c r="A42" s="174" t="str">
        <f>("Average Demand = "&amp;TEXT(INPUT!I107,"0,000")&amp;" kVA per month")</f>
        <v>Average Demand = 13,348 kVA per month</v>
      </c>
      <c r="X42" s="19"/>
      <c r="Y42" s="19"/>
      <c r="Z42" s="19"/>
      <c r="AA42" s="19"/>
      <c r="AB42" s="19"/>
      <c r="AC42" s="19"/>
    </row>
    <row r="43" spans="1:45" x14ac:dyDescent="0.25">
      <c r="A43" s="175" t="s">
        <v>302</v>
      </c>
      <c r="C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I43" s="30"/>
      <c r="AJ43" s="19"/>
      <c r="AK43" s="19"/>
      <c r="AL43" s="19"/>
      <c r="AM43" s="19"/>
      <c r="AN43" s="19"/>
      <c r="AO43" s="19"/>
      <c r="AP43" s="19"/>
      <c r="AQ43" s="6"/>
    </row>
    <row r="44" spans="1:45" x14ac:dyDescent="0.25">
      <c r="A44" s="176" t="s">
        <v>606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X44" s="12"/>
      <c r="AI44" s="9"/>
    </row>
    <row r="45" spans="1:45" ht="13" x14ac:dyDescent="0.3">
      <c r="A45" s="175" t="str">
        <f>+'Rate Case Constants'!$C$26</f>
        <v>Calculations may vary from other schedules due to rounding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E45" s="3"/>
      <c r="AF45" s="2"/>
      <c r="AG45" s="3"/>
      <c r="AI45" s="3"/>
    </row>
    <row r="46" spans="1:45" x14ac:dyDescent="0.25">
      <c r="AI46" s="9"/>
    </row>
    <row r="47" spans="1:45" ht="13" x14ac:dyDescent="0.3">
      <c r="W47" s="3"/>
      <c r="AA47" s="3"/>
      <c r="AE47" s="3"/>
      <c r="AI47" s="9"/>
    </row>
    <row r="48" spans="1:45" ht="1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E48" s="3"/>
      <c r="AF48" s="2"/>
      <c r="AG48" s="3"/>
      <c r="AI48" s="3"/>
    </row>
    <row r="49" spans="2:35" ht="1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E49" s="3"/>
      <c r="AF49" s="2"/>
      <c r="AG49" s="3"/>
      <c r="AI49" s="3"/>
    </row>
    <row r="50" spans="2:35" ht="1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</row>
    <row r="51" spans="2:35" x14ac:dyDescent="0.25">
      <c r="B51" s="1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7"/>
      <c r="X51" s="12"/>
      <c r="AA51" s="12"/>
      <c r="AB51" s="12"/>
      <c r="AC51" s="12"/>
      <c r="AE51" s="6"/>
      <c r="AG51" s="6"/>
      <c r="AI51" s="9"/>
    </row>
    <row r="52" spans="2:35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7"/>
      <c r="X52" s="12"/>
      <c r="AA52" s="12"/>
      <c r="AB52" s="12"/>
      <c r="AC52" s="12"/>
      <c r="AE52" s="6"/>
      <c r="AG52" s="6"/>
      <c r="AI52" s="9"/>
    </row>
    <row r="53" spans="2:35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7"/>
      <c r="X53" s="12"/>
      <c r="AA53" s="12"/>
      <c r="AB53" s="12"/>
      <c r="AC53" s="12"/>
      <c r="AE53" s="6"/>
      <c r="AG53" s="6"/>
      <c r="AI53" s="9"/>
    </row>
    <row r="54" spans="2:35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7"/>
      <c r="X54" s="12"/>
      <c r="AA54" s="12"/>
      <c r="AB54" s="12"/>
      <c r="AC54" s="12"/>
      <c r="AE54" s="6"/>
      <c r="AF54" s="10"/>
      <c r="AG54" s="6"/>
      <c r="AH54" s="10"/>
      <c r="AI54" s="9"/>
    </row>
    <row r="55" spans="2:35" ht="6.75" customHeight="1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F55" s="10"/>
      <c r="AG55" s="6"/>
      <c r="AH55" s="10"/>
      <c r="AI55" s="9"/>
    </row>
    <row r="56" spans="2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2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2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G58" s="6"/>
      <c r="AI58" s="9"/>
    </row>
    <row r="59" spans="2:35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G59" s="6"/>
      <c r="AI59" s="9"/>
    </row>
    <row r="60" spans="2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2:35" ht="6.75" customHeight="1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2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2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2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ht="1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</row>
    <row r="67" spans="5:41" ht="1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I68" s="9"/>
    </row>
    <row r="69" spans="5:41" x14ac:dyDescent="0.25">
      <c r="AL69" s="4"/>
      <c r="AM69" s="4"/>
      <c r="AN69" s="4"/>
      <c r="AO69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  <pageSetUpPr fitToPage="1"/>
  </sheetPr>
  <dimension ref="A1:AS69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10.453125" customWidth="1"/>
    <col min="2" max="2" width="3.7265625" customWidth="1"/>
    <col min="3" max="3" width="8.1796875" bestFit="1" customWidth="1"/>
    <col min="4" max="4" width="1.81640625" customWidth="1"/>
    <col min="5" max="5" width="12" bestFit="1" customWidth="1"/>
    <col min="6" max="6" width="2" customWidth="1"/>
    <col min="7" max="7" width="15.1796875" bestFit="1" customWidth="1"/>
    <col min="8" max="9" width="14.7265625" customWidth="1"/>
    <col min="10" max="10" width="13.453125" bestFit="1" customWidth="1"/>
    <col min="11" max="11" width="9.81640625" customWidth="1"/>
    <col min="12" max="12" width="14.26953125" bestFit="1" customWidth="1"/>
    <col min="13" max="13" width="13.453125" bestFit="1" customWidth="1"/>
    <col min="14" max="14" width="15.1796875" customWidth="1"/>
    <col min="15" max="16" width="15.1796875" bestFit="1" customWidth="1"/>
    <col min="17" max="17" width="9.81640625" customWidth="1"/>
    <col min="18" max="18" width="13.1796875" bestFit="1" customWidth="1"/>
    <col min="19" max="19" width="14.26953125" bestFit="1" customWidth="1"/>
    <col min="20" max="20" width="9.36328125" customWidth="1"/>
    <col min="21" max="22" width="9.81640625" customWidth="1"/>
    <col min="23" max="23" width="10" customWidth="1"/>
    <col min="24" max="24" width="14.453125" bestFit="1" customWidth="1"/>
    <col min="25" max="25" width="12.7265625" bestFit="1" customWidth="1"/>
    <col min="26" max="26" width="13.81640625" bestFit="1" customWidth="1"/>
    <col min="27" max="27" width="12.7265625" bestFit="1" customWidth="1"/>
    <col min="28" max="28" width="14.453125" bestFit="1" customWidth="1"/>
    <col min="29" max="29" width="3.1796875" customWidth="1"/>
    <col min="30" max="30" width="14.453125" customWidth="1"/>
    <col min="31" max="31" width="3.81640625" customWidth="1"/>
    <col min="32" max="32" width="2.453125" customWidth="1"/>
    <col min="33" max="34" width="14.453125" bestFit="1" customWidth="1"/>
    <col min="35" max="35" width="12.7265625" bestFit="1" customWidth="1"/>
    <col min="36" max="36" width="13.81640625" bestFit="1" customWidth="1"/>
    <col min="37" max="37" width="12.7265625" bestFit="1" customWidth="1"/>
    <col min="38" max="38" width="14.453125" bestFit="1" customWidth="1"/>
    <col min="39" max="40" width="14.453125" customWidth="1"/>
    <col min="41" max="41" width="14.453125" bestFit="1" customWidth="1"/>
    <col min="42" max="42" width="11.1796875" customWidth="1"/>
    <col min="43" max="43" width="11.453125" bestFit="1" customWidth="1"/>
    <col min="44" max="44" width="10.7265625" customWidth="1"/>
    <col min="45" max="45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Constants'!L20</f>
        <v>PAGE 13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+INPUT!H75</f>
        <v>-1.3966380729894131E-3</v>
      </c>
    </row>
    <row r="11" spans="1:45" ht="13" x14ac:dyDescent="0.3">
      <c r="A11" s="124" t="s">
        <v>314</v>
      </c>
      <c r="W11" s="83" t="s">
        <v>70</v>
      </c>
      <c r="X11" s="2">
        <f>+INPUT!I75</f>
        <v>0</v>
      </c>
      <c r="Z11" s="59"/>
      <c r="AH11" s="59"/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+INPUT!J75</f>
        <v>5.3176338083036961E-4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A13" s="3" t="s">
        <v>1</v>
      </c>
      <c r="AD13" s="3"/>
      <c r="AH13" s="19"/>
      <c r="AI13" s="20" t="s">
        <v>6</v>
      </c>
      <c r="AJ13" s="20" t="s">
        <v>6</v>
      </c>
      <c r="AK13" s="20" t="s">
        <v>6</v>
      </c>
      <c r="AL13" s="19"/>
      <c r="AM13" s="19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31</v>
      </c>
      <c r="Z14" s="3" t="s">
        <v>27</v>
      </c>
      <c r="AA14" s="3" t="s">
        <v>19</v>
      </c>
      <c r="AB14" s="3" t="s">
        <v>1</v>
      </c>
      <c r="AC14" s="3"/>
      <c r="AD14" s="3"/>
      <c r="AG14" s="3" t="s">
        <v>6</v>
      </c>
      <c r="AH14" s="3" t="s">
        <v>6</v>
      </c>
      <c r="AI14" s="20" t="s">
        <v>31</v>
      </c>
      <c r="AJ14" s="20" t="s">
        <v>27</v>
      </c>
      <c r="AK14" s="20" t="s">
        <v>19</v>
      </c>
      <c r="AL14" s="20" t="s">
        <v>6</v>
      </c>
      <c r="AM14" s="20"/>
      <c r="AN14" s="85" t="s">
        <v>592</v>
      </c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22</v>
      </c>
      <c r="Z15" s="3" t="s">
        <v>22</v>
      </c>
      <c r="AA15" s="3" t="s">
        <v>15</v>
      </c>
      <c r="AB15" s="3" t="s">
        <v>5</v>
      </c>
      <c r="AC15" s="3"/>
      <c r="AD15" s="3"/>
      <c r="AG15" s="25" t="s">
        <v>52</v>
      </c>
      <c r="AH15" s="3" t="s">
        <v>53</v>
      </c>
      <c r="AI15" s="20" t="s">
        <v>22</v>
      </c>
      <c r="AJ15" s="20" t="s">
        <v>22</v>
      </c>
      <c r="AK15" s="20" t="s">
        <v>15</v>
      </c>
      <c r="AL15" s="20" t="s">
        <v>5</v>
      </c>
      <c r="AM15" s="86" t="s">
        <v>69</v>
      </c>
      <c r="AN15" s="85" t="s">
        <v>593</v>
      </c>
      <c r="AO15" s="3"/>
      <c r="AQ15" s="85"/>
      <c r="AR15" s="85"/>
      <c r="AS15" s="85"/>
    </row>
    <row r="16" spans="1:45" ht="13" x14ac:dyDescent="0.3">
      <c r="A16" s="3" t="s">
        <v>23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3</v>
      </c>
      <c r="Z16" s="3" t="s">
        <v>3</v>
      </c>
      <c r="AA16" s="3" t="s">
        <v>3</v>
      </c>
      <c r="AB16" s="3" t="s">
        <v>4</v>
      </c>
      <c r="AC16" s="3"/>
      <c r="AD16" s="3"/>
      <c r="AG16" s="25" t="s">
        <v>3</v>
      </c>
      <c r="AH16" s="3" t="s">
        <v>3</v>
      </c>
      <c r="AI16" s="20" t="s">
        <v>3</v>
      </c>
      <c r="AJ16" s="20" t="s">
        <v>3</v>
      </c>
      <c r="AK16" s="20" t="s">
        <v>3</v>
      </c>
      <c r="AL16" s="20" t="s">
        <v>4</v>
      </c>
      <c r="AM16" s="386" t="s">
        <v>471</v>
      </c>
      <c r="AN16" s="348" t="s">
        <v>439</v>
      </c>
      <c r="AO16" s="3"/>
      <c r="AQ16" s="85"/>
      <c r="AR16" s="85"/>
      <c r="AS16" s="85"/>
    </row>
    <row r="17" spans="1:45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+INPUT!$N$6</f>
        <v>2.513E-2</v>
      </c>
      <c r="Y17" s="41">
        <f>+INPUT!$N$13</f>
        <v>4.42</v>
      </c>
      <c r="Z17" s="41">
        <f>+INPUT!$N$14</f>
        <v>3.22</v>
      </c>
      <c r="AA17" s="41">
        <f>+INPUT!$N$15</f>
        <v>1.27</v>
      </c>
      <c r="AB17" s="3"/>
      <c r="AC17" s="3"/>
      <c r="AD17" s="40"/>
      <c r="AG17" s="25"/>
      <c r="AH17" s="40">
        <f>+INPUT!$N$34</f>
        <v>3.0509999999999999E-2</v>
      </c>
      <c r="AI17" s="41">
        <f>+INPUT!$N$41</f>
        <v>4.3499999999999996</v>
      </c>
      <c r="AJ17" s="41">
        <f>+INPUT!$N$42</f>
        <v>3.17</v>
      </c>
      <c r="AK17" s="41">
        <f>+INPUT!$N$43</f>
        <v>1.49</v>
      </c>
      <c r="AL17" s="20"/>
      <c r="AM17" s="86">
        <f>INPUT!K75</f>
        <v>7.6769279792991303E-5</v>
      </c>
      <c r="AN17" s="86">
        <f>INPUT!N52</f>
        <v>-6.8000000000000005E-4</v>
      </c>
      <c r="AO17" s="40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49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" t="s">
        <v>55</v>
      </c>
      <c r="Z18" s="3" t="s">
        <v>55</v>
      </c>
      <c r="AA18" s="3" t="s">
        <v>55</v>
      </c>
      <c r="AB18" s="3"/>
      <c r="AC18" s="3"/>
      <c r="AD18" s="3"/>
      <c r="AG18" s="25"/>
      <c r="AH18" s="3" t="s">
        <v>11</v>
      </c>
      <c r="AI18" s="3" t="s">
        <v>55</v>
      </c>
      <c r="AJ18" s="3" t="s">
        <v>55</v>
      </c>
      <c r="AK18" s="3" t="s">
        <v>55</v>
      </c>
      <c r="AL18" s="20"/>
      <c r="AM18" s="86" t="s">
        <v>11</v>
      </c>
      <c r="AN18" s="86" t="s">
        <v>11</v>
      </c>
      <c r="AO18" s="3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20"/>
      <c r="AL19" s="20"/>
      <c r="AM19" s="85"/>
      <c r="AN19" s="85"/>
      <c r="AQ19" s="85"/>
      <c r="AR19" s="85"/>
      <c r="AS19" s="85"/>
    </row>
    <row r="20" spans="1:45" x14ac:dyDescent="0.25">
      <c r="A20" s="1">
        <v>20000</v>
      </c>
      <c r="B20" s="1"/>
      <c r="C20" s="13">
        <v>0.3</v>
      </c>
      <c r="E20" s="1">
        <f>C20*($A$20*730)</f>
        <v>4380000</v>
      </c>
      <c r="F20" s="1"/>
      <c r="G20" s="28">
        <f>+AB20</f>
        <v>260149.98451195646</v>
      </c>
      <c r="H20" s="28">
        <f>+AL20</f>
        <v>286183.17922615039</v>
      </c>
      <c r="I20" s="28">
        <f>AM20</f>
        <v>336.24944549330189</v>
      </c>
      <c r="J20" s="90">
        <f>+H20-(I20+G20)</f>
        <v>25696.945268700627</v>
      </c>
      <c r="K20" s="54">
        <f>ROUND(+J20/G20,4)</f>
        <v>9.8799999999999999E-2</v>
      </c>
      <c r="L20" s="28">
        <f>ROUND($X$10*$E20,2)</f>
        <v>-6117.27</v>
      </c>
      <c r="M20" s="28">
        <f>ROUND($X$11*$E20,2)</f>
        <v>0</v>
      </c>
      <c r="N20" s="28">
        <f>ROUND($X$12*$E20,2)</f>
        <v>2329.12</v>
      </c>
      <c r="O20" s="28">
        <f>+G20+I20+L20+M20+N20</f>
        <v>256698.08395744977</v>
      </c>
      <c r="P20" s="28">
        <f>+H20+L20+M20+N20</f>
        <v>282395.02922615036</v>
      </c>
      <c r="Q20" s="54">
        <f>ROUND((P20-O20)/O20,4)</f>
        <v>0.10009999999999999</v>
      </c>
      <c r="R20" s="28">
        <f>AN20</f>
        <v>-2978.4</v>
      </c>
      <c r="S20" s="90">
        <f>P20+R20</f>
        <v>279416.62922615034</v>
      </c>
      <c r="T20" s="91">
        <f>ROUND((S20-O20)/O20,4)</f>
        <v>8.8499999999999995E-2</v>
      </c>
      <c r="U20" s="1"/>
      <c r="W20" s="7">
        <f>+INPUT!$N$4</f>
        <v>1499.96</v>
      </c>
      <c r="X20" s="19">
        <f>$X$17*E20</f>
        <v>110069.4</v>
      </c>
      <c r="Y20" s="19">
        <f>$Y$17*$A$20*INPUT!$E$95</f>
        <v>59720.021037212333</v>
      </c>
      <c r="Z20" s="19">
        <f>$Z$17*$A$20*INPUT!$F$95</f>
        <v>63460.603474744144</v>
      </c>
      <c r="AA20" s="19">
        <f>$AA$17*$A$20</f>
        <v>25400</v>
      </c>
      <c r="AB20" s="24">
        <f>W20+X20+Y20+Z20+AA20</f>
        <v>260149.98451195646</v>
      </c>
      <c r="AC20" s="24"/>
      <c r="AD20" s="19"/>
      <c r="AG20" s="7">
        <f>INPUT!$N$32</f>
        <v>1499.96</v>
      </c>
      <c r="AH20" s="19">
        <f>$AH$17*E20</f>
        <v>133633.79999999999</v>
      </c>
      <c r="AI20" s="19">
        <f>$AI$17*$A$20*INPUT!$E$95</f>
        <v>58774.22884884019</v>
      </c>
      <c r="AJ20" s="19">
        <f>$A$20*$AJ$17*INPUT!$F$95</f>
        <v>62475.190377310217</v>
      </c>
      <c r="AK20" s="19">
        <f>$A$20*$AK$17</f>
        <v>29800</v>
      </c>
      <c r="AL20" s="24">
        <f>AG20+AH20+AI20+AJ20+AK20</f>
        <v>286183.17922615039</v>
      </c>
      <c r="AM20" s="84">
        <f>$AM$17*E20</f>
        <v>336.24944549330189</v>
      </c>
      <c r="AN20" s="84">
        <f>$AN$17*E20</f>
        <v>-2978.4</v>
      </c>
      <c r="AO20" s="19"/>
      <c r="AP20" s="17"/>
      <c r="AQ20" s="38"/>
      <c r="AR20" s="17"/>
      <c r="AS20" s="394"/>
    </row>
    <row r="21" spans="1:45" x14ac:dyDescent="0.25">
      <c r="C21" s="13">
        <v>0.5</v>
      </c>
      <c r="E21" s="1">
        <f>C21*($A$20*730)</f>
        <v>7300000</v>
      </c>
      <c r="F21" s="1"/>
      <c r="G21" s="28">
        <f t="shared" ref="G21:G38" si="0">+AB21</f>
        <v>333529.58451195649</v>
      </c>
      <c r="H21" s="28">
        <f>+AL21</f>
        <v>375272.3792261504</v>
      </c>
      <c r="I21" s="28">
        <f t="shared" ref="I21:I38" si="1">AM21</f>
        <v>560.41574248883649</v>
      </c>
      <c r="J21" s="90">
        <f t="shared" ref="J21:J38" si="2">+H21-(I21+G21)</f>
        <v>41182.378971705097</v>
      </c>
      <c r="K21" s="54">
        <f>ROUND(+J21/G21,4)</f>
        <v>0.1235</v>
      </c>
      <c r="L21" s="28">
        <f>ROUND($X$10*$E21,2)</f>
        <v>-10195.459999999999</v>
      </c>
      <c r="M21" s="28">
        <f>ROUND($X$11*$E21,2)</f>
        <v>0</v>
      </c>
      <c r="N21" s="28">
        <f>ROUND($X$12*$E21,2)</f>
        <v>3881.87</v>
      </c>
      <c r="O21" s="28">
        <f t="shared" ref="O21:O37" si="3">+G21+I21+L21+M21+N21</f>
        <v>327776.41025444528</v>
      </c>
      <c r="P21" s="28">
        <f>+H21+L21+M21+N21</f>
        <v>368958.78922615037</v>
      </c>
      <c r="Q21" s="91">
        <f>ROUND((P21-O21)/O21,4)</f>
        <v>0.12559999999999999</v>
      </c>
      <c r="R21" s="28">
        <f t="shared" ref="R21:R38" si="4">AN21</f>
        <v>-4964</v>
      </c>
      <c r="S21" s="90">
        <f t="shared" ref="S21:S38" si="5">P21+R21</f>
        <v>363994.78922615037</v>
      </c>
      <c r="T21" s="91">
        <f t="shared" ref="T21:T38" si="6">ROUND((S21-O21)/O21,4)</f>
        <v>0.1105</v>
      </c>
      <c r="U21" s="1"/>
      <c r="W21" s="7">
        <f>$W$20</f>
        <v>1499.96</v>
      </c>
      <c r="X21" s="19">
        <f>$X$17*E21</f>
        <v>183449</v>
      </c>
      <c r="Y21" s="19">
        <f>$Y$17*$A$20*INPUT!$E$95</f>
        <v>59720.021037212333</v>
      </c>
      <c r="Z21" s="19">
        <f>$Z$17*$A$20*INPUT!$F$95</f>
        <v>63460.603474744144</v>
      </c>
      <c r="AA21" s="19">
        <f>$AA$17*$A$20</f>
        <v>25400</v>
      </c>
      <c r="AB21" s="24">
        <f>W21+X21+Y21+Z21+AA21</f>
        <v>333529.58451195649</v>
      </c>
      <c r="AC21" s="24"/>
      <c r="AD21" s="19"/>
      <c r="AG21" s="7">
        <f>$AG$20</f>
        <v>1499.96</v>
      </c>
      <c r="AH21" s="19">
        <f>$AH$17*E21</f>
        <v>222723</v>
      </c>
      <c r="AI21" s="19">
        <f>$AI$17*$A$20*INPUT!$E$95</f>
        <v>58774.22884884019</v>
      </c>
      <c r="AJ21" s="19">
        <f>$A$20*$AJ$17*INPUT!$F$95</f>
        <v>62475.190377310217</v>
      </c>
      <c r="AK21" s="19">
        <f>$A$20*$AK$17</f>
        <v>29800</v>
      </c>
      <c r="AL21" s="24">
        <f>AG21+AH21+AI21+AJ21+AK21</f>
        <v>375272.3792261504</v>
      </c>
      <c r="AM21" s="84">
        <f t="shared" ref="AM21:AM37" si="7">$AM$17*E21</f>
        <v>560.41574248883649</v>
      </c>
      <c r="AN21" s="84">
        <f t="shared" ref="AN21:AN37" si="8">$AN$17*E21</f>
        <v>-4964</v>
      </c>
      <c r="AO21" s="19"/>
      <c r="AP21" s="17"/>
      <c r="AQ21" s="38"/>
      <c r="AR21" s="17"/>
      <c r="AS21" s="394"/>
    </row>
    <row r="22" spans="1:45" x14ac:dyDescent="0.25">
      <c r="C22" s="13">
        <v>0.7</v>
      </c>
      <c r="E22" s="1">
        <f>C22*($A$20*730)</f>
        <v>10220000</v>
      </c>
      <c r="F22" s="1"/>
      <c r="G22" s="28">
        <f t="shared" si="0"/>
        <v>406909.18451195647</v>
      </c>
      <c r="H22" s="28">
        <f>+AL22</f>
        <v>464361.57922615041</v>
      </c>
      <c r="I22" s="28">
        <f t="shared" si="1"/>
        <v>784.58203948437108</v>
      </c>
      <c r="J22" s="90">
        <f t="shared" si="2"/>
        <v>56667.812674709596</v>
      </c>
      <c r="K22" s="54">
        <f>ROUND(+J22/G22,4)</f>
        <v>0.13930000000000001</v>
      </c>
      <c r="L22" s="28">
        <f>ROUND($X$10*$E22,2)</f>
        <v>-14273.64</v>
      </c>
      <c r="M22" s="28">
        <f>ROUND($X$11*$E22,2)</f>
        <v>0</v>
      </c>
      <c r="N22" s="28">
        <f>ROUND($X$12*$E22,2)</f>
        <v>5434.62</v>
      </c>
      <c r="O22" s="28">
        <f t="shared" si="3"/>
        <v>398854.7465514408</v>
      </c>
      <c r="P22" s="28">
        <f>+H22+L22+M22+N22</f>
        <v>455522.55922615039</v>
      </c>
      <c r="Q22" s="54">
        <f>ROUND((P22-O22)/O22,4)</f>
        <v>0.1421</v>
      </c>
      <c r="R22" s="28">
        <f t="shared" si="4"/>
        <v>-6949.6</v>
      </c>
      <c r="S22" s="90">
        <f t="shared" si="5"/>
        <v>448572.95922615041</v>
      </c>
      <c r="T22" s="91">
        <f t="shared" si="6"/>
        <v>0.12470000000000001</v>
      </c>
      <c r="U22" s="1"/>
      <c r="W22" s="7">
        <f>$W$20</f>
        <v>1499.96</v>
      </c>
      <c r="X22" s="19">
        <f>$X$17*E22</f>
        <v>256828.6</v>
      </c>
      <c r="Y22" s="19">
        <f>$Y$17*$A$20*INPUT!$E$95</f>
        <v>59720.021037212333</v>
      </c>
      <c r="Z22" s="19">
        <f>$Z$17*$A$20*INPUT!$F$95</f>
        <v>63460.603474744144</v>
      </c>
      <c r="AA22" s="19">
        <f>$AA$17*$A$20</f>
        <v>25400</v>
      </c>
      <c r="AB22" s="24">
        <f>W22+X22+Y22+Z22+AA22</f>
        <v>406909.18451195647</v>
      </c>
      <c r="AC22" s="24"/>
      <c r="AD22" s="19"/>
      <c r="AG22" s="7">
        <f>$AG$20</f>
        <v>1499.96</v>
      </c>
      <c r="AH22" s="19">
        <f>$AH$17*E22</f>
        <v>311812.2</v>
      </c>
      <c r="AI22" s="19">
        <f>$AI$17*$A$20*INPUT!$E$95</f>
        <v>58774.22884884019</v>
      </c>
      <c r="AJ22" s="19">
        <f>$A$20*$AJ$17*INPUT!$F$95</f>
        <v>62475.190377310217</v>
      </c>
      <c r="AK22" s="19">
        <f>$A$20*$AK$17</f>
        <v>29800</v>
      </c>
      <c r="AL22" s="24">
        <f>AG22+AH22+AI22+AJ22+AK22</f>
        <v>464361.57922615041</v>
      </c>
      <c r="AM22" s="84">
        <f t="shared" si="7"/>
        <v>784.58203948437108</v>
      </c>
      <c r="AN22" s="84">
        <f t="shared" si="8"/>
        <v>-6949.6</v>
      </c>
      <c r="AO22" s="19"/>
      <c r="AP22" s="17"/>
      <c r="AQ22" s="38"/>
      <c r="AR22" s="17"/>
      <c r="AS22" s="394"/>
    </row>
    <row r="23" spans="1:45" x14ac:dyDescent="0.25">
      <c r="C23" s="13"/>
      <c r="E23" s="1"/>
      <c r="F23" s="1"/>
      <c r="G23" s="28"/>
      <c r="H23" s="28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19"/>
      <c r="AB23" s="24"/>
      <c r="AC23" s="24"/>
      <c r="AG23" s="7"/>
      <c r="AH23" s="19"/>
      <c r="AI23" s="19"/>
      <c r="AJ23" s="19"/>
      <c r="AK23" s="19"/>
      <c r="AL23" s="24"/>
      <c r="AM23" s="84"/>
      <c r="AN23" s="84"/>
      <c r="AP23" s="17"/>
      <c r="AQ23" s="84"/>
      <c r="AR23" s="17"/>
      <c r="AS23" s="84"/>
    </row>
    <row r="24" spans="1:45" x14ac:dyDescent="0.25">
      <c r="A24" s="1">
        <v>100000</v>
      </c>
      <c r="B24" s="1"/>
      <c r="C24" s="13">
        <v>0.3</v>
      </c>
      <c r="E24" s="1">
        <f>C24*($A$24*730)</f>
        <v>21900000</v>
      </c>
      <c r="F24" s="1"/>
      <c r="G24" s="28">
        <f t="shared" si="0"/>
        <v>1294750.0825597823</v>
      </c>
      <c r="H24" s="28">
        <f>+AL24</f>
        <v>1424916.056130752</v>
      </c>
      <c r="I24" s="28">
        <f t="shared" si="1"/>
        <v>1681.2472274665095</v>
      </c>
      <c r="J24" s="90">
        <f t="shared" si="2"/>
        <v>128484.72634350322</v>
      </c>
      <c r="K24" s="54">
        <f>ROUND(+J24/G24,4)</f>
        <v>9.9199999999999997E-2</v>
      </c>
      <c r="L24" s="28">
        <f>ROUND($X$10*$E24,2)</f>
        <v>-30586.37</v>
      </c>
      <c r="M24" s="28">
        <f>ROUND($X$11*$E24,2)</f>
        <v>0</v>
      </c>
      <c r="N24" s="28">
        <f>ROUND($X$12*$E24,2)</f>
        <v>11645.62</v>
      </c>
      <c r="O24" s="28">
        <f t="shared" si="3"/>
        <v>1277490.5797872487</v>
      </c>
      <c r="P24" s="28">
        <f>+H24+L24+M24+N24</f>
        <v>1405975.306130752</v>
      </c>
      <c r="Q24" s="54">
        <f>ROUND((P24-O24)/O24,4)</f>
        <v>0.10059999999999999</v>
      </c>
      <c r="R24" s="28">
        <f t="shared" si="4"/>
        <v>-14892.000000000002</v>
      </c>
      <c r="S24" s="90">
        <f t="shared" si="5"/>
        <v>1391083.306130752</v>
      </c>
      <c r="T24" s="91">
        <f t="shared" si="6"/>
        <v>8.8900000000000007E-2</v>
      </c>
      <c r="U24" s="1"/>
      <c r="W24" s="7">
        <f>$W$20</f>
        <v>1499.96</v>
      </c>
      <c r="X24" s="19">
        <f>$X$17*E24</f>
        <v>550347</v>
      </c>
      <c r="Y24" s="19">
        <f>$Y$17*$A$24*INPUT!$E$95</f>
        <v>298600.10518606164</v>
      </c>
      <c r="Z24" s="19">
        <f>$Z$17*$A$24*INPUT!$F$95</f>
        <v>317303.01737372065</v>
      </c>
      <c r="AA24" s="19">
        <f>$AA$17*$A$24</f>
        <v>127000</v>
      </c>
      <c r="AB24" s="24">
        <f>W24+X24+Y24+Z24+AA24</f>
        <v>1294750.0825597823</v>
      </c>
      <c r="AC24" s="24"/>
      <c r="AD24" s="19"/>
      <c r="AG24" s="7">
        <f>$AG$20</f>
        <v>1499.96</v>
      </c>
      <c r="AH24" s="19">
        <f>$AH$17*E24</f>
        <v>668169</v>
      </c>
      <c r="AI24" s="19">
        <f>$AI$17*$A$24*INPUT!$E$95</f>
        <v>293871.1442442009</v>
      </c>
      <c r="AJ24" s="19">
        <f>$A$24*$AJ$17*INPUT!$F$95</f>
        <v>312375.95188655111</v>
      </c>
      <c r="AK24" s="19">
        <f>$A$24*$AK$17</f>
        <v>149000</v>
      </c>
      <c r="AL24" s="24">
        <f>AG24+AH24+AI24+AJ24+AK24</f>
        <v>1424916.056130752</v>
      </c>
      <c r="AM24" s="84">
        <f t="shared" si="7"/>
        <v>1681.2472274665095</v>
      </c>
      <c r="AN24" s="84">
        <f t="shared" si="8"/>
        <v>-14892.000000000002</v>
      </c>
      <c r="AO24" s="19"/>
      <c r="AP24" s="17"/>
      <c r="AQ24" s="38"/>
      <c r="AR24" s="144"/>
      <c r="AS24" s="394"/>
    </row>
    <row r="25" spans="1:45" x14ac:dyDescent="0.25">
      <c r="C25" s="13">
        <v>0.5</v>
      </c>
      <c r="E25" s="1">
        <f>C25*($A$24*730)</f>
        <v>36500000</v>
      </c>
      <c r="F25" s="1"/>
      <c r="G25" s="28">
        <f t="shared" si="0"/>
        <v>1661648.0825597823</v>
      </c>
      <c r="H25" s="28">
        <f>+AL25</f>
        <v>1870362.056130752</v>
      </c>
      <c r="I25" s="28">
        <f t="shared" si="1"/>
        <v>2802.0787124441827</v>
      </c>
      <c r="J25" s="90">
        <f t="shared" si="2"/>
        <v>205911.89485852537</v>
      </c>
      <c r="K25" s="54">
        <f>ROUND(+J25/G25,4)</f>
        <v>0.1239</v>
      </c>
      <c r="L25" s="28">
        <f>ROUND($X$10*$E25,2)</f>
        <v>-50977.29</v>
      </c>
      <c r="M25" s="28">
        <f>ROUND($X$11*$E25,2)</f>
        <v>0</v>
      </c>
      <c r="N25" s="28">
        <f>ROUND($X$12*$E25,2)</f>
        <v>19409.36</v>
      </c>
      <c r="O25" s="28">
        <f t="shared" si="3"/>
        <v>1632882.2312722267</v>
      </c>
      <c r="P25" s="28">
        <f>+H25+L25+M25+N25</f>
        <v>1838794.126130752</v>
      </c>
      <c r="Q25" s="54">
        <f>ROUND((P25-O25)/O25,4)</f>
        <v>0.12609999999999999</v>
      </c>
      <c r="R25" s="28">
        <f t="shared" si="4"/>
        <v>-24820</v>
      </c>
      <c r="S25" s="90">
        <f t="shared" si="5"/>
        <v>1813974.126130752</v>
      </c>
      <c r="T25" s="91">
        <f t="shared" si="6"/>
        <v>0.1109</v>
      </c>
      <c r="U25" s="1"/>
      <c r="W25" s="7">
        <f>$W$20</f>
        <v>1499.96</v>
      </c>
      <c r="X25" s="19">
        <f>$X$17*E25</f>
        <v>917245</v>
      </c>
      <c r="Y25" s="19">
        <f>$Y$17*$A$24*INPUT!$E$95</f>
        <v>298600.10518606164</v>
      </c>
      <c r="Z25" s="19">
        <f>$Z$17*$A$24*INPUT!$F$95</f>
        <v>317303.01737372065</v>
      </c>
      <c r="AA25" s="19">
        <f>$AA$17*$A$24</f>
        <v>127000</v>
      </c>
      <c r="AB25" s="24">
        <f>W25+X25+Y25+Z25+AA25</f>
        <v>1661648.0825597823</v>
      </c>
      <c r="AC25" s="24"/>
      <c r="AD25" s="19"/>
      <c r="AG25" s="7">
        <f>$AG$20</f>
        <v>1499.96</v>
      </c>
      <c r="AH25" s="19">
        <f>$AH$17*E25</f>
        <v>1113615</v>
      </c>
      <c r="AI25" s="19">
        <f>$AI$17*$A$24*INPUT!$E$95</f>
        <v>293871.1442442009</v>
      </c>
      <c r="AJ25" s="19">
        <f>$A$24*$AJ$17*INPUT!$F$95</f>
        <v>312375.95188655111</v>
      </c>
      <c r="AK25" s="19">
        <f>$A$24*$AK$17</f>
        <v>149000</v>
      </c>
      <c r="AL25" s="24">
        <f>AG25+AH25+AI25+AJ25+AK25</f>
        <v>1870362.056130752</v>
      </c>
      <c r="AM25" s="84">
        <f t="shared" si="7"/>
        <v>2802.0787124441827</v>
      </c>
      <c r="AN25" s="84">
        <f t="shared" si="8"/>
        <v>-24820</v>
      </c>
      <c r="AO25" s="19"/>
      <c r="AP25" s="17"/>
      <c r="AQ25" s="38"/>
      <c r="AR25" s="144"/>
      <c r="AS25" s="394"/>
    </row>
    <row r="26" spans="1:45" x14ac:dyDescent="0.25">
      <c r="C26" s="13">
        <v>0.7</v>
      </c>
      <c r="E26" s="1">
        <f>C26*($A$24*730)</f>
        <v>51100000</v>
      </c>
      <c r="F26" s="1"/>
      <c r="G26" s="28">
        <f t="shared" si="0"/>
        <v>2028546.0825597823</v>
      </c>
      <c r="H26" s="28">
        <f>+AL26</f>
        <v>2315808.056130752</v>
      </c>
      <c r="I26" s="28">
        <f t="shared" si="1"/>
        <v>3922.9101974218556</v>
      </c>
      <c r="J26" s="90">
        <f t="shared" si="2"/>
        <v>283339.06337354775</v>
      </c>
      <c r="K26" s="54">
        <f>ROUND(+J26/G26,4)</f>
        <v>0.13969999999999999</v>
      </c>
      <c r="L26" s="28">
        <f>ROUND($X$10*$E26,2)</f>
        <v>-71368.210000000006</v>
      </c>
      <c r="M26" s="28">
        <f>ROUND($X$11*$E26,2)</f>
        <v>0</v>
      </c>
      <c r="N26" s="28">
        <f>ROUND($X$12*$E26,2)</f>
        <v>27173.11</v>
      </c>
      <c r="O26" s="28">
        <f t="shared" si="3"/>
        <v>1988273.8927572044</v>
      </c>
      <c r="P26" s="28">
        <f>+H26+L26+M26+N26</f>
        <v>2271612.9561307519</v>
      </c>
      <c r="Q26" s="54">
        <f>ROUND((P26-O26)/O26,4)</f>
        <v>0.14249999999999999</v>
      </c>
      <c r="R26" s="28">
        <f t="shared" si="4"/>
        <v>-34748</v>
      </c>
      <c r="S26" s="90">
        <f t="shared" si="5"/>
        <v>2236864.9561307519</v>
      </c>
      <c r="T26" s="91">
        <f t="shared" si="6"/>
        <v>0.125</v>
      </c>
      <c r="U26" s="1"/>
      <c r="W26" s="7">
        <f>$W$20</f>
        <v>1499.96</v>
      </c>
      <c r="X26" s="19">
        <f>$X$17*E26</f>
        <v>1284143</v>
      </c>
      <c r="Y26" s="19">
        <f>$Y$17*$A$24*INPUT!$E$95</f>
        <v>298600.10518606164</v>
      </c>
      <c r="Z26" s="19">
        <f>$Z$17*$A$24*INPUT!$F$95</f>
        <v>317303.01737372065</v>
      </c>
      <c r="AA26" s="19">
        <f>$AA$17*$A$24</f>
        <v>127000</v>
      </c>
      <c r="AB26" s="24">
        <f>W26+X26+Y26+Z26+AA26</f>
        <v>2028546.0825597823</v>
      </c>
      <c r="AC26" s="24"/>
      <c r="AD26" s="19"/>
      <c r="AG26" s="7">
        <f>$AG$20</f>
        <v>1499.96</v>
      </c>
      <c r="AH26" s="19">
        <f>$AH$17*E26</f>
        <v>1559061</v>
      </c>
      <c r="AI26" s="19">
        <f>$AI$17*$A$24*INPUT!$E$95</f>
        <v>293871.1442442009</v>
      </c>
      <c r="AJ26" s="19">
        <f>$A$24*$AJ$17*INPUT!$F$95</f>
        <v>312375.95188655111</v>
      </c>
      <c r="AK26" s="19">
        <f>$A$24*$AK$17</f>
        <v>149000</v>
      </c>
      <c r="AL26" s="24">
        <f>AG26+AH26+AI26+AJ26+AK26</f>
        <v>2315808.056130752</v>
      </c>
      <c r="AM26" s="84">
        <f t="shared" si="7"/>
        <v>3922.9101974218556</v>
      </c>
      <c r="AN26" s="84">
        <f t="shared" si="8"/>
        <v>-34748</v>
      </c>
      <c r="AO26" s="19"/>
      <c r="AP26" s="17"/>
      <c r="AQ26" s="38"/>
      <c r="AR26" s="17"/>
      <c r="AS26" s="394"/>
    </row>
    <row r="27" spans="1:45" x14ac:dyDescent="0.25">
      <c r="C27" s="13"/>
      <c r="E27" s="1"/>
      <c r="F27" s="1"/>
      <c r="G27" s="28"/>
      <c r="H27" s="28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19"/>
      <c r="AB27" s="24"/>
      <c r="AC27" s="24"/>
      <c r="AG27" s="7"/>
      <c r="AH27" s="19"/>
      <c r="AI27" s="19"/>
      <c r="AJ27" s="19"/>
      <c r="AK27" s="19"/>
      <c r="AL27" s="24"/>
      <c r="AM27" s="84"/>
      <c r="AN27" s="84"/>
      <c r="AP27" s="17"/>
      <c r="AQ27" s="84"/>
      <c r="AR27" s="17"/>
      <c r="AS27" s="84"/>
    </row>
    <row r="28" spans="1:45" x14ac:dyDescent="0.25">
      <c r="A28" s="1">
        <v>150000</v>
      </c>
      <c r="B28" s="1"/>
      <c r="C28" s="13">
        <v>0.3</v>
      </c>
      <c r="E28" s="1">
        <f>C28*($A$28*730)</f>
        <v>32850000</v>
      </c>
      <c r="F28" s="1"/>
      <c r="G28" s="28">
        <f t="shared" si="0"/>
        <v>1941375.1438396736</v>
      </c>
      <c r="H28" s="28">
        <f>+AL28</f>
        <v>2136624.104196128</v>
      </c>
      <c r="I28" s="28">
        <f t="shared" si="1"/>
        <v>2521.8708411997641</v>
      </c>
      <c r="J28" s="90">
        <f t="shared" si="2"/>
        <v>192727.0895152546</v>
      </c>
      <c r="K28" s="54">
        <f>ROUND(+J28/G28,4)</f>
        <v>9.9299999999999999E-2</v>
      </c>
      <c r="L28" s="28">
        <f>ROUND($X$10*$E28,2)</f>
        <v>-45879.56</v>
      </c>
      <c r="M28" s="28">
        <f>ROUND($X$11*$E28,2)</f>
        <v>0</v>
      </c>
      <c r="N28" s="28">
        <f>ROUND($X$12*$E28,2)</f>
        <v>17468.43</v>
      </c>
      <c r="O28" s="28">
        <f t="shared" si="3"/>
        <v>1915485.8846808732</v>
      </c>
      <c r="P28" s="28">
        <f>+H28+L28+M28+N28</f>
        <v>2108212.9741961281</v>
      </c>
      <c r="Q28" s="54">
        <f>ROUND((P28-O28)/O28,4)</f>
        <v>0.10059999999999999</v>
      </c>
      <c r="R28" s="28">
        <f t="shared" si="4"/>
        <v>-22338</v>
      </c>
      <c r="S28" s="90">
        <f t="shared" si="5"/>
        <v>2085874.9741961281</v>
      </c>
      <c r="T28" s="91">
        <f t="shared" si="6"/>
        <v>8.8999999999999996E-2</v>
      </c>
      <c r="U28" s="1"/>
      <c r="W28" s="7">
        <f>$W$20</f>
        <v>1499.96</v>
      </c>
      <c r="X28" s="19">
        <f>$X$17*E28</f>
        <v>825520.5</v>
      </c>
      <c r="Y28" s="19">
        <f>$Y$17*$A$28*INPUT!$E$95</f>
        <v>447900.15777909249</v>
      </c>
      <c r="Z28" s="19">
        <f>$Z$17*$A$28*INPUT!$F$95</f>
        <v>475954.52606058109</v>
      </c>
      <c r="AA28" s="19">
        <f>$AA$17*$A$28</f>
        <v>190500</v>
      </c>
      <c r="AB28" s="24">
        <f>W28+X28+Y28+Z28+AA28</f>
        <v>1941375.1438396736</v>
      </c>
      <c r="AC28" s="24"/>
      <c r="AD28" s="19"/>
      <c r="AG28" s="7">
        <f>$AG$20</f>
        <v>1499.96</v>
      </c>
      <c r="AH28" s="19">
        <f>$AH$17*E28</f>
        <v>1002253.5</v>
      </c>
      <c r="AI28" s="19">
        <f>$AI$17*$A$28*INPUT!$E$95</f>
        <v>440806.71636630141</v>
      </c>
      <c r="AJ28" s="19">
        <f>$A$28*$AJ$17*INPUT!$F$95</f>
        <v>468563.92782982666</v>
      </c>
      <c r="AK28" s="19">
        <f>$A$28*$AK$17</f>
        <v>223500</v>
      </c>
      <c r="AL28" s="24">
        <f>AG28+AH28+AI28+AJ28+AK28</f>
        <v>2136624.104196128</v>
      </c>
      <c r="AM28" s="84">
        <f t="shared" si="7"/>
        <v>2521.8708411997641</v>
      </c>
      <c r="AN28" s="84">
        <f t="shared" si="8"/>
        <v>-22338</v>
      </c>
      <c r="AO28" s="19"/>
      <c r="AP28" s="17"/>
      <c r="AQ28" s="38"/>
      <c r="AR28" s="17"/>
      <c r="AS28" s="394"/>
    </row>
    <row r="29" spans="1:45" x14ac:dyDescent="0.25">
      <c r="C29" s="13">
        <v>0.5</v>
      </c>
      <c r="E29" s="1">
        <f>C29*($A$28*730)</f>
        <v>54750000</v>
      </c>
      <c r="F29" s="1"/>
      <c r="G29" s="28">
        <f t="shared" si="0"/>
        <v>2491722.1438396736</v>
      </c>
      <c r="H29" s="28">
        <f>+AL29</f>
        <v>2804793.104196128</v>
      </c>
      <c r="I29" s="28">
        <f t="shared" si="1"/>
        <v>4203.1180686662738</v>
      </c>
      <c r="J29" s="90">
        <f t="shared" si="2"/>
        <v>308867.84228778817</v>
      </c>
      <c r="K29" s="54">
        <f>ROUND(+J29/G29,4)</f>
        <v>0.124</v>
      </c>
      <c r="L29" s="28">
        <f>ROUND($X$10*$E29,2)</f>
        <v>-76465.929999999993</v>
      </c>
      <c r="M29" s="28">
        <f>ROUND($X$11*$E29,2)</f>
        <v>0</v>
      </c>
      <c r="N29" s="28">
        <f>ROUND($X$12*$E29,2)</f>
        <v>29114.05</v>
      </c>
      <c r="O29" s="28">
        <f t="shared" si="3"/>
        <v>2448573.3819083394</v>
      </c>
      <c r="P29" s="28">
        <f>+H29+L29+M29+N29</f>
        <v>2757441.2241961276</v>
      </c>
      <c r="Q29" s="54">
        <f>ROUND((P29-O29)/O29,4)</f>
        <v>0.12609999999999999</v>
      </c>
      <c r="R29" s="28">
        <f t="shared" si="4"/>
        <v>-37230</v>
      </c>
      <c r="S29" s="90">
        <f t="shared" si="5"/>
        <v>2720211.2241961276</v>
      </c>
      <c r="T29" s="91">
        <f t="shared" si="6"/>
        <v>0.1109</v>
      </c>
      <c r="U29" s="1"/>
      <c r="W29" s="7">
        <f>$W$20</f>
        <v>1499.96</v>
      </c>
      <c r="X29" s="19">
        <f>$X$17*E29</f>
        <v>1375867.5</v>
      </c>
      <c r="Y29" s="19">
        <f>$Y$17*$A$28*INPUT!$E$95</f>
        <v>447900.15777909249</v>
      </c>
      <c r="Z29" s="19">
        <f>$Z$17*$A$28*INPUT!$F$95</f>
        <v>475954.52606058109</v>
      </c>
      <c r="AA29" s="19">
        <f>$AA$17*$A$28</f>
        <v>190500</v>
      </c>
      <c r="AB29" s="24">
        <f>W29+X29+Y29+Z29+AA29</f>
        <v>2491722.1438396736</v>
      </c>
      <c r="AC29" s="24"/>
      <c r="AD29" s="19"/>
      <c r="AG29" s="7">
        <f>$AG$20</f>
        <v>1499.96</v>
      </c>
      <c r="AH29" s="19">
        <f>$AH$17*E29</f>
        <v>1670422.5</v>
      </c>
      <c r="AI29" s="19">
        <f>$AI$17*$A$28*INPUT!$E$95</f>
        <v>440806.71636630141</v>
      </c>
      <c r="AJ29" s="19">
        <f>$A$28*$AJ$17*INPUT!$F$95</f>
        <v>468563.92782982666</v>
      </c>
      <c r="AK29" s="19">
        <f>$A$28*$AK$17</f>
        <v>223500</v>
      </c>
      <c r="AL29" s="24">
        <f>AG29+AH29+AI29+AJ29+AK29</f>
        <v>2804793.104196128</v>
      </c>
      <c r="AM29" s="84">
        <f t="shared" si="7"/>
        <v>4203.1180686662738</v>
      </c>
      <c r="AN29" s="84">
        <f t="shared" si="8"/>
        <v>-37230</v>
      </c>
      <c r="AO29" s="19"/>
      <c r="AP29" s="17"/>
      <c r="AQ29" s="38"/>
      <c r="AR29" s="17"/>
      <c r="AS29" s="394"/>
    </row>
    <row r="30" spans="1:45" x14ac:dyDescent="0.25">
      <c r="C30" s="13">
        <v>0.7</v>
      </c>
      <c r="E30" s="1">
        <f>C30*($A$28*730)</f>
        <v>76650000</v>
      </c>
      <c r="F30" s="1"/>
      <c r="G30" s="28">
        <f t="shared" si="0"/>
        <v>3042069.1438396736</v>
      </c>
      <c r="H30" s="28">
        <f>+AL30</f>
        <v>3472962.104196128</v>
      </c>
      <c r="I30" s="28">
        <f t="shared" si="1"/>
        <v>5884.3652961327834</v>
      </c>
      <c r="J30" s="90">
        <f t="shared" si="2"/>
        <v>425008.5950603215</v>
      </c>
      <c r="K30" s="54">
        <f>ROUND(+J30/G30,4)</f>
        <v>0.13969999999999999</v>
      </c>
      <c r="L30" s="28">
        <f>ROUND($X$10*$E30,2)</f>
        <v>-107052.31</v>
      </c>
      <c r="M30" s="28">
        <f>ROUND($X$11*$E30,2)</f>
        <v>0</v>
      </c>
      <c r="N30" s="28">
        <f>ROUND($X$12*$E30,2)</f>
        <v>40759.660000000003</v>
      </c>
      <c r="O30" s="28">
        <f t="shared" si="3"/>
        <v>2981660.8591358066</v>
      </c>
      <c r="P30" s="28">
        <f>+H30+L30+M30+N30</f>
        <v>3406669.4541961281</v>
      </c>
      <c r="Q30" s="54">
        <f>ROUND((P30-O30)/O30,4)</f>
        <v>0.14249999999999999</v>
      </c>
      <c r="R30" s="28">
        <f t="shared" si="4"/>
        <v>-52122.000000000007</v>
      </c>
      <c r="S30" s="90">
        <f t="shared" si="5"/>
        <v>3354547.4541961281</v>
      </c>
      <c r="T30" s="91">
        <f t="shared" si="6"/>
        <v>0.12509999999999999</v>
      </c>
      <c r="U30" s="1"/>
      <c r="W30" s="7">
        <f>$W$20</f>
        <v>1499.96</v>
      </c>
      <c r="X30" s="19">
        <f>$X$17*E30</f>
        <v>1926214.5</v>
      </c>
      <c r="Y30" s="19">
        <f>$Y$17*$A$28*INPUT!$E$95</f>
        <v>447900.15777909249</v>
      </c>
      <c r="Z30" s="19">
        <f>$Z$17*$A$28*INPUT!$F$95</f>
        <v>475954.52606058109</v>
      </c>
      <c r="AA30" s="19">
        <f>$AA$17*$A$28</f>
        <v>190500</v>
      </c>
      <c r="AB30" s="24">
        <f>W30+X30+Y30+Z30+AA30</f>
        <v>3042069.1438396736</v>
      </c>
      <c r="AC30" s="24"/>
      <c r="AD30" s="19"/>
      <c r="AG30" s="7">
        <f>$AG$20</f>
        <v>1499.96</v>
      </c>
      <c r="AH30" s="19">
        <f>$AH$17*E30</f>
        <v>2338591.5</v>
      </c>
      <c r="AI30" s="19">
        <f>$AI$17*$A$28*INPUT!$E$95</f>
        <v>440806.71636630141</v>
      </c>
      <c r="AJ30" s="19">
        <f>$A$28*$AJ$17*INPUT!$F$95</f>
        <v>468563.92782982666</v>
      </c>
      <c r="AK30" s="19">
        <f>$A$28*$AK$17</f>
        <v>223500</v>
      </c>
      <c r="AL30" s="24">
        <f>AG30+AH30+AI30+AJ30+AK30</f>
        <v>3472962.104196128</v>
      </c>
      <c r="AM30" s="84">
        <f t="shared" si="7"/>
        <v>5884.3652961327834</v>
      </c>
      <c r="AN30" s="84">
        <f t="shared" si="8"/>
        <v>-52122.000000000007</v>
      </c>
      <c r="AO30" s="19"/>
      <c r="AP30" s="17"/>
      <c r="AQ30" s="38"/>
      <c r="AR30" s="17"/>
      <c r="AS30" s="394"/>
    </row>
    <row r="31" spans="1:45" x14ac:dyDescent="0.25">
      <c r="C31" s="13"/>
      <c r="E31" s="1"/>
      <c r="F31" s="1"/>
      <c r="G31" s="28"/>
      <c r="H31" s="28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19"/>
      <c r="AB31" s="24"/>
      <c r="AC31" s="24"/>
      <c r="AG31" s="7"/>
      <c r="AH31" s="19"/>
      <c r="AI31" s="19"/>
      <c r="AJ31" s="19"/>
      <c r="AK31" s="19"/>
      <c r="AL31" s="24"/>
      <c r="AM31" s="84"/>
      <c r="AN31" s="84"/>
      <c r="AP31" s="17"/>
      <c r="AQ31" s="84"/>
      <c r="AR31" s="17"/>
      <c r="AS31" s="84"/>
    </row>
    <row r="32" spans="1:45" x14ac:dyDescent="0.25">
      <c r="A32" s="1">
        <v>200000</v>
      </c>
      <c r="B32" s="1"/>
      <c r="C32" s="13">
        <v>0.3</v>
      </c>
      <c r="E32" s="1">
        <f>C32*($A$32*730)</f>
        <v>43800000</v>
      </c>
      <c r="F32" s="1"/>
      <c r="G32" s="28">
        <f t="shared" si="0"/>
        <v>2588000.2051195647</v>
      </c>
      <c r="H32" s="28">
        <f>+AL32</f>
        <v>2848332.152261504</v>
      </c>
      <c r="I32" s="28">
        <f t="shared" si="1"/>
        <v>3362.4944549330189</v>
      </c>
      <c r="J32" s="90">
        <f t="shared" si="2"/>
        <v>256969.45268700644</v>
      </c>
      <c r="K32" s="54">
        <f>ROUND(+J32/G32,4)</f>
        <v>9.9299999999999999E-2</v>
      </c>
      <c r="L32" s="28">
        <f>ROUND($X$10*$E32,2)</f>
        <v>-61172.75</v>
      </c>
      <c r="M32" s="28">
        <f>ROUND($X$11*$E32,2)</f>
        <v>0</v>
      </c>
      <c r="N32" s="28">
        <f>ROUND($X$12*$E32,2)</f>
        <v>23291.24</v>
      </c>
      <c r="O32" s="28">
        <f t="shared" si="3"/>
        <v>2553481.1895744978</v>
      </c>
      <c r="P32" s="28">
        <f>+H32+L32+M32+N32</f>
        <v>2810450.6422615042</v>
      </c>
      <c r="Q32" s="54">
        <f>ROUND((P32-O32)/O32,4)</f>
        <v>0.10059999999999999</v>
      </c>
      <c r="R32" s="28">
        <f t="shared" si="4"/>
        <v>-29784.000000000004</v>
      </c>
      <c r="S32" s="90">
        <f t="shared" si="5"/>
        <v>2780666.6422615042</v>
      </c>
      <c r="T32" s="91">
        <f t="shared" si="6"/>
        <v>8.8999999999999996E-2</v>
      </c>
      <c r="U32" s="1"/>
      <c r="W32" s="7">
        <f>$W$20</f>
        <v>1499.96</v>
      </c>
      <c r="X32" s="19">
        <f>$X$17*E32</f>
        <v>1100694</v>
      </c>
      <c r="Y32" s="19">
        <f>$Y$17*$A$32*INPUT!$E$95</f>
        <v>597200.21037212329</v>
      </c>
      <c r="Z32" s="19">
        <f>$Z$17*$A$32*INPUT!$F$95</f>
        <v>634606.0347474413</v>
      </c>
      <c r="AA32" s="19">
        <f>$AA$17*$A$32</f>
        <v>254000</v>
      </c>
      <c r="AB32" s="24">
        <f>W32+X32+Y32+Z32+AA32</f>
        <v>2588000.2051195647</v>
      </c>
      <c r="AC32" s="24"/>
      <c r="AD32" s="19"/>
      <c r="AG32" s="7">
        <f>$AG$20</f>
        <v>1499.96</v>
      </c>
      <c r="AH32" s="19">
        <f>$AH$17*E32</f>
        <v>1336338</v>
      </c>
      <c r="AI32" s="19">
        <f>$AI$17*$A$32*INPUT!$E$95</f>
        <v>587742.2884884018</v>
      </c>
      <c r="AJ32" s="19">
        <f>$A$32*$AJ$17*INPUT!$F$95</f>
        <v>624751.90377310221</v>
      </c>
      <c r="AK32" s="19">
        <f>$A$32*$AK$17</f>
        <v>298000</v>
      </c>
      <c r="AL32" s="24">
        <f>AG32+AH32+AI32+AJ32+AK32</f>
        <v>2848332.152261504</v>
      </c>
      <c r="AM32" s="84">
        <f t="shared" si="7"/>
        <v>3362.4944549330189</v>
      </c>
      <c r="AN32" s="84">
        <f t="shared" si="8"/>
        <v>-29784.000000000004</v>
      </c>
      <c r="AO32" s="19"/>
      <c r="AP32" s="17"/>
      <c r="AQ32" s="38"/>
      <c r="AR32" s="17"/>
      <c r="AS32" s="394"/>
    </row>
    <row r="33" spans="1:45" x14ac:dyDescent="0.25">
      <c r="C33" s="13">
        <v>0.5</v>
      </c>
      <c r="E33" s="1">
        <f>C33*($A$32*730)</f>
        <v>73000000</v>
      </c>
      <c r="F33" s="1"/>
      <c r="G33" s="28">
        <f t="shared" si="0"/>
        <v>3321796.2051195647</v>
      </c>
      <c r="H33" s="28">
        <f>+AL33</f>
        <v>3739224.152261504</v>
      </c>
      <c r="I33" s="28">
        <f t="shared" si="1"/>
        <v>5604.1574248883653</v>
      </c>
      <c r="J33" s="90">
        <f t="shared" si="2"/>
        <v>411823.78971705073</v>
      </c>
      <c r="K33" s="54">
        <f>ROUND(+J33/G33,4)</f>
        <v>0.124</v>
      </c>
      <c r="L33" s="28">
        <f>ROUND($X$10*$E33,2)</f>
        <v>-101954.58</v>
      </c>
      <c r="M33" s="28">
        <f>ROUND($X$11*$E33,2)</f>
        <v>0</v>
      </c>
      <c r="N33" s="28">
        <f>ROUND($X$12*$E33,2)</f>
        <v>38818.730000000003</v>
      </c>
      <c r="O33" s="28">
        <f t="shared" si="3"/>
        <v>3264264.5125444531</v>
      </c>
      <c r="P33" s="28">
        <f>+H33+L33+M33+N33</f>
        <v>3676088.3022615039</v>
      </c>
      <c r="Q33" s="54">
        <f>ROUND((P33-O33)/O33,4)</f>
        <v>0.12620000000000001</v>
      </c>
      <c r="R33" s="28">
        <f t="shared" si="4"/>
        <v>-49640</v>
      </c>
      <c r="S33" s="90">
        <f t="shared" si="5"/>
        <v>3626448.3022615039</v>
      </c>
      <c r="T33" s="91">
        <f t="shared" si="6"/>
        <v>0.111</v>
      </c>
      <c r="U33" s="1"/>
      <c r="W33" s="7">
        <f>$W$20</f>
        <v>1499.96</v>
      </c>
      <c r="X33" s="19">
        <f>$X$17*E33</f>
        <v>1834490</v>
      </c>
      <c r="Y33" s="19">
        <f>$Y$17*$A$32*INPUT!$E$95</f>
        <v>597200.21037212329</v>
      </c>
      <c r="Z33" s="19">
        <f>$Z$17*$A$32*INPUT!$F$95</f>
        <v>634606.0347474413</v>
      </c>
      <c r="AA33" s="19">
        <f>$AA$17*$A$32</f>
        <v>254000</v>
      </c>
      <c r="AB33" s="24">
        <f>W33+X33+Y33+Z33+AA33</f>
        <v>3321796.2051195647</v>
      </c>
      <c r="AC33" s="24"/>
      <c r="AD33" s="19"/>
      <c r="AG33" s="7">
        <f>$AG$20</f>
        <v>1499.96</v>
      </c>
      <c r="AH33" s="19">
        <f>$AH$17*E33</f>
        <v>2227230</v>
      </c>
      <c r="AI33" s="19">
        <f>$AI$17*$A$32*INPUT!$E$95</f>
        <v>587742.2884884018</v>
      </c>
      <c r="AJ33" s="19">
        <f>$A$32*$AJ$17*INPUT!$F$95</f>
        <v>624751.90377310221</v>
      </c>
      <c r="AK33" s="19">
        <f>$A$32*$AK$17</f>
        <v>298000</v>
      </c>
      <c r="AL33" s="24">
        <f>AG33+AH33+AI33+AJ33+AK33</f>
        <v>3739224.152261504</v>
      </c>
      <c r="AM33" s="84">
        <f t="shared" si="7"/>
        <v>5604.1574248883653</v>
      </c>
      <c r="AN33" s="84">
        <f t="shared" si="8"/>
        <v>-49640</v>
      </c>
      <c r="AO33" s="19"/>
      <c r="AP33" s="17"/>
      <c r="AQ33" s="38"/>
      <c r="AR33" s="17"/>
      <c r="AS33" s="394"/>
    </row>
    <row r="34" spans="1:45" x14ac:dyDescent="0.25">
      <c r="C34" s="13">
        <v>0.7</v>
      </c>
      <c r="E34" s="1">
        <f>C34*($A$32*730)</f>
        <v>102200000</v>
      </c>
      <c r="F34" s="1"/>
      <c r="G34" s="28">
        <f t="shared" si="0"/>
        <v>4055592.2051195647</v>
      </c>
      <c r="H34" s="28">
        <f>+AL34</f>
        <v>4630116.152261504</v>
      </c>
      <c r="I34" s="28">
        <f t="shared" si="1"/>
        <v>7845.8203948437113</v>
      </c>
      <c r="J34" s="90">
        <f t="shared" si="2"/>
        <v>566678.12674709549</v>
      </c>
      <c r="K34" s="54">
        <f>ROUND(+J34/G34,4)</f>
        <v>0.13969999999999999</v>
      </c>
      <c r="L34" s="28">
        <f>ROUND($X$10*$E34,2)</f>
        <v>-142736.41</v>
      </c>
      <c r="M34" s="28">
        <f>ROUND($X$11*$E34,2)</f>
        <v>0</v>
      </c>
      <c r="N34" s="28">
        <f>ROUND($X$12*$E34,2)</f>
        <v>54346.22</v>
      </c>
      <c r="O34" s="28">
        <f t="shared" si="3"/>
        <v>3975047.8355144085</v>
      </c>
      <c r="P34" s="28">
        <f>+H34+L34+M34+N34</f>
        <v>4541725.9622615036</v>
      </c>
      <c r="Q34" s="54">
        <f>ROUND((P34-O34)/O34,4)</f>
        <v>0.1426</v>
      </c>
      <c r="R34" s="28">
        <f t="shared" si="4"/>
        <v>-69496</v>
      </c>
      <c r="S34" s="90">
        <f t="shared" si="5"/>
        <v>4472229.9622615036</v>
      </c>
      <c r="T34" s="91">
        <f t="shared" si="6"/>
        <v>0.12509999999999999</v>
      </c>
      <c r="U34" s="1"/>
      <c r="W34" s="7">
        <f>$W$20</f>
        <v>1499.96</v>
      </c>
      <c r="X34" s="19">
        <f>$X$17*E34</f>
        <v>2568286</v>
      </c>
      <c r="Y34" s="19">
        <f>$Y$17*$A$32*INPUT!$E$95</f>
        <v>597200.21037212329</v>
      </c>
      <c r="Z34" s="19">
        <f>$Z$17*$A$32*INPUT!$F$95</f>
        <v>634606.0347474413</v>
      </c>
      <c r="AA34" s="19">
        <f>$AA$17*$A$32</f>
        <v>254000</v>
      </c>
      <c r="AB34" s="24">
        <f>W34+X34+Y34+Z34+AA34</f>
        <v>4055592.2051195647</v>
      </c>
      <c r="AC34" s="24"/>
      <c r="AD34" s="19"/>
      <c r="AG34" s="7">
        <f>$AG$20</f>
        <v>1499.96</v>
      </c>
      <c r="AH34" s="19">
        <f>$AH$17*E34</f>
        <v>3118122</v>
      </c>
      <c r="AI34" s="19">
        <f>$AI$17*$A$32*INPUT!$E$95</f>
        <v>587742.2884884018</v>
      </c>
      <c r="AJ34" s="19">
        <f>$A$32*$AJ$17*INPUT!$F$95</f>
        <v>624751.90377310221</v>
      </c>
      <c r="AK34" s="19">
        <f>$A$32*$AK$17</f>
        <v>298000</v>
      </c>
      <c r="AL34" s="24">
        <f>AG34+AH34+AI34+AJ34+AK34</f>
        <v>4630116.152261504</v>
      </c>
      <c r="AM34" s="84">
        <f t="shared" si="7"/>
        <v>7845.8203948437113</v>
      </c>
      <c r="AN34" s="84">
        <f t="shared" si="8"/>
        <v>-69496</v>
      </c>
      <c r="AO34" s="19"/>
      <c r="AP34" s="17"/>
      <c r="AQ34" s="38"/>
      <c r="AR34" s="17"/>
      <c r="AS34" s="394"/>
    </row>
    <row r="35" spans="1:45" x14ac:dyDescent="0.25">
      <c r="C35" s="13"/>
      <c r="E35" s="1"/>
      <c r="F35" s="1"/>
      <c r="G35" s="28"/>
      <c r="H35" s="28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19"/>
      <c r="AB35" s="24"/>
      <c r="AC35" s="24"/>
      <c r="AG35" s="7"/>
      <c r="AH35" s="19"/>
      <c r="AI35" s="19"/>
      <c r="AJ35" s="19"/>
      <c r="AK35" s="19"/>
      <c r="AL35" s="24"/>
      <c r="AM35" s="84"/>
      <c r="AN35" s="84"/>
      <c r="AP35" s="17"/>
      <c r="AQ35" s="84"/>
      <c r="AR35" s="17"/>
      <c r="AS35" s="84"/>
    </row>
    <row r="36" spans="1:45" x14ac:dyDescent="0.25">
      <c r="A36" s="1">
        <v>250000</v>
      </c>
      <c r="B36" s="1"/>
      <c r="C36" s="13">
        <v>0.3</v>
      </c>
      <c r="E36" s="1">
        <f>C36*($A$36*730)</f>
        <v>54750000</v>
      </c>
      <c r="F36" s="1"/>
      <c r="G36" s="28">
        <f t="shared" si="0"/>
        <v>3234625.2663994557</v>
      </c>
      <c r="H36" s="28">
        <f>+AL36</f>
        <v>3560040.20032688</v>
      </c>
      <c r="I36" s="28">
        <f t="shared" si="1"/>
        <v>4203.1180686662738</v>
      </c>
      <c r="J36" s="90">
        <f t="shared" si="2"/>
        <v>321211.81585875805</v>
      </c>
      <c r="K36" s="54">
        <f>ROUND(+J36/G36,4)</f>
        <v>9.9299999999999999E-2</v>
      </c>
      <c r="L36" s="28">
        <f>ROUND($X$10*$E36,2)</f>
        <v>-76465.929999999993</v>
      </c>
      <c r="M36" s="28">
        <f>ROUND($X$11*$E36,2)</f>
        <v>0</v>
      </c>
      <c r="N36" s="28">
        <f>ROUND($X$12*$E36,2)</f>
        <v>29114.05</v>
      </c>
      <c r="O36" s="28">
        <f t="shared" si="3"/>
        <v>3191476.5044681216</v>
      </c>
      <c r="P36" s="28">
        <f>+H36+L36+M36+N36</f>
        <v>3512688.3203268796</v>
      </c>
      <c r="Q36" s="54">
        <f>ROUND((P36-O36)/O36,4)</f>
        <v>0.10059999999999999</v>
      </c>
      <c r="R36" s="28">
        <f t="shared" si="4"/>
        <v>-37230</v>
      </c>
      <c r="S36" s="90">
        <f t="shared" si="5"/>
        <v>3475458.3203268796</v>
      </c>
      <c r="T36" s="91">
        <f t="shared" si="6"/>
        <v>8.8999999999999996E-2</v>
      </c>
      <c r="U36" s="1"/>
      <c r="W36" s="7">
        <f>$W$20</f>
        <v>1499.96</v>
      </c>
      <c r="X36" s="19">
        <f>$X$17*E36</f>
        <v>1375867.5</v>
      </c>
      <c r="Y36" s="19">
        <f>$Y$17*$A$36*INPUT!$E$95</f>
        <v>746500.26296515414</v>
      </c>
      <c r="Z36" s="19">
        <f>$Z$17*$A$36*INPUT!$F$95</f>
        <v>793257.54343430174</v>
      </c>
      <c r="AA36" s="19">
        <f>$AA$17*$A$36</f>
        <v>317500</v>
      </c>
      <c r="AB36" s="24">
        <f>W36+X36+Y36+Z36+AA36</f>
        <v>3234625.2663994557</v>
      </c>
      <c r="AC36" s="24"/>
      <c r="AD36" s="19"/>
      <c r="AG36" s="7">
        <f>$AG$20</f>
        <v>1499.96</v>
      </c>
      <c r="AH36" s="19">
        <f>$AH$17*E36</f>
        <v>1670422.5</v>
      </c>
      <c r="AI36" s="19">
        <f>$AI$17*$A$36*INPUT!$E$95</f>
        <v>734677.86061050242</v>
      </c>
      <c r="AJ36" s="19">
        <f>$A$36*$AJ$17*INPUT!$F$95</f>
        <v>780939.87971637771</v>
      </c>
      <c r="AK36" s="19">
        <f>$A$36*$AK$17</f>
        <v>372500</v>
      </c>
      <c r="AL36" s="24">
        <f>AG36+AH36+AI36+AJ36+AK36</f>
        <v>3560040.20032688</v>
      </c>
      <c r="AM36" s="84">
        <f t="shared" si="7"/>
        <v>4203.1180686662738</v>
      </c>
      <c r="AN36" s="84">
        <f t="shared" si="8"/>
        <v>-37230</v>
      </c>
      <c r="AO36" s="19"/>
      <c r="AP36" s="17"/>
      <c r="AQ36" s="38"/>
      <c r="AR36" s="17"/>
      <c r="AS36" s="394"/>
    </row>
    <row r="37" spans="1:45" x14ac:dyDescent="0.25">
      <c r="C37" s="13">
        <v>0.5</v>
      </c>
      <c r="E37" s="1">
        <f>C37*($A$36*730)</f>
        <v>91250000</v>
      </c>
      <c r="F37" s="1"/>
      <c r="G37" s="28">
        <f t="shared" si="0"/>
        <v>4151870.2663994557</v>
      </c>
      <c r="H37" s="28">
        <f>+AL37</f>
        <v>4673655.2003268804</v>
      </c>
      <c r="I37" s="28">
        <f t="shared" si="1"/>
        <v>7005.196781110456</v>
      </c>
      <c r="J37" s="90">
        <f t="shared" si="2"/>
        <v>514779.73714631423</v>
      </c>
      <c r="K37" s="54">
        <f>ROUND(+J37/G37,4)</f>
        <v>0.124</v>
      </c>
      <c r="L37" s="28">
        <f>ROUND($X$10*$E37,2)</f>
        <v>-127443.22</v>
      </c>
      <c r="M37" s="28">
        <f>ROUND($X$11*$E37,2)</f>
        <v>0</v>
      </c>
      <c r="N37" s="28">
        <f>ROUND($X$12*$E37,2)</f>
        <v>48523.41</v>
      </c>
      <c r="O37" s="28">
        <f t="shared" si="3"/>
        <v>4079955.6531805662</v>
      </c>
      <c r="P37" s="28">
        <f>+H37+L37+M37+N37</f>
        <v>4594735.3903268808</v>
      </c>
      <c r="Q37" s="54">
        <f>ROUND((P37-O37)/O37,4)</f>
        <v>0.12620000000000001</v>
      </c>
      <c r="R37" s="28">
        <f t="shared" si="4"/>
        <v>-62050.000000000007</v>
      </c>
      <c r="S37" s="90">
        <f t="shared" si="5"/>
        <v>4532685.3903268808</v>
      </c>
      <c r="T37" s="91">
        <f t="shared" si="6"/>
        <v>0.111</v>
      </c>
      <c r="U37" s="1"/>
      <c r="W37" s="7">
        <f>$W$20</f>
        <v>1499.96</v>
      </c>
      <c r="X37" s="19">
        <f>$X$17*E37</f>
        <v>2293112.5</v>
      </c>
      <c r="Y37" s="19">
        <f>$Y$17*$A$36*INPUT!$E$95</f>
        <v>746500.26296515414</v>
      </c>
      <c r="Z37" s="19">
        <f>$Z$17*$A$36*INPUT!$F$95</f>
        <v>793257.54343430174</v>
      </c>
      <c r="AA37" s="19">
        <f>$AA$17*$A$36</f>
        <v>317500</v>
      </c>
      <c r="AB37" s="24">
        <f>W37+X37+Y37+Z37+AA37</f>
        <v>4151870.2663994557</v>
      </c>
      <c r="AC37" s="24"/>
      <c r="AD37" s="19"/>
      <c r="AG37" s="7">
        <f>$AG$20</f>
        <v>1499.96</v>
      </c>
      <c r="AH37" s="19">
        <f>$AH$17*E37</f>
        <v>2784037.5</v>
      </c>
      <c r="AI37" s="19">
        <f>$AI$17*$A$36*INPUT!$E$95</f>
        <v>734677.86061050242</v>
      </c>
      <c r="AJ37" s="19">
        <f>$A$36*$AJ$17*INPUT!$F$95</f>
        <v>780939.87971637771</v>
      </c>
      <c r="AK37" s="19">
        <f>$A$36*$AK$17</f>
        <v>372500</v>
      </c>
      <c r="AL37" s="24">
        <f>AG37+AH37+AI37+AJ37+AK37</f>
        <v>4673655.2003268804</v>
      </c>
      <c r="AM37" s="84">
        <f t="shared" si="7"/>
        <v>7005.196781110456</v>
      </c>
      <c r="AN37" s="84">
        <f t="shared" si="8"/>
        <v>-62050.000000000007</v>
      </c>
      <c r="AO37" s="19"/>
      <c r="AP37" s="17"/>
      <c r="AQ37" s="38"/>
      <c r="AR37" s="17"/>
      <c r="AS37" s="394"/>
    </row>
    <row r="38" spans="1:45" x14ac:dyDescent="0.25">
      <c r="C38" s="13">
        <v>0.7</v>
      </c>
      <c r="E38" s="1">
        <f>C38*($A$36*730)</f>
        <v>127749999.99999999</v>
      </c>
      <c r="F38" s="1"/>
      <c r="G38" s="28">
        <f t="shared" si="0"/>
        <v>5069115.2663994553</v>
      </c>
      <c r="H38" s="28">
        <f>+AL38</f>
        <v>5787270.2003268795</v>
      </c>
      <c r="I38" s="28">
        <f t="shared" si="1"/>
        <v>9807.2754935546382</v>
      </c>
      <c r="J38" s="90">
        <f t="shared" si="2"/>
        <v>708347.65843386948</v>
      </c>
      <c r="K38" s="54">
        <f>ROUND(+J38/G38,4)</f>
        <v>0.13969999999999999</v>
      </c>
      <c r="L38" s="28">
        <f>ROUND($X$10*$E38,2)</f>
        <v>-178420.51</v>
      </c>
      <c r="M38" s="28">
        <f>ROUND($X$11*$E38,2)</f>
        <v>0</v>
      </c>
      <c r="N38" s="28">
        <f>ROUND($X$12*$E38,2)</f>
        <v>67932.77</v>
      </c>
      <c r="O38" s="28">
        <f>+G38+I38+L38+M38+N38</f>
        <v>4968434.8018930098</v>
      </c>
      <c r="P38" s="28">
        <f>+H38+L38+M38+N38</f>
        <v>5676782.4603268793</v>
      </c>
      <c r="Q38" s="54">
        <f>ROUND((P38-O38)/O38,4)</f>
        <v>0.1426</v>
      </c>
      <c r="R38" s="28">
        <f t="shared" si="4"/>
        <v>-86870</v>
      </c>
      <c r="S38" s="90">
        <f t="shared" si="5"/>
        <v>5589912.4603268793</v>
      </c>
      <c r="T38" s="91">
        <f t="shared" si="6"/>
        <v>0.12509999999999999</v>
      </c>
      <c r="U38" s="1"/>
      <c r="W38" s="7">
        <f>$W$20</f>
        <v>1499.96</v>
      </c>
      <c r="X38" s="19">
        <f>$X$17*E38</f>
        <v>3210357.4999999995</v>
      </c>
      <c r="Y38" s="19">
        <f>$Y$17*$A$36*INPUT!$E$95</f>
        <v>746500.26296515414</v>
      </c>
      <c r="Z38" s="19">
        <f>$Z$17*$A$36*INPUT!$F$95</f>
        <v>793257.54343430174</v>
      </c>
      <c r="AA38" s="19">
        <f>$AA$17*$A$36</f>
        <v>317500</v>
      </c>
      <c r="AB38" s="24">
        <f>W38+X38+Y38+Z38+AA38</f>
        <v>5069115.2663994553</v>
      </c>
      <c r="AC38" s="24"/>
      <c r="AD38" s="19"/>
      <c r="AG38" s="7">
        <f>$AG$20</f>
        <v>1499.96</v>
      </c>
      <c r="AH38" s="19">
        <f>$AH$17*E38</f>
        <v>3897652.4999999995</v>
      </c>
      <c r="AI38" s="19">
        <f>$AI$17*$A$36*INPUT!$E$95</f>
        <v>734677.86061050242</v>
      </c>
      <c r="AJ38" s="19">
        <f>$A$36*$AJ$17*INPUT!$F$95</f>
        <v>780939.87971637771</v>
      </c>
      <c r="AK38" s="19">
        <f>$A$36*$AK$17</f>
        <v>372500</v>
      </c>
      <c r="AL38" s="24">
        <f>AG38+AH38+AI38+AJ38+AK38</f>
        <v>5787270.2003268795</v>
      </c>
      <c r="AM38" s="84">
        <f>$AM$17*E38</f>
        <v>9807.2754935546382</v>
      </c>
      <c r="AN38" s="84">
        <f>$AN$17*E38</f>
        <v>-86870</v>
      </c>
      <c r="AO38" s="19"/>
      <c r="AP38" s="17"/>
      <c r="AQ38" s="38"/>
      <c r="AR38" s="17"/>
      <c r="AS38" s="394"/>
    </row>
    <row r="39" spans="1:45" x14ac:dyDescent="0.25">
      <c r="X39" s="19"/>
      <c r="Y39" s="19"/>
      <c r="Z39" s="19"/>
      <c r="AA39" s="19"/>
      <c r="AB39" s="19"/>
      <c r="AC39" s="19"/>
      <c r="AI39" s="19"/>
    </row>
    <row r="40" spans="1:45" x14ac:dyDescent="0.25">
      <c r="A40" s="17" t="s">
        <v>301</v>
      </c>
      <c r="N40" s="51"/>
      <c r="X40" s="19"/>
      <c r="Y40" s="19"/>
      <c r="Z40" s="19"/>
      <c r="AA40" s="19"/>
      <c r="AB40" s="19"/>
      <c r="AC40" s="19"/>
    </row>
    <row r="41" spans="1:45" x14ac:dyDescent="0.25">
      <c r="A41" s="174" t="str">
        <f>("Average Usage = "&amp;TEXT(INPUT!$N$26*1,"0,000")&amp;" kWh per month")</f>
        <v>Average Usage = 50,490,867 kWh per month</v>
      </c>
      <c r="X41" s="19"/>
      <c r="Y41" s="19"/>
      <c r="Z41" s="19"/>
      <c r="AA41" s="19"/>
      <c r="AB41" s="19"/>
      <c r="AC41" s="19"/>
    </row>
    <row r="42" spans="1:45" x14ac:dyDescent="0.25">
      <c r="A42" s="174" t="str">
        <f>("Average Demand = "&amp;TEXT(INPUT!I108,"0,000")&amp;" kVA per month")</f>
        <v>Average Demand = 203,303 kVA per month</v>
      </c>
      <c r="X42" s="19"/>
      <c r="Y42" s="19"/>
      <c r="Z42" s="19"/>
      <c r="AA42" s="19"/>
      <c r="AB42" s="19"/>
      <c r="AC42" s="19"/>
    </row>
    <row r="43" spans="1:45" x14ac:dyDescent="0.25">
      <c r="A43" s="175" t="s">
        <v>302</v>
      </c>
      <c r="C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I43" s="30"/>
      <c r="AJ43" s="19"/>
      <c r="AK43" s="19"/>
      <c r="AL43" s="19"/>
      <c r="AM43" s="19"/>
      <c r="AN43" s="19"/>
      <c r="AO43" s="19"/>
      <c r="AP43" s="19"/>
      <c r="AQ43" s="6"/>
    </row>
    <row r="44" spans="1:45" x14ac:dyDescent="0.25">
      <c r="A44" s="176" t="s">
        <v>606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X44" s="12"/>
      <c r="AI44" s="9"/>
    </row>
    <row r="45" spans="1:45" ht="13" x14ac:dyDescent="0.3">
      <c r="A45" s="175" t="str">
        <f>+'Rate Case Constants'!$C$26</f>
        <v>Calculations may vary from other schedules due to rounding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E45" s="3"/>
      <c r="AF45" s="2"/>
      <c r="AG45" s="3"/>
      <c r="AI45" s="3"/>
    </row>
    <row r="46" spans="1:45" x14ac:dyDescent="0.25">
      <c r="AI46" s="9"/>
    </row>
    <row r="47" spans="1:45" ht="13" x14ac:dyDescent="0.3">
      <c r="A47" s="178"/>
      <c r="W47" s="3"/>
      <c r="AA47" s="3"/>
      <c r="AE47" s="3"/>
      <c r="AI47" s="9"/>
    </row>
    <row r="48" spans="1:45" ht="1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E48" s="3"/>
      <c r="AF48" s="2"/>
      <c r="AG48" s="3"/>
      <c r="AI48" s="3"/>
    </row>
    <row r="49" spans="2:35" ht="1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E49" s="3"/>
      <c r="AF49" s="2"/>
      <c r="AG49" s="3"/>
      <c r="AI49" s="3"/>
    </row>
    <row r="50" spans="2:35" ht="1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</row>
    <row r="51" spans="2:35" x14ac:dyDescent="0.25">
      <c r="B51" s="1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7"/>
      <c r="X51" s="12"/>
      <c r="AA51" s="12"/>
      <c r="AB51" s="12"/>
      <c r="AC51" s="12"/>
      <c r="AE51" s="6"/>
      <c r="AG51" s="6"/>
      <c r="AI51" s="9"/>
    </row>
    <row r="52" spans="2:35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7"/>
      <c r="X52" s="12"/>
      <c r="AA52" s="12"/>
      <c r="AB52" s="12"/>
      <c r="AC52" s="12"/>
      <c r="AE52" s="6"/>
      <c r="AG52" s="6"/>
      <c r="AI52" s="9"/>
    </row>
    <row r="53" spans="2:35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7"/>
      <c r="X53" s="12"/>
      <c r="AA53" s="12"/>
      <c r="AB53" s="12"/>
      <c r="AC53" s="12"/>
      <c r="AE53" s="6"/>
      <c r="AG53" s="6"/>
      <c r="AI53" s="9"/>
    </row>
    <row r="54" spans="2:35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7"/>
      <c r="X54" s="12"/>
      <c r="AA54" s="12"/>
      <c r="AB54" s="12"/>
      <c r="AC54" s="12"/>
      <c r="AE54" s="6"/>
      <c r="AF54" s="10"/>
      <c r="AG54" s="6"/>
      <c r="AH54" s="10"/>
      <c r="AI54" s="9"/>
    </row>
    <row r="55" spans="2:35" ht="6.75" customHeight="1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F55" s="10"/>
      <c r="AG55" s="6"/>
      <c r="AH55" s="10"/>
      <c r="AI55" s="9"/>
    </row>
    <row r="56" spans="2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2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2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G58" s="6"/>
      <c r="AI58" s="9"/>
    </row>
    <row r="59" spans="2:35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G59" s="6"/>
      <c r="AI59" s="9"/>
    </row>
    <row r="60" spans="2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2:35" ht="6.75" customHeight="1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2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2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2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ht="1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</row>
    <row r="67" spans="5:41" ht="1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I68" s="9"/>
    </row>
    <row r="69" spans="5:41" x14ac:dyDescent="0.25">
      <c r="AL69" s="4"/>
      <c r="AM69" s="4"/>
      <c r="AN69" s="4"/>
      <c r="AO69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  <pageSetUpPr fitToPage="1"/>
  </sheetPr>
  <dimension ref="A1:AS69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10.453125" customWidth="1"/>
    <col min="2" max="2" width="3.7265625" customWidth="1"/>
    <col min="3" max="3" width="8.1796875" bestFit="1" customWidth="1"/>
    <col min="4" max="4" width="1.81640625" customWidth="1"/>
    <col min="5" max="5" width="12" bestFit="1" customWidth="1"/>
    <col min="6" max="6" width="2" customWidth="1"/>
    <col min="7" max="7" width="15.1796875" bestFit="1" customWidth="1"/>
    <col min="8" max="9" width="14.7265625" customWidth="1"/>
    <col min="10" max="10" width="13.453125" bestFit="1" customWidth="1"/>
    <col min="11" max="11" width="9.81640625" customWidth="1"/>
    <col min="12" max="12" width="14.26953125" bestFit="1" customWidth="1"/>
    <col min="13" max="13" width="13.453125" bestFit="1" customWidth="1"/>
    <col min="14" max="14" width="15.1796875" customWidth="1"/>
    <col min="15" max="16" width="15.1796875" bestFit="1" customWidth="1"/>
    <col min="17" max="17" width="9.81640625" customWidth="1"/>
    <col min="18" max="18" width="13.1796875" bestFit="1" customWidth="1"/>
    <col min="19" max="19" width="14.26953125" bestFit="1" customWidth="1"/>
    <col min="20" max="20" width="9.26953125" customWidth="1"/>
    <col min="21" max="22" width="9.81640625" customWidth="1"/>
    <col min="23" max="23" width="10" customWidth="1"/>
    <col min="24" max="24" width="14.453125" bestFit="1" customWidth="1"/>
    <col min="25" max="25" width="13.54296875" bestFit="1" customWidth="1"/>
    <col min="26" max="26" width="13.81640625" bestFit="1" customWidth="1"/>
    <col min="27" max="27" width="12.7265625" bestFit="1" customWidth="1"/>
    <col min="28" max="28" width="14.453125" bestFit="1" customWidth="1"/>
    <col min="29" max="29" width="3.1796875" customWidth="1"/>
    <col min="30" max="30" width="14.453125" customWidth="1"/>
    <col min="31" max="31" width="3.81640625" customWidth="1"/>
    <col min="32" max="32" width="2.453125" customWidth="1"/>
    <col min="33" max="34" width="14.453125" bestFit="1" customWidth="1"/>
    <col min="35" max="35" width="13.54296875" bestFit="1" customWidth="1"/>
    <col min="36" max="36" width="13.81640625" bestFit="1" customWidth="1"/>
    <col min="37" max="37" width="12.7265625" bestFit="1" customWidth="1"/>
    <col min="38" max="38" width="14.453125" bestFit="1" customWidth="1"/>
    <col min="39" max="40" width="14.453125" customWidth="1"/>
    <col min="41" max="41" width="14.453125" bestFit="1" customWidth="1"/>
    <col min="42" max="42" width="11.1796875" customWidth="1"/>
    <col min="43" max="43" width="11.453125" bestFit="1" customWidth="1"/>
    <col min="44" max="44" width="10.7265625" customWidth="1"/>
    <col min="45" max="45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Constants'!L21</f>
        <v>PAGE 14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+INPUT!H75</f>
        <v>-1.3966380729894131E-3</v>
      </c>
    </row>
    <row r="11" spans="1:45" ht="13" x14ac:dyDescent="0.3">
      <c r="A11" s="124" t="s">
        <v>605</v>
      </c>
      <c r="W11" s="83" t="s">
        <v>70</v>
      </c>
      <c r="X11" s="2">
        <f>+INPUT!I75</f>
        <v>0</v>
      </c>
      <c r="Z11" s="59"/>
      <c r="AH11" s="59"/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+INPUT!J75</f>
        <v>5.3176338083036961E-4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A13" s="3" t="s">
        <v>1</v>
      </c>
      <c r="AD13" s="3"/>
      <c r="AH13" s="19"/>
      <c r="AI13" s="20" t="s">
        <v>6</v>
      </c>
      <c r="AJ13" s="20" t="s">
        <v>6</v>
      </c>
      <c r="AK13" s="20" t="s">
        <v>6</v>
      </c>
      <c r="AL13" s="19"/>
      <c r="AM13" s="19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31</v>
      </c>
      <c r="Z14" s="3" t="s">
        <v>27</v>
      </c>
      <c r="AA14" s="3" t="s">
        <v>19</v>
      </c>
      <c r="AB14" s="3" t="s">
        <v>1</v>
      </c>
      <c r="AC14" s="3"/>
      <c r="AD14" s="3"/>
      <c r="AG14" s="3" t="s">
        <v>6</v>
      </c>
      <c r="AH14" s="3" t="s">
        <v>6</v>
      </c>
      <c r="AI14" s="20" t="s">
        <v>31</v>
      </c>
      <c r="AJ14" s="20" t="s">
        <v>27</v>
      </c>
      <c r="AK14" s="20" t="s">
        <v>19</v>
      </c>
      <c r="AL14" s="20" t="s">
        <v>6</v>
      </c>
      <c r="AM14" s="20"/>
      <c r="AN14" s="85" t="s">
        <v>592</v>
      </c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22</v>
      </c>
      <c r="Z15" s="3" t="s">
        <v>22</v>
      </c>
      <c r="AA15" s="3" t="s">
        <v>15</v>
      </c>
      <c r="AB15" s="3" t="s">
        <v>5</v>
      </c>
      <c r="AC15" s="3"/>
      <c r="AD15" s="3"/>
      <c r="AG15" s="25" t="s">
        <v>52</v>
      </c>
      <c r="AH15" s="3" t="s">
        <v>53</v>
      </c>
      <c r="AI15" s="20" t="s">
        <v>22</v>
      </c>
      <c r="AJ15" s="20" t="s">
        <v>22</v>
      </c>
      <c r="AK15" s="20" t="s">
        <v>15</v>
      </c>
      <c r="AL15" s="20" t="s">
        <v>5</v>
      </c>
      <c r="AM15" s="86" t="s">
        <v>69</v>
      </c>
      <c r="AN15" s="85" t="s">
        <v>593</v>
      </c>
      <c r="AO15" s="3"/>
      <c r="AQ15" s="85"/>
      <c r="AR15" s="85"/>
      <c r="AS15" s="85"/>
    </row>
    <row r="16" spans="1:45" ht="13" x14ac:dyDescent="0.3">
      <c r="A16" s="3" t="s">
        <v>23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3</v>
      </c>
      <c r="Z16" s="3" t="s">
        <v>3</v>
      </c>
      <c r="AA16" s="3" t="s">
        <v>3</v>
      </c>
      <c r="AB16" s="3" t="s">
        <v>4</v>
      </c>
      <c r="AC16" s="3"/>
      <c r="AD16" s="3"/>
      <c r="AG16" s="25" t="s">
        <v>3</v>
      </c>
      <c r="AH16" s="3" t="s">
        <v>3</v>
      </c>
      <c r="AI16" s="20" t="s">
        <v>3</v>
      </c>
      <c r="AJ16" s="20" t="s">
        <v>3</v>
      </c>
      <c r="AK16" s="20" t="s">
        <v>3</v>
      </c>
      <c r="AL16" s="20" t="s">
        <v>4</v>
      </c>
      <c r="AM16" s="386" t="s">
        <v>471</v>
      </c>
      <c r="AN16" s="348" t="s">
        <v>439</v>
      </c>
      <c r="AO16" s="3"/>
      <c r="AQ16" s="85"/>
      <c r="AR16" s="85"/>
      <c r="AS16" s="85"/>
    </row>
    <row r="17" spans="1:45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+INPUT!$O$6</f>
        <v>2.5729999999999999E-2</v>
      </c>
      <c r="Y17" s="41">
        <f>+INPUT!$O$13</f>
        <v>7.66</v>
      </c>
      <c r="Z17" s="41">
        <f>+INPUT!$O$14</f>
        <v>6.06</v>
      </c>
      <c r="AA17" s="41">
        <f>+INPUT!$O$15</f>
        <v>2.2999999999999998</v>
      </c>
      <c r="AB17" s="3"/>
      <c r="AC17" s="3"/>
      <c r="AD17" s="40"/>
      <c r="AG17" s="25"/>
      <c r="AH17" s="40">
        <f>+INPUT!$O$34</f>
        <v>3.1279999999999995E-2</v>
      </c>
      <c r="AI17" s="41">
        <f>+INPUT!$O$41</f>
        <v>7.51</v>
      </c>
      <c r="AJ17" s="41">
        <f>+INPUT!$O$42</f>
        <v>5.94</v>
      </c>
      <c r="AK17" s="41">
        <f>+INPUT!$O$43</f>
        <v>2.93</v>
      </c>
      <c r="AL17" s="20"/>
      <c r="AM17" s="86">
        <f>INPUT!K75</f>
        <v>7.6769279792991303E-5</v>
      </c>
      <c r="AN17" s="86">
        <f>INPUT!O52</f>
        <v>-6.8000000000000005E-4</v>
      </c>
      <c r="AO17" s="40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49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" t="s">
        <v>55</v>
      </c>
      <c r="Z18" s="3" t="s">
        <v>55</v>
      </c>
      <c r="AA18" s="3" t="s">
        <v>55</v>
      </c>
      <c r="AB18" s="3"/>
      <c r="AC18" s="3"/>
      <c r="AD18" s="3"/>
      <c r="AG18" s="25"/>
      <c r="AH18" s="3" t="s">
        <v>11</v>
      </c>
      <c r="AI18" s="3" t="s">
        <v>55</v>
      </c>
      <c r="AJ18" s="3" t="s">
        <v>55</v>
      </c>
      <c r="AK18" s="3" t="s">
        <v>55</v>
      </c>
      <c r="AL18" s="20"/>
      <c r="AM18" s="86" t="s">
        <v>11</v>
      </c>
      <c r="AN18" s="86" t="s">
        <v>11</v>
      </c>
      <c r="AO18" s="3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20"/>
      <c r="AL19" s="20"/>
      <c r="AM19" s="85"/>
      <c r="AN19" s="85"/>
      <c r="AQ19" s="85"/>
      <c r="AR19" s="85"/>
      <c r="AS19" s="85"/>
    </row>
    <row r="20" spans="1:45" x14ac:dyDescent="0.25">
      <c r="A20" s="1">
        <v>20000</v>
      </c>
      <c r="B20" s="1"/>
      <c r="C20" s="13">
        <v>0.3</v>
      </c>
      <c r="E20" s="1">
        <f>C20*($A$20*730)</f>
        <v>4380000</v>
      </c>
      <c r="F20" s="1"/>
      <c r="G20" s="28">
        <f>+AB20</f>
        <v>380652.01641295565</v>
      </c>
      <c r="H20" s="28">
        <f>+AL20</f>
        <v>413199.42267603747</v>
      </c>
      <c r="I20" s="28">
        <f>AM20</f>
        <v>336.24944549330189</v>
      </c>
      <c r="J20" s="90">
        <f>+H20-(I20+G20)</f>
        <v>32211.156817588548</v>
      </c>
      <c r="K20" s="54">
        <f>ROUND(+J20/G20,4)</f>
        <v>8.4599999999999995E-2</v>
      </c>
      <c r="L20" s="28">
        <f>ROUND($X$10*$E20,2)</f>
        <v>-6117.27</v>
      </c>
      <c r="M20" s="28">
        <f>ROUND($X$11*$E20,2)</f>
        <v>0</v>
      </c>
      <c r="N20" s="28">
        <f>ROUND($X$12*$E20,2)</f>
        <v>2329.12</v>
      </c>
      <c r="O20" s="28">
        <f>+G20+I20+L20+M20+N20</f>
        <v>377200.1158584489</v>
      </c>
      <c r="P20" s="28">
        <f>+H20+L20+M20+N20</f>
        <v>409411.27267603745</v>
      </c>
      <c r="Q20" s="54">
        <f>ROUND((P20-O20)/O20,4)</f>
        <v>8.5400000000000004E-2</v>
      </c>
      <c r="R20" s="28">
        <f>AN20</f>
        <v>-2978.4</v>
      </c>
      <c r="S20" s="90">
        <f>P20+R20</f>
        <v>406432.87267603743</v>
      </c>
      <c r="T20" s="91">
        <f>ROUND((S20-O20)/O20,4)</f>
        <v>7.7499999999999999E-2</v>
      </c>
      <c r="U20" s="1"/>
      <c r="W20" s="7">
        <f>+INPUT!$O$4</f>
        <v>329.9425</v>
      </c>
      <c r="X20" s="19">
        <f>$X$17*E20</f>
        <v>112697.4</v>
      </c>
      <c r="Y20" s="19">
        <f>$Y$17*$A$20*INPUT!$E$96</f>
        <v>122937.61083755443</v>
      </c>
      <c r="Z20" s="19">
        <f>$Z$17*$A$20*INPUT!$F$96</f>
        <v>98687.063075401238</v>
      </c>
      <c r="AA20" s="19">
        <f>$AA$17*$A$20</f>
        <v>46000</v>
      </c>
      <c r="AB20" s="24">
        <f>W20+X20+Y20+Z20+AA20</f>
        <v>380652.01641295565</v>
      </c>
      <c r="AC20" s="24"/>
      <c r="AD20" s="19"/>
      <c r="AG20" s="7">
        <f>INPUT!$O$32</f>
        <v>329.9425</v>
      </c>
      <c r="AH20" s="19">
        <f>$AH$17*E20</f>
        <v>137006.39999999997</v>
      </c>
      <c r="AI20" s="19">
        <f>$AI$17*$A$20*INPUT!$E$96</f>
        <v>120530.2163694561</v>
      </c>
      <c r="AJ20" s="19">
        <f>$A$20*$AJ$17*INPUT!$F$96</f>
        <v>96732.86380658143</v>
      </c>
      <c r="AK20" s="19">
        <f>$A$20*$AK$17</f>
        <v>58600</v>
      </c>
      <c r="AL20" s="24">
        <f>AG20+AH20+AI20+AJ20+AK20</f>
        <v>413199.42267603747</v>
      </c>
      <c r="AM20" s="84">
        <f>$AM$17*E20</f>
        <v>336.24944549330189</v>
      </c>
      <c r="AN20" s="84">
        <f>$AN$17*E20</f>
        <v>-2978.4</v>
      </c>
      <c r="AO20" s="19"/>
      <c r="AP20" s="17"/>
      <c r="AQ20" s="38"/>
      <c r="AR20" s="17"/>
      <c r="AS20" s="394"/>
    </row>
    <row r="21" spans="1:45" x14ac:dyDescent="0.25">
      <c r="C21" s="13">
        <v>0.5</v>
      </c>
      <c r="E21" s="1">
        <f>C21*($A$20*730)</f>
        <v>7300000</v>
      </c>
      <c r="F21" s="1"/>
      <c r="G21" s="28">
        <f t="shared" ref="G21:G38" si="0">+AB21</f>
        <v>455783.61641295569</v>
      </c>
      <c r="H21" s="28">
        <f>+AL21</f>
        <v>504537.02267603751</v>
      </c>
      <c r="I21" s="28">
        <f t="shared" ref="I21:I38" si="1">AM21</f>
        <v>560.41574248883649</v>
      </c>
      <c r="J21" s="90">
        <f t="shared" ref="J21:J37" si="2">+H21-(I21+G21)</f>
        <v>48192.990520593012</v>
      </c>
      <c r="K21" s="54">
        <f>ROUND(+J21/G21,4)</f>
        <v>0.1057</v>
      </c>
      <c r="L21" s="28">
        <f>ROUND($X$10*$E21,2)</f>
        <v>-10195.459999999999</v>
      </c>
      <c r="M21" s="28">
        <f>ROUND($X$11*$E21,2)</f>
        <v>0</v>
      </c>
      <c r="N21" s="28">
        <f>ROUND($X$12*$E21,2)</f>
        <v>3881.87</v>
      </c>
      <c r="O21" s="28">
        <f t="shared" ref="O21:O37" si="3">+G21+I21+L21+M21+N21</f>
        <v>450030.44215544447</v>
      </c>
      <c r="P21" s="28">
        <f>+H21+L21+M21+N21</f>
        <v>498223.43267603748</v>
      </c>
      <c r="Q21" s="91">
        <f>ROUND((P21-O21)/O21,4)</f>
        <v>0.1071</v>
      </c>
      <c r="R21" s="28">
        <f t="shared" ref="R21:R38" si="4">AN21</f>
        <v>-4964</v>
      </c>
      <c r="S21" s="90">
        <f t="shared" ref="S21:S38" si="5">P21+R21</f>
        <v>493259.43267603748</v>
      </c>
      <c r="T21" s="91">
        <f t="shared" ref="T21:T38" si="6">ROUND((S21-O21)/O21,4)</f>
        <v>9.6100000000000005E-2</v>
      </c>
      <c r="U21" s="1"/>
      <c r="W21" s="7">
        <f>$W$20</f>
        <v>329.9425</v>
      </c>
      <c r="X21" s="19">
        <f>$X$17*E21</f>
        <v>187829</v>
      </c>
      <c r="Y21" s="19">
        <f>$Y$17*$A$20*INPUT!$E$96</f>
        <v>122937.61083755443</v>
      </c>
      <c r="Z21" s="19">
        <f>$Z$17*$A$20*INPUT!$F$96</f>
        <v>98687.063075401238</v>
      </c>
      <c r="AA21" s="19">
        <f>$AA$17*$A$20</f>
        <v>46000</v>
      </c>
      <c r="AB21" s="24">
        <f>W21+X21+Y21+Z21+AA21</f>
        <v>455783.61641295569</v>
      </c>
      <c r="AC21" s="24"/>
      <c r="AD21" s="19"/>
      <c r="AG21" s="7">
        <f>$AG$20</f>
        <v>329.9425</v>
      </c>
      <c r="AH21" s="19">
        <f>$AH$17*E21</f>
        <v>228343.99999999997</v>
      </c>
      <c r="AI21" s="19">
        <f>$AI$17*$A$20*INPUT!$E$96</f>
        <v>120530.2163694561</v>
      </c>
      <c r="AJ21" s="19">
        <f>$A$20*$AJ$17*INPUT!$F$96</f>
        <v>96732.86380658143</v>
      </c>
      <c r="AK21" s="19">
        <f>$A$20*$AK$17</f>
        <v>58600</v>
      </c>
      <c r="AL21" s="24">
        <f>AG21+AH21+AI21+AJ21+AK21</f>
        <v>504537.02267603751</v>
      </c>
      <c r="AM21" s="84">
        <f t="shared" ref="AM21:AM37" si="7">$AM$17*E21</f>
        <v>560.41574248883649</v>
      </c>
      <c r="AN21" s="84">
        <f t="shared" ref="AN21:AN37" si="8">$AN$17*E21</f>
        <v>-4964</v>
      </c>
      <c r="AO21" s="19"/>
      <c r="AP21" s="17"/>
      <c r="AQ21" s="38"/>
      <c r="AR21" s="17"/>
      <c r="AS21" s="394"/>
    </row>
    <row r="22" spans="1:45" x14ac:dyDescent="0.25">
      <c r="C22" s="13">
        <v>0.7</v>
      </c>
      <c r="E22" s="1">
        <f>C22*($A$20*730)</f>
        <v>10220000</v>
      </c>
      <c r="F22" s="1"/>
      <c r="G22" s="28">
        <f t="shared" si="0"/>
        <v>530915.21641295566</v>
      </c>
      <c r="H22" s="28">
        <f>+AL22</f>
        <v>595874.62267603748</v>
      </c>
      <c r="I22" s="28">
        <f t="shared" si="1"/>
        <v>784.58203948437108</v>
      </c>
      <c r="J22" s="90">
        <f t="shared" si="2"/>
        <v>64174.824223597418</v>
      </c>
      <c r="K22" s="54">
        <f>ROUND(+J22/G22,4)</f>
        <v>0.12089999999999999</v>
      </c>
      <c r="L22" s="28">
        <f>ROUND($X$10*$E22,2)</f>
        <v>-14273.64</v>
      </c>
      <c r="M22" s="28">
        <f>ROUND($X$11*$E22,2)</f>
        <v>0</v>
      </c>
      <c r="N22" s="28">
        <f>ROUND($X$12*$E22,2)</f>
        <v>5434.62</v>
      </c>
      <c r="O22" s="28">
        <f t="shared" si="3"/>
        <v>522860.77845244005</v>
      </c>
      <c r="P22" s="28">
        <f>+H22+L22+M22+N22</f>
        <v>587035.60267603747</v>
      </c>
      <c r="Q22" s="54">
        <f>ROUND((P22-O22)/O22,4)</f>
        <v>0.1227</v>
      </c>
      <c r="R22" s="28">
        <f t="shared" si="4"/>
        <v>-6949.6</v>
      </c>
      <c r="S22" s="90">
        <f t="shared" si="5"/>
        <v>580086.00267603749</v>
      </c>
      <c r="T22" s="91">
        <f t="shared" si="6"/>
        <v>0.1094</v>
      </c>
      <c r="U22" s="1"/>
      <c r="W22" s="7">
        <f>$W$20</f>
        <v>329.9425</v>
      </c>
      <c r="X22" s="19">
        <f>$X$17*E22</f>
        <v>262960.59999999998</v>
      </c>
      <c r="Y22" s="19">
        <f>$Y$17*$A$20*INPUT!$E$96</f>
        <v>122937.61083755443</v>
      </c>
      <c r="Z22" s="19">
        <f>$Z$17*$A$20*INPUT!$F$96</f>
        <v>98687.063075401238</v>
      </c>
      <c r="AA22" s="19">
        <f>$AA$17*$A$20</f>
        <v>46000</v>
      </c>
      <c r="AB22" s="24">
        <f>W22+X22+Y22+Z22+AA22</f>
        <v>530915.21641295566</v>
      </c>
      <c r="AC22" s="24"/>
      <c r="AD22" s="19"/>
      <c r="AG22" s="7">
        <f>$AG$20</f>
        <v>329.9425</v>
      </c>
      <c r="AH22" s="19">
        <f>$AH$17*E22</f>
        <v>319681.59999999998</v>
      </c>
      <c r="AI22" s="19">
        <f>$AI$17*$A$20*INPUT!$E$96</f>
        <v>120530.2163694561</v>
      </c>
      <c r="AJ22" s="19">
        <f>$A$20*$AJ$17*INPUT!$F$96</f>
        <v>96732.86380658143</v>
      </c>
      <c r="AK22" s="19">
        <f>$A$20*$AK$17</f>
        <v>58600</v>
      </c>
      <c r="AL22" s="24">
        <f>AG22+AH22+AI22+AJ22+AK22</f>
        <v>595874.62267603748</v>
      </c>
      <c r="AM22" s="84">
        <f t="shared" si="7"/>
        <v>784.58203948437108</v>
      </c>
      <c r="AN22" s="84">
        <f t="shared" si="8"/>
        <v>-6949.6</v>
      </c>
      <c r="AO22" s="19"/>
      <c r="AP22" s="17"/>
      <c r="AQ22" s="38"/>
      <c r="AR22" s="17"/>
      <c r="AS22" s="394"/>
    </row>
    <row r="23" spans="1:45" x14ac:dyDescent="0.25">
      <c r="C23" s="13"/>
      <c r="E23" s="1"/>
      <c r="F23" s="1"/>
      <c r="G23" s="28"/>
      <c r="H23" s="28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19"/>
      <c r="AB23" s="24"/>
      <c r="AC23" s="24"/>
      <c r="AG23" s="7"/>
      <c r="AH23" s="19"/>
      <c r="AI23" s="19"/>
      <c r="AJ23" s="19"/>
      <c r="AK23" s="19"/>
      <c r="AL23" s="24"/>
      <c r="AM23" s="84"/>
      <c r="AN23" s="84"/>
      <c r="AP23" s="17"/>
      <c r="AQ23" s="84"/>
      <c r="AR23" s="17"/>
      <c r="AS23" s="84"/>
    </row>
    <row r="24" spans="1:45" x14ac:dyDescent="0.25">
      <c r="A24" s="1">
        <v>100000</v>
      </c>
      <c r="B24" s="1"/>
      <c r="C24" s="13">
        <v>0.3</v>
      </c>
      <c r="E24" s="1">
        <f>C24*($A$24*730)</f>
        <v>21900000</v>
      </c>
      <c r="F24" s="1"/>
      <c r="G24" s="28">
        <f t="shared" si="0"/>
        <v>1901940.3120647785</v>
      </c>
      <c r="H24" s="28">
        <f>+AL24</f>
        <v>2064677.3433801874</v>
      </c>
      <c r="I24" s="28">
        <f t="shared" si="1"/>
        <v>1681.2472274665095</v>
      </c>
      <c r="J24" s="90">
        <f t="shared" si="2"/>
        <v>161055.78408794245</v>
      </c>
      <c r="K24" s="54">
        <f>ROUND(+J24/G24,4)</f>
        <v>8.4699999999999998E-2</v>
      </c>
      <c r="L24" s="28">
        <f>ROUND($X$10*$E24,2)</f>
        <v>-30586.37</v>
      </c>
      <c r="M24" s="28">
        <f>ROUND($X$11*$E24,2)</f>
        <v>0</v>
      </c>
      <c r="N24" s="28">
        <f>ROUND($X$12*$E24,2)</f>
        <v>11645.62</v>
      </c>
      <c r="O24" s="28">
        <f t="shared" si="3"/>
        <v>1884680.809292245</v>
      </c>
      <c r="P24" s="28">
        <f>+H24+L24+M24+N24</f>
        <v>2045736.5933801874</v>
      </c>
      <c r="Q24" s="54">
        <f>ROUND((P24-O24)/O24,4)</f>
        <v>8.5500000000000007E-2</v>
      </c>
      <c r="R24" s="28">
        <f t="shared" si="4"/>
        <v>-14892.000000000002</v>
      </c>
      <c r="S24" s="90">
        <f t="shared" si="5"/>
        <v>2030844.5933801874</v>
      </c>
      <c r="T24" s="91">
        <f t="shared" si="6"/>
        <v>7.7600000000000002E-2</v>
      </c>
      <c r="U24" s="1"/>
      <c r="W24" s="7">
        <f>$W$20</f>
        <v>329.9425</v>
      </c>
      <c r="X24" s="19">
        <f>$X$17*E24</f>
        <v>563487</v>
      </c>
      <c r="Y24" s="19">
        <f>$Y$17*$A$24*INPUT!$E$96</f>
        <v>614688.0541877721</v>
      </c>
      <c r="Z24" s="19">
        <f>$Z$17*$A$24*INPUT!$F$96</f>
        <v>493435.31537700619</v>
      </c>
      <c r="AA24" s="19">
        <f>$AA$17*$A$24</f>
        <v>229999.99999999997</v>
      </c>
      <c r="AB24" s="24">
        <f>W24+X24+Y24+Z24+AA24</f>
        <v>1901940.3120647785</v>
      </c>
      <c r="AC24" s="24"/>
      <c r="AD24" s="19"/>
      <c r="AG24" s="7">
        <f>$AG$20</f>
        <v>329.9425</v>
      </c>
      <c r="AH24" s="19">
        <f>$AH$17*E24</f>
        <v>685031.99999999988</v>
      </c>
      <c r="AI24" s="19">
        <f>$AI$17*$A$24*INPUT!$E$96</f>
        <v>602651.0818472805</v>
      </c>
      <c r="AJ24" s="19">
        <f>$A$24*$AJ$17*INPUT!$F$96</f>
        <v>483664.31903290708</v>
      </c>
      <c r="AK24" s="19">
        <f>$A$24*$AK$17</f>
        <v>293000</v>
      </c>
      <c r="AL24" s="24">
        <f>AG24+AH24+AI24+AJ24+AK24</f>
        <v>2064677.3433801874</v>
      </c>
      <c r="AM24" s="84">
        <f t="shared" si="7"/>
        <v>1681.2472274665095</v>
      </c>
      <c r="AN24" s="84">
        <f t="shared" si="8"/>
        <v>-14892.000000000002</v>
      </c>
      <c r="AO24" s="19"/>
      <c r="AP24" s="17"/>
      <c r="AQ24" s="38"/>
      <c r="AR24" s="144"/>
      <c r="AS24" s="394"/>
    </row>
    <row r="25" spans="1:45" x14ac:dyDescent="0.25">
      <c r="C25" s="13">
        <v>0.5</v>
      </c>
      <c r="E25" s="1">
        <f>C25*($A$24*730)</f>
        <v>36500000</v>
      </c>
      <c r="F25" s="1"/>
      <c r="G25" s="28">
        <f t="shared" si="0"/>
        <v>2277598.3120647785</v>
      </c>
      <c r="H25" s="28">
        <f>+AL25</f>
        <v>2521365.3433801872</v>
      </c>
      <c r="I25" s="28">
        <f t="shared" si="1"/>
        <v>2802.0787124441827</v>
      </c>
      <c r="J25" s="90">
        <f t="shared" si="2"/>
        <v>240964.95260296436</v>
      </c>
      <c r="K25" s="54">
        <f>ROUND(+J25/G25,4)</f>
        <v>0.10580000000000001</v>
      </c>
      <c r="L25" s="28">
        <f>ROUND($X$10*$E25,2)</f>
        <v>-50977.29</v>
      </c>
      <c r="M25" s="28">
        <f>ROUND($X$11*$E25,2)</f>
        <v>0</v>
      </c>
      <c r="N25" s="28">
        <f>ROUND($X$12*$E25,2)</f>
        <v>19409.36</v>
      </c>
      <c r="O25" s="28">
        <f t="shared" si="3"/>
        <v>2248832.4607772226</v>
      </c>
      <c r="P25" s="28">
        <f>+H25+L25+M25+N25</f>
        <v>2489797.413380187</v>
      </c>
      <c r="Q25" s="54">
        <f>ROUND((P25-O25)/O25,4)</f>
        <v>0.1072</v>
      </c>
      <c r="R25" s="28">
        <f t="shared" si="4"/>
        <v>-24820</v>
      </c>
      <c r="S25" s="90">
        <f t="shared" si="5"/>
        <v>2464977.413380187</v>
      </c>
      <c r="T25" s="91">
        <f t="shared" si="6"/>
        <v>9.6100000000000005E-2</v>
      </c>
      <c r="U25" s="1"/>
      <c r="W25" s="7">
        <f>$W$20</f>
        <v>329.9425</v>
      </c>
      <c r="X25" s="19">
        <f>$X$17*E25</f>
        <v>939145</v>
      </c>
      <c r="Y25" s="19">
        <f>$Y$17*$A$24*INPUT!$E$96</f>
        <v>614688.0541877721</v>
      </c>
      <c r="Z25" s="19">
        <f>$Z$17*$A$24*INPUT!$F$96</f>
        <v>493435.31537700619</v>
      </c>
      <c r="AA25" s="19">
        <f>$AA$17*$A$24</f>
        <v>229999.99999999997</v>
      </c>
      <c r="AB25" s="24">
        <f>W25+X25+Y25+Z25+AA25</f>
        <v>2277598.3120647785</v>
      </c>
      <c r="AC25" s="24"/>
      <c r="AD25" s="19"/>
      <c r="AG25" s="7">
        <f>$AG$20</f>
        <v>329.9425</v>
      </c>
      <c r="AH25" s="19">
        <f>$AH$17*E25</f>
        <v>1141719.9999999998</v>
      </c>
      <c r="AI25" s="19">
        <f>$AI$17*$A$24*INPUT!$E$96</f>
        <v>602651.0818472805</v>
      </c>
      <c r="AJ25" s="19">
        <f>$A$24*$AJ$17*INPUT!$F$96</f>
        <v>483664.31903290708</v>
      </c>
      <c r="AK25" s="19">
        <f>$A$24*$AK$17</f>
        <v>293000</v>
      </c>
      <c r="AL25" s="24">
        <f>AG25+AH25+AI25+AJ25+AK25</f>
        <v>2521365.3433801872</v>
      </c>
      <c r="AM25" s="84">
        <f t="shared" si="7"/>
        <v>2802.0787124441827</v>
      </c>
      <c r="AN25" s="84">
        <f t="shared" si="8"/>
        <v>-24820</v>
      </c>
      <c r="AO25" s="19"/>
      <c r="AP25" s="17"/>
      <c r="AQ25" s="38"/>
      <c r="AR25" s="144"/>
      <c r="AS25" s="394"/>
    </row>
    <row r="26" spans="1:45" x14ac:dyDescent="0.25">
      <c r="C26" s="13">
        <v>0.7</v>
      </c>
      <c r="E26" s="1">
        <f>C26*($A$24*730)</f>
        <v>51100000</v>
      </c>
      <c r="F26" s="1"/>
      <c r="G26" s="28">
        <f t="shared" si="0"/>
        <v>2653256.3120647781</v>
      </c>
      <c r="H26" s="28">
        <f>+AL26</f>
        <v>2978053.3433801872</v>
      </c>
      <c r="I26" s="28">
        <f t="shared" si="1"/>
        <v>3922.9101974218556</v>
      </c>
      <c r="J26" s="90">
        <f t="shared" si="2"/>
        <v>320874.1211179872</v>
      </c>
      <c r="K26" s="54">
        <f>ROUND(+J26/G26,4)</f>
        <v>0.12089999999999999</v>
      </c>
      <c r="L26" s="28">
        <f>ROUND($X$10*$E26,2)</f>
        <v>-71368.210000000006</v>
      </c>
      <c r="M26" s="28">
        <f>ROUND($X$11*$E26,2)</f>
        <v>0</v>
      </c>
      <c r="N26" s="28">
        <f>ROUND($X$12*$E26,2)</f>
        <v>27173.11</v>
      </c>
      <c r="O26" s="28">
        <f t="shared" si="3"/>
        <v>2612984.1222621999</v>
      </c>
      <c r="P26" s="28">
        <f>+H26+L26+M26+N26</f>
        <v>2933858.2433801871</v>
      </c>
      <c r="Q26" s="54">
        <f>ROUND((P26-O26)/O26,4)</f>
        <v>0.12280000000000001</v>
      </c>
      <c r="R26" s="28">
        <f t="shared" si="4"/>
        <v>-34748</v>
      </c>
      <c r="S26" s="90">
        <f t="shared" si="5"/>
        <v>2899110.2433801871</v>
      </c>
      <c r="T26" s="91">
        <f t="shared" si="6"/>
        <v>0.1095</v>
      </c>
      <c r="U26" s="1"/>
      <c r="W26" s="7">
        <f>$W$20</f>
        <v>329.9425</v>
      </c>
      <c r="X26" s="19">
        <f>$X$17*E26</f>
        <v>1314803</v>
      </c>
      <c r="Y26" s="19">
        <f>$Y$17*$A$24*INPUT!$E$96</f>
        <v>614688.0541877721</v>
      </c>
      <c r="Z26" s="19">
        <f>$Z$17*$A$24*INPUT!$F$96</f>
        <v>493435.31537700619</v>
      </c>
      <c r="AA26" s="19">
        <f>$AA$17*$A$24</f>
        <v>229999.99999999997</v>
      </c>
      <c r="AB26" s="24">
        <f>W26+X26+Y26+Z26+AA26</f>
        <v>2653256.3120647781</v>
      </c>
      <c r="AC26" s="24"/>
      <c r="AD26" s="19"/>
      <c r="AG26" s="7">
        <f>$AG$20</f>
        <v>329.9425</v>
      </c>
      <c r="AH26" s="19">
        <f>$AH$17*E26</f>
        <v>1598407.9999999998</v>
      </c>
      <c r="AI26" s="19">
        <f>$AI$17*$A$24*INPUT!$E$96</f>
        <v>602651.0818472805</v>
      </c>
      <c r="AJ26" s="19">
        <f>$A$24*$AJ$17*INPUT!$F$96</f>
        <v>483664.31903290708</v>
      </c>
      <c r="AK26" s="19">
        <f>$A$24*$AK$17</f>
        <v>293000</v>
      </c>
      <c r="AL26" s="24">
        <f>AG26+AH26+AI26+AJ26+AK26</f>
        <v>2978053.3433801872</v>
      </c>
      <c r="AM26" s="84">
        <f t="shared" si="7"/>
        <v>3922.9101974218556</v>
      </c>
      <c r="AN26" s="84">
        <f t="shared" si="8"/>
        <v>-34748</v>
      </c>
      <c r="AO26" s="19"/>
      <c r="AP26" s="17"/>
      <c r="AQ26" s="38"/>
      <c r="AR26" s="17"/>
      <c r="AS26" s="394"/>
    </row>
    <row r="27" spans="1:45" x14ac:dyDescent="0.25">
      <c r="C27" s="13"/>
      <c r="E27" s="1"/>
      <c r="F27" s="1"/>
      <c r="G27" s="28"/>
      <c r="H27" s="28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19"/>
      <c r="AB27" s="24"/>
      <c r="AC27" s="24"/>
      <c r="AG27" s="7"/>
      <c r="AH27" s="19"/>
      <c r="AI27" s="19"/>
      <c r="AJ27" s="19"/>
      <c r="AK27" s="19"/>
      <c r="AL27" s="24"/>
      <c r="AM27" s="84"/>
      <c r="AN27" s="84"/>
      <c r="AP27" s="17"/>
      <c r="AQ27" s="84"/>
      <c r="AR27" s="17"/>
      <c r="AS27" s="84"/>
    </row>
    <row r="28" spans="1:45" x14ac:dyDescent="0.25">
      <c r="A28" s="1">
        <v>150000</v>
      </c>
      <c r="B28" s="1"/>
      <c r="C28" s="13">
        <v>0.3</v>
      </c>
      <c r="E28" s="1">
        <f>C28*($A$28*730)</f>
        <v>32850000</v>
      </c>
      <c r="F28" s="1"/>
      <c r="G28" s="28">
        <f t="shared" si="0"/>
        <v>2852745.4968471676</v>
      </c>
      <c r="H28" s="28">
        <f>+AL28</f>
        <v>3096851.0438202815</v>
      </c>
      <c r="I28" s="28">
        <f t="shared" si="1"/>
        <v>2521.8708411997641</v>
      </c>
      <c r="J28" s="90">
        <f t="shared" si="2"/>
        <v>241583.67613191437</v>
      </c>
      <c r="K28" s="54">
        <f>ROUND(+J28/G28,4)</f>
        <v>8.4699999999999998E-2</v>
      </c>
      <c r="L28" s="28">
        <f>ROUND($X$10*$E28,2)</f>
        <v>-45879.56</v>
      </c>
      <c r="M28" s="28">
        <f>ROUND($X$11*$E28,2)</f>
        <v>0</v>
      </c>
      <c r="N28" s="28">
        <f>ROUND($X$12*$E28,2)</f>
        <v>17468.43</v>
      </c>
      <c r="O28" s="28">
        <f t="shared" si="3"/>
        <v>2826856.2376883673</v>
      </c>
      <c r="P28" s="28">
        <f>+H28+L28+M28+N28</f>
        <v>3068439.9138202816</v>
      </c>
      <c r="Q28" s="54">
        <f>ROUND((P28-O28)/O28,4)</f>
        <v>8.5500000000000007E-2</v>
      </c>
      <c r="R28" s="28">
        <f t="shared" si="4"/>
        <v>-22338</v>
      </c>
      <c r="S28" s="90">
        <f t="shared" si="5"/>
        <v>3046101.9138202816</v>
      </c>
      <c r="T28" s="91">
        <f t="shared" si="6"/>
        <v>7.7600000000000002E-2</v>
      </c>
      <c r="U28" s="1"/>
      <c r="W28" s="7">
        <f>$W$20</f>
        <v>329.9425</v>
      </c>
      <c r="X28" s="19">
        <f>$X$17*E28</f>
        <v>845230.5</v>
      </c>
      <c r="Y28" s="19">
        <f>$Y$17*$A$28*INPUT!$E$96</f>
        <v>922032.08128165815</v>
      </c>
      <c r="Z28" s="19">
        <f>$Z$17*$A$28*INPUT!$F$96</f>
        <v>740152.97306550923</v>
      </c>
      <c r="AA28" s="19">
        <f>$AA$17*$A$28</f>
        <v>345000</v>
      </c>
      <c r="AB28" s="24">
        <f>W28+X28+Y28+Z28+AA28</f>
        <v>2852745.4968471676</v>
      </c>
      <c r="AC28" s="24"/>
      <c r="AD28" s="19"/>
      <c r="AG28" s="7">
        <f>$AG$20</f>
        <v>329.9425</v>
      </c>
      <c r="AH28" s="19">
        <f>$AH$17*E28</f>
        <v>1027547.9999999999</v>
      </c>
      <c r="AI28" s="19">
        <f>$AI$17*$A$28*INPUT!$E$96</f>
        <v>903976.62277092075</v>
      </c>
      <c r="AJ28" s="19">
        <f>$A$28*$AJ$17*INPUT!$F$96</f>
        <v>725496.47854936076</v>
      </c>
      <c r="AK28" s="19">
        <f>$A$28*$AK$17</f>
        <v>439500</v>
      </c>
      <c r="AL28" s="24">
        <f>AG28+AH28+AI28+AJ28+AK28</f>
        <v>3096851.0438202815</v>
      </c>
      <c r="AM28" s="84">
        <f t="shared" si="7"/>
        <v>2521.8708411997641</v>
      </c>
      <c r="AN28" s="84">
        <f t="shared" si="8"/>
        <v>-22338</v>
      </c>
      <c r="AO28" s="19"/>
      <c r="AP28" s="17"/>
      <c r="AQ28" s="38"/>
      <c r="AR28" s="17"/>
      <c r="AS28" s="394"/>
    </row>
    <row r="29" spans="1:45" x14ac:dyDescent="0.25">
      <c r="C29" s="13">
        <v>0.5</v>
      </c>
      <c r="E29" s="1">
        <f>C29*($A$28*730)</f>
        <v>54750000</v>
      </c>
      <c r="F29" s="1"/>
      <c r="G29" s="28">
        <f t="shared" si="0"/>
        <v>3416232.4968471676</v>
      </c>
      <c r="H29" s="28">
        <f>+AL29</f>
        <v>3781883.043820281</v>
      </c>
      <c r="I29" s="28">
        <f t="shared" si="1"/>
        <v>4203.1180686662738</v>
      </c>
      <c r="J29" s="90">
        <f t="shared" si="2"/>
        <v>361447.42890444724</v>
      </c>
      <c r="K29" s="54">
        <f>ROUND(+J29/G29,4)</f>
        <v>0.10580000000000001</v>
      </c>
      <c r="L29" s="28">
        <f>ROUND($X$10*$E29,2)</f>
        <v>-76465.929999999993</v>
      </c>
      <c r="M29" s="28">
        <f>ROUND($X$11*$E29,2)</f>
        <v>0</v>
      </c>
      <c r="N29" s="28">
        <f>ROUND($X$12*$E29,2)</f>
        <v>29114.05</v>
      </c>
      <c r="O29" s="28">
        <f t="shared" si="3"/>
        <v>3373083.7349158335</v>
      </c>
      <c r="P29" s="28">
        <f>+H29+L29+M29+N29</f>
        <v>3734531.1638202807</v>
      </c>
      <c r="Q29" s="54">
        <f>ROUND((P29-O29)/O29,4)</f>
        <v>0.1072</v>
      </c>
      <c r="R29" s="28">
        <f t="shared" si="4"/>
        <v>-37230</v>
      </c>
      <c r="S29" s="90">
        <f t="shared" si="5"/>
        <v>3697301.1638202807</v>
      </c>
      <c r="T29" s="91">
        <f t="shared" si="6"/>
        <v>9.6100000000000005E-2</v>
      </c>
      <c r="U29" s="1"/>
      <c r="W29" s="7">
        <f>$W$20</f>
        <v>329.9425</v>
      </c>
      <c r="X29" s="19">
        <f>$X$17*E29</f>
        <v>1408717.5</v>
      </c>
      <c r="Y29" s="19">
        <f>$Y$17*$A$28*INPUT!$E$96</f>
        <v>922032.08128165815</v>
      </c>
      <c r="Z29" s="19">
        <f>$Z$17*$A$28*INPUT!$F$96</f>
        <v>740152.97306550923</v>
      </c>
      <c r="AA29" s="19">
        <f>$AA$17*$A$28</f>
        <v>345000</v>
      </c>
      <c r="AB29" s="24">
        <f>W29+X29+Y29+Z29+AA29</f>
        <v>3416232.4968471676</v>
      </c>
      <c r="AC29" s="24"/>
      <c r="AD29" s="19"/>
      <c r="AG29" s="7">
        <f>$AG$20</f>
        <v>329.9425</v>
      </c>
      <c r="AH29" s="19">
        <f>$AH$17*E29</f>
        <v>1712579.9999999998</v>
      </c>
      <c r="AI29" s="19">
        <f>$AI$17*$A$28*INPUT!$E$96</f>
        <v>903976.62277092075</v>
      </c>
      <c r="AJ29" s="19">
        <f>$A$28*$AJ$17*INPUT!$F$96</f>
        <v>725496.47854936076</v>
      </c>
      <c r="AK29" s="19">
        <f>$A$28*$AK$17</f>
        <v>439500</v>
      </c>
      <c r="AL29" s="24">
        <f>AG29+AH29+AI29+AJ29+AK29</f>
        <v>3781883.043820281</v>
      </c>
      <c r="AM29" s="84">
        <f t="shared" si="7"/>
        <v>4203.1180686662738</v>
      </c>
      <c r="AN29" s="84">
        <f t="shared" si="8"/>
        <v>-37230</v>
      </c>
      <c r="AO29" s="19"/>
      <c r="AP29" s="17"/>
      <c r="AQ29" s="38"/>
      <c r="AR29" s="17"/>
      <c r="AS29" s="394"/>
    </row>
    <row r="30" spans="1:45" x14ac:dyDescent="0.25">
      <c r="C30" s="13">
        <v>0.7</v>
      </c>
      <c r="E30" s="1">
        <f>C30*($A$28*730)</f>
        <v>76650000</v>
      </c>
      <c r="F30" s="1"/>
      <c r="G30" s="28">
        <f t="shared" si="0"/>
        <v>3979719.4968471676</v>
      </c>
      <c r="H30" s="28">
        <f>+AL30</f>
        <v>4466915.0438202806</v>
      </c>
      <c r="I30" s="28">
        <f t="shared" si="1"/>
        <v>5884.3652961327834</v>
      </c>
      <c r="J30" s="90">
        <f t="shared" si="2"/>
        <v>481311.18167698011</v>
      </c>
      <c r="K30" s="54">
        <f>ROUND(+J30/G30,4)</f>
        <v>0.12089999999999999</v>
      </c>
      <c r="L30" s="28">
        <f>ROUND($X$10*$E30,2)</f>
        <v>-107052.31</v>
      </c>
      <c r="M30" s="28">
        <f>ROUND($X$11*$E30,2)</f>
        <v>0</v>
      </c>
      <c r="N30" s="28">
        <f>ROUND($X$12*$E30,2)</f>
        <v>40759.660000000003</v>
      </c>
      <c r="O30" s="28">
        <f t="shared" si="3"/>
        <v>3919311.2121433006</v>
      </c>
      <c r="P30" s="28">
        <f>+H30+L30+M30+N30</f>
        <v>4400622.3938202811</v>
      </c>
      <c r="Q30" s="54">
        <f>ROUND((P30-O30)/O30,4)</f>
        <v>0.12280000000000001</v>
      </c>
      <c r="R30" s="28">
        <f t="shared" si="4"/>
        <v>-52122.000000000007</v>
      </c>
      <c r="S30" s="90">
        <f t="shared" si="5"/>
        <v>4348500.3938202811</v>
      </c>
      <c r="T30" s="91">
        <f t="shared" si="6"/>
        <v>0.1095</v>
      </c>
      <c r="U30" s="1"/>
      <c r="W30" s="7">
        <f>$W$20</f>
        <v>329.9425</v>
      </c>
      <c r="X30" s="19">
        <f>$X$17*E30</f>
        <v>1972204.5</v>
      </c>
      <c r="Y30" s="19">
        <f>$Y$17*$A$28*INPUT!$E$96</f>
        <v>922032.08128165815</v>
      </c>
      <c r="Z30" s="19">
        <f>$Z$17*$A$28*INPUT!$F$96</f>
        <v>740152.97306550923</v>
      </c>
      <c r="AA30" s="19">
        <f>$AA$17*$A$28</f>
        <v>345000</v>
      </c>
      <c r="AB30" s="24">
        <f>W30+X30+Y30+Z30+AA30</f>
        <v>3979719.4968471676</v>
      </c>
      <c r="AC30" s="24"/>
      <c r="AD30" s="19"/>
      <c r="AG30" s="7">
        <f>$AG$20</f>
        <v>329.9425</v>
      </c>
      <c r="AH30" s="19">
        <f>$AH$17*E30</f>
        <v>2397611.9999999995</v>
      </c>
      <c r="AI30" s="19">
        <f>$AI$17*$A$28*INPUT!$E$96</f>
        <v>903976.62277092075</v>
      </c>
      <c r="AJ30" s="19">
        <f>$A$28*$AJ$17*INPUT!$F$96</f>
        <v>725496.47854936076</v>
      </c>
      <c r="AK30" s="19">
        <f>$A$28*$AK$17</f>
        <v>439500</v>
      </c>
      <c r="AL30" s="24">
        <f>AG30+AH30+AI30+AJ30+AK30</f>
        <v>4466915.0438202806</v>
      </c>
      <c r="AM30" s="84">
        <f t="shared" si="7"/>
        <v>5884.3652961327834</v>
      </c>
      <c r="AN30" s="84">
        <f t="shared" si="8"/>
        <v>-52122.000000000007</v>
      </c>
      <c r="AO30" s="19"/>
      <c r="AP30" s="17"/>
      <c r="AQ30" s="38"/>
      <c r="AR30" s="17"/>
      <c r="AS30" s="394"/>
    </row>
    <row r="31" spans="1:45" x14ac:dyDescent="0.25">
      <c r="C31" s="13"/>
      <c r="E31" s="1"/>
      <c r="F31" s="1"/>
      <c r="G31" s="28"/>
      <c r="H31" s="28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19"/>
      <c r="AB31" s="24"/>
      <c r="AC31" s="24"/>
      <c r="AG31" s="7"/>
      <c r="AH31" s="19"/>
      <c r="AI31" s="19"/>
      <c r="AJ31" s="19"/>
      <c r="AK31" s="19"/>
      <c r="AL31" s="24"/>
      <c r="AM31" s="84"/>
      <c r="AN31" s="84"/>
      <c r="AP31" s="17"/>
      <c r="AQ31" s="84"/>
      <c r="AR31" s="17"/>
      <c r="AS31" s="84"/>
    </row>
    <row r="32" spans="1:45" x14ac:dyDescent="0.25">
      <c r="A32" s="1">
        <v>200000</v>
      </c>
      <c r="B32" s="1"/>
      <c r="C32" s="13">
        <v>0.3</v>
      </c>
      <c r="E32" s="1">
        <f>C32*($A$32*730)</f>
        <v>43800000</v>
      </c>
      <c r="F32" s="1"/>
      <c r="G32" s="28">
        <f t="shared" si="0"/>
        <v>3803550.6816295562</v>
      </c>
      <c r="H32" s="28">
        <f>+AL32</f>
        <v>4129024.7442603745</v>
      </c>
      <c r="I32" s="28">
        <f t="shared" si="1"/>
        <v>3362.4944549330189</v>
      </c>
      <c r="J32" s="90">
        <f t="shared" si="2"/>
        <v>322111.56817588536</v>
      </c>
      <c r="K32" s="54">
        <f>ROUND(+J32/G32,4)</f>
        <v>8.4699999999999998E-2</v>
      </c>
      <c r="L32" s="28">
        <f>ROUND($X$10*$E32,2)</f>
        <v>-61172.75</v>
      </c>
      <c r="M32" s="28">
        <f>ROUND($X$11*$E32,2)</f>
        <v>0</v>
      </c>
      <c r="N32" s="28">
        <f>ROUND($X$12*$E32,2)</f>
        <v>23291.24</v>
      </c>
      <c r="O32" s="28">
        <f t="shared" si="3"/>
        <v>3769031.6660844893</v>
      </c>
      <c r="P32" s="28">
        <f>+H32+L32+M32+N32</f>
        <v>4091143.2342603747</v>
      </c>
      <c r="Q32" s="54">
        <f>ROUND((P32-O32)/O32,4)</f>
        <v>8.5500000000000007E-2</v>
      </c>
      <c r="R32" s="28">
        <f t="shared" si="4"/>
        <v>-29784.000000000004</v>
      </c>
      <c r="S32" s="90">
        <f t="shared" si="5"/>
        <v>4061359.2342603747</v>
      </c>
      <c r="T32" s="91">
        <f t="shared" si="6"/>
        <v>7.7600000000000002E-2</v>
      </c>
      <c r="U32" s="1"/>
      <c r="W32" s="7">
        <f>$W$20</f>
        <v>329.9425</v>
      </c>
      <c r="X32" s="19">
        <f>$X$17*E32</f>
        <v>1126974</v>
      </c>
      <c r="Y32" s="19">
        <f>$Y$17*$A$32*INPUT!$E$96</f>
        <v>1229376.1083755442</v>
      </c>
      <c r="Z32" s="19">
        <f>$Z$17*$A$32*INPUT!$F$96</f>
        <v>986870.63075401238</v>
      </c>
      <c r="AA32" s="19">
        <f>$AA$17*$A$32</f>
        <v>459999.99999999994</v>
      </c>
      <c r="AB32" s="24">
        <f>W32+X32+Y32+Z32+AA32</f>
        <v>3803550.6816295562</v>
      </c>
      <c r="AC32" s="24"/>
      <c r="AD32" s="19"/>
      <c r="AG32" s="7">
        <f>$AG$20</f>
        <v>329.9425</v>
      </c>
      <c r="AH32" s="19">
        <f>$AH$17*E32</f>
        <v>1370063.9999999998</v>
      </c>
      <c r="AI32" s="19">
        <f>$AI$17*$A$32*INPUT!$E$96</f>
        <v>1205302.163694561</v>
      </c>
      <c r="AJ32" s="19">
        <f>$A$32*$AJ$17*INPUT!$F$96</f>
        <v>967328.63806581416</v>
      </c>
      <c r="AK32" s="19">
        <f>$A$32*$AK$17</f>
        <v>586000</v>
      </c>
      <c r="AL32" s="24">
        <f>AG32+AH32+AI32+AJ32+AK32</f>
        <v>4129024.7442603745</v>
      </c>
      <c r="AM32" s="84">
        <f t="shared" si="7"/>
        <v>3362.4944549330189</v>
      </c>
      <c r="AN32" s="84">
        <f t="shared" si="8"/>
        <v>-29784.000000000004</v>
      </c>
      <c r="AO32" s="19"/>
      <c r="AP32" s="17"/>
      <c r="AQ32" s="38"/>
      <c r="AR32" s="17"/>
      <c r="AS32" s="394"/>
    </row>
    <row r="33" spans="1:45" x14ac:dyDescent="0.25">
      <c r="C33" s="13">
        <v>0.5</v>
      </c>
      <c r="E33" s="1">
        <f>C33*($A$32*730)</f>
        <v>73000000</v>
      </c>
      <c r="F33" s="1"/>
      <c r="G33" s="28">
        <f t="shared" si="0"/>
        <v>4554866.6816295562</v>
      </c>
      <c r="H33" s="28">
        <f>+AL33</f>
        <v>5042400.7442603745</v>
      </c>
      <c r="I33" s="28">
        <f t="shared" si="1"/>
        <v>5604.1574248883653</v>
      </c>
      <c r="J33" s="90">
        <f t="shared" si="2"/>
        <v>481929.90520592965</v>
      </c>
      <c r="K33" s="54">
        <f>ROUND(+J33/G33,4)</f>
        <v>0.10580000000000001</v>
      </c>
      <c r="L33" s="28">
        <f>ROUND($X$10*$E33,2)</f>
        <v>-101954.58</v>
      </c>
      <c r="M33" s="28">
        <f>ROUND($X$11*$E33,2)</f>
        <v>0</v>
      </c>
      <c r="N33" s="28">
        <f>ROUND($X$12*$E33,2)</f>
        <v>38818.730000000003</v>
      </c>
      <c r="O33" s="28">
        <f t="shared" si="3"/>
        <v>4497334.9890544452</v>
      </c>
      <c r="P33" s="28">
        <f>+H33+L33+M33+N33</f>
        <v>4979264.8942603748</v>
      </c>
      <c r="Q33" s="54">
        <f>ROUND((P33-O33)/O33,4)</f>
        <v>0.1072</v>
      </c>
      <c r="R33" s="28">
        <f t="shared" si="4"/>
        <v>-49640</v>
      </c>
      <c r="S33" s="90">
        <f t="shared" si="5"/>
        <v>4929624.8942603748</v>
      </c>
      <c r="T33" s="91">
        <f t="shared" si="6"/>
        <v>9.6100000000000005E-2</v>
      </c>
      <c r="U33" s="1"/>
      <c r="W33" s="7">
        <f>$W$20</f>
        <v>329.9425</v>
      </c>
      <c r="X33" s="19">
        <f>$X$17*E33</f>
        <v>1878290</v>
      </c>
      <c r="Y33" s="19">
        <f>$Y$17*$A$32*INPUT!$E$96</f>
        <v>1229376.1083755442</v>
      </c>
      <c r="Z33" s="19">
        <f>$Z$17*$A$32*INPUT!$F$96</f>
        <v>986870.63075401238</v>
      </c>
      <c r="AA33" s="19">
        <f>$AA$17*$A$32</f>
        <v>459999.99999999994</v>
      </c>
      <c r="AB33" s="24">
        <f>W33+X33+Y33+Z33+AA33</f>
        <v>4554866.6816295562</v>
      </c>
      <c r="AC33" s="24"/>
      <c r="AD33" s="19"/>
      <c r="AG33" s="7">
        <f>$AG$20</f>
        <v>329.9425</v>
      </c>
      <c r="AH33" s="19">
        <f>$AH$17*E33</f>
        <v>2283439.9999999995</v>
      </c>
      <c r="AI33" s="19">
        <f>$AI$17*$A$32*INPUT!$E$96</f>
        <v>1205302.163694561</v>
      </c>
      <c r="AJ33" s="19">
        <f>$A$32*$AJ$17*INPUT!$F$96</f>
        <v>967328.63806581416</v>
      </c>
      <c r="AK33" s="19">
        <f>$A$32*$AK$17</f>
        <v>586000</v>
      </c>
      <c r="AL33" s="24">
        <f>AG33+AH33+AI33+AJ33+AK33</f>
        <v>5042400.7442603745</v>
      </c>
      <c r="AM33" s="84">
        <f t="shared" si="7"/>
        <v>5604.1574248883653</v>
      </c>
      <c r="AN33" s="84">
        <f t="shared" si="8"/>
        <v>-49640</v>
      </c>
      <c r="AO33" s="19"/>
      <c r="AP33" s="17"/>
      <c r="AQ33" s="38"/>
      <c r="AR33" s="17"/>
      <c r="AS33" s="394"/>
    </row>
    <row r="34" spans="1:45" x14ac:dyDescent="0.25">
      <c r="C34" s="13">
        <v>0.7</v>
      </c>
      <c r="E34" s="1">
        <f>C34*($A$32*730)</f>
        <v>102200000</v>
      </c>
      <c r="F34" s="1"/>
      <c r="G34" s="28">
        <f t="shared" si="0"/>
        <v>5306182.6816295562</v>
      </c>
      <c r="H34" s="28">
        <f>+AL34</f>
        <v>5955776.7442603745</v>
      </c>
      <c r="I34" s="28">
        <f t="shared" si="1"/>
        <v>7845.8203948437113</v>
      </c>
      <c r="J34" s="90">
        <f t="shared" si="2"/>
        <v>641748.24223597441</v>
      </c>
      <c r="K34" s="54">
        <f>ROUND(+J34/G34,4)</f>
        <v>0.12089999999999999</v>
      </c>
      <c r="L34" s="28">
        <f>ROUND($X$10*$E34,2)</f>
        <v>-142736.41</v>
      </c>
      <c r="M34" s="28">
        <f>ROUND($X$11*$E34,2)</f>
        <v>0</v>
      </c>
      <c r="N34" s="28">
        <f>ROUND($X$12*$E34,2)</f>
        <v>54346.22</v>
      </c>
      <c r="O34" s="28">
        <f t="shared" si="3"/>
        <v>5225638.3120243996</v>
      </c>
      <c r="P34" s="28">
        <f>+H34+L34+M34+N34</f>
        <v>5867386.554260374</v>
      </c>
      <c r="Q34" s="54">
        <f>ROUND((P34-O34)/O34,4)</f>
        <v>0.12280000000000001</v>
      </c>
      <c r="R34" s="28">
        <f t="shared" si="4"/>
        <v>-69496</v>
      </c>
      <c r="S34" s="90">
        <f t="shared" si="5"/>
        <v>5797890.554260374</v>
      </c>
      <c r="T34" s="91">
        <f t="shared" si="6"/>
        <v>0.1095</v>
      </c>
      <c r="U34" s="1"/>
      <c r="W34" s="7">
        <f>$W$20</f>
        <v>329.9425</v>
      </c>
      <c r="X34" s="19">
        <f>$X$17*E34</f>
        <v>2629606</v>
      </c>
      <c r="Y34" s="19">
        <f>$Y$17*$A$32*INPUT!$E$96</f>
        <v>1229376.1083755442</v>
      </c>
      <c r="Z34" s="19">
        <f>$Z$17*$A$32*INPUT!$F$96</f>
        <v>986870.63075401238</v>
      </c>
      <c r="AA34" s="19">
        <f>$AA$17*$A$32</f>
        <v>459999.99999999994</v>
      </c>
      <c r="AB34" s="24">
        <f>W34+X34+Y34+Z34+AA34</f>
        <v>5306182.6816295562</v>
      </c>
      <c r="AC34" s="24"/>
      <c r="AD34" s="19"/>
      <c r="AG34" s="7">
        <f>$AG$20</f>
        <v>329.9425</v>
      </c>
      <c r="AH34" s="19">
        <f>$AH$17*E34</f>
        <v>3196815.9999999995</v>
      </c>
      <c r="AI34" s="19">
        <f>$AI$17*$A$32*INPUT!$E$96</f>
        <v>1205302.163694561</v>
      </c>
      <c r="AJ34" s="19">
        <f>$A$32*$AJ$17*INPUT!$F$96</f>
        <v>967328.63806581416</v>
      </c>
      <c r="AK34" s="19">
        <f>$A$32*$AK$17</f>
        <v>586000</v>
      </c>
      <c r="AL34" s="24">
        <f>AG34+AH34+AI34+AJ34+AK34</f>
        <v>5955776.7442603745</v>
      </c>
      <c r="AM34" s="84">
        <f t="shared" si="7"/>
        <v>7845.8203948437113</v>
      </c>
      <c r="AN34" s="84">
        <f t="shared" si="8"/>
        <v>-69496</v>
      </c>
      <c r="AO34" s="19"/>
      <c r="AP34" s="17"/>
      <c r="AQ34" s="38"/>
      <c r="AR34" s="17"/>
      <c r="AS34" s="394"/>
    </row>
    <row r="35" spans="1:45" x14ac:dyDescent="0.25">
      <c r="C35" s="13"/>
      <c r="E35" s="1"/>
      <c r="F35" s="1"/>
      <c r="G35" s="28"/>
      <c r="H35" s="28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19"/>
      <c r="AB35" s="24"/>
      <c r="AC35" s="24"/>
      <c r="AG35" s="7"/>
      <c r="AH35" s="19"/>
      <c r="AI35" s="19"/>
      <c r="AJ35" s="19"/>
      <c r="AK35" s="19"/>
      <c r="AL35" s="24"/>
      <c r="AM35" s="84"/>
      <c r="AN35" s="84"/>
      <c r="AP35" s="17"/>
      <c r="AQ35" s="84"/>
      <c r="AR35" s="17"/>
      <c r="AS35" s="84"/>
    </row>
    <row r="36" spans="1:45" x14ac:dyDescent="0.25">
      <c r="A36" s="1">
        <v>250000</v>
      </c>
      <c r="B36" s="1"/>
      <c r="C36" s="13">
        <v>0.3</v>
      </c>
      <c r="E36" s="1">
        <f>C36*($A$36*730)</f>
        <v>54750000</v>
      </c>
      <c r="F36" s="1"/>
      <c r="G36" s="28">
        <f t="shared" si="0"/>
        <v>4754355.8664119458</v>
      </c>
      <c r="H36" s="28">
        <f>+AL36</f>
        <v>5161198.4447004683</v>
      </c>
      <c r="I36" s="28">
        <f t="shared" si="1"/>
        <v>4203.1180686662738</v>
      </c>
      <c r="J36" s="90">
        <f t="shared" si="2"/>
        <v>402639.46021985635</v>
      </c>
      <c r="K36" s="54">
        <f>ROUND(+J36/G36,4)</f>
        <v>8.4699999999999998E-2</v>
      </c>
      <c r="L36" s="28">
        <f>ROUND($X$10*$E36,2)</f>
        <v>-76465.929999999993</v>
      </c>
      <c r="M36" s="28">
        <f>ROUND($X$11*$E36,2)</f>
        <v>0</v>
      </c>
      <c r="N36" s="28">
        <f>ROUND($X$12*$E36,2)</f>
        <v>29114.05</v>
      </c>
      <c r="O36" s="28">
        <f t="shared" si="3"/>
        <v>4711207.1044806121</v>
      </c>
      <c r="P36" s="28">
        <f>+H36+L36+M36+N36</f>
        <v>5113846.5647004684</v>
      </c>
      <c r="Q36" s="54">
        <f>ROUND((P36-O36)/O36,4)</f>
        <v>8.5500000000000007E-2</v>
      </c>
      <c r="R36" s="28">
        <f t="shared" si="4"/>
        <v>-37230</v>
      </c>
      <c r="S36" s="90">
        <f t="shared" si="5"/>
        <v>5076616.5647004684</v>
      </c>
      <c r="T36" s="91">
        <f t="shared" si="6"/>
        <v>7.7600000000000002E-2</v>
      </c>
      <c r="U36" s="1"/>
      <c r="W36" s="7">
        <f>$W$20</f>
        <v>329.9425</v>
      </c>
      <c r="X36" s="19">
        <f>$X$17*E36</f>
        <v>1408717.5</v>
      </c>
      <c r="Y36" s="19">
        <f>$Y$17*$A$36*INPUT!$E$96</f>
        <v>1536720.1354694304</v>
      </c>
      <c r="Z36" s="19">
        <f>$Z$17*$A$36*INPUT!$F$96</f>
        <v>1233588.2884425155</v>
      </c>
      <c r="AA36" s="19">
        <f>$AA$17*$A$36</f>
        <v>575000</v>
      </c>
      <c r="AB36" s="24">
        <f>W36+X36+Y36+Z36+AA36</f>
        <v>4754355.8664119458</v>
      </c>
      <c r="AC36" s="24"/>
      <c r="AD36" s="19"/>
      <c r="AG36" s="7">
        <f>$AG$20</f>
        <v>329.9425</v>
      </c>
      <c r="AH36" s="19">
        <f>$AH$17*E36</f>
        <v>1712579.9999999998</v>
      </c>
      <c r="AI36" s="19">
        <f>$AI$17*$A$36*INPUT!$E$96</f>
        <v>1506627.7046182014</v>
      </c>
      <c r="AJ36" s="19">
        <f>$A$36*$AJ$17*INPUT!$F$96</f>
        <v>1209160.7975822678</v>
      </c>
      <c r="AK36" s="19">
        <f>$A$36*$AK$17</f>
        <v>732500</v>
      </c>
      <c r="AL36" s="24">
        <f>AG36+AH36+AI36+AJ36+AK36</f>
        <v>5161198.4447004683</v>
      </c>
      <c r="AM36" s="84">
        <f t="shared" si="7"/>
        <v>4203.1180686662738</v>
      </c>
      <c r="AN36" s="84">
        <f t="shared" si="8"/>
        <v>-37230</v>
      </c>
      <c r="AO36" s="19"/>
      <c r="AP36" s="17"/>
      <c r="AQ36" s="38"/>
      <c r="AR36" s="17"/>
      <c r="AS36" s="394"/>
    </row>
    <row r="37" spans="1:45" x14ac:dyDescent="0.25">
      <c r="C37" s="13">
        <v>0.5</v>
      </c>
      <c r="E37" s="1">
        <f>C37*($A$36*730)</f>
        <v>91250000</v>
      </c>
      <c r="F37" s="1"/>
      <c r="G37" s="28">
        <f t="shared" si="0"/>
        <v>5693500.8664119458</v>
      </c>
      <c r="H37" s="28">
        <f>+AL37</f>
        <v>6302918.4447004683</v>
      </c>
      <c r="I37" s="28">
        <f t="shared" si="1"/>
        <v>7005.196781110456</v>
      </c>
      <c r="J37" s="90">
        <f t="shared" si="2"/>
        <v>602412.38150741253</v>
      </c>
      <c r="K37" s="54">
        <f>ROUND(+J37/G37,4)</f>
        <v>0.10580000000000001</v>
      </c>
      <c r="L37" s="28">
        <f>ROUND($X$10*$E37,2)</f>
        <v>-127443.22</v>
      </c>
      <c r="M37" s="28">
        <f>ROUND($X$11*$E37,2)</f>
        <v>0</v>
      </c>
      <c r="N37" s="28">
        <f>ROUND($X$12*$E37,2)</f>
        <v>48523.41</v>
      </c>
      <c r="O37" s="28">
        <f t="shared" si="3"/>
        <v>5621586.2531930562</v>
      </c>
      <c r="P37" s="28">
        <f>+H37+L37+M37+N37</f>
        <v>6223998.6347004687</v>
      </c>
      <c r="Q37" s="54">
        <f>ROUND((P37-O37)/O37,4)</f>
        <v>0.1072</v>
      </c>
      <c r="R37" s="28">
        <f t="shared" si="4"/>
        <v>-62050.000000000007</v>
      </c>
      <c r="S37" s="90">
        <f t="shared" si="5"/>
        <v>6161948.6347004687</v>
      </c>
      <c r="T37" s="91">
        <f t="shared" si="6"/>
        <v>9.6100000000000005E-2</v>
      </c>
      <c r="U37" s="1"/>
      <c r="W37" s="7">
        <f>$W$20</f>
        <v>329.9425</v>
      </c>
      <c r="X37" s="19">
        <f>$X$17*E37</f>
        <v>2347862.5</v>
      </c>
      <c r="Y37" s="19">
        <f>$Y$17*$A$36*INPUT!$E$96</f>
        <v>1536720.1354694304</v>
      </c>
      <c r="Z37" s="19">
        <f>$Z$17*$A$36*INPUT!$F$96</f>
        <v>1233588.2884425155</v>
      </c>
      <c r="AA37" s="19">
        <f>$AA$17*$A$36</f>
        <v>575000</v>
      </c>
      <c r="AB37" s="24">
        <f>W37+X37+Y37+Z37+AA37</f>
        <v>5693500.8664119458</v>
      </c>
      <c r="AC37" s="24"/>
      <c r="AD37" s="19"/>
      <c r="AG37" s="7">
        <f>$AG$20</f>
        <v>329.9425</v>
      </c>
      <c r="AH37" s="19">
        <f>$AH$17*E37</f>
        <v>2854299.9999999995</v>
      </c>
      <c r="AI37" s="19">
        <f>$AI$17*$A$36*INPUT!$E$96</f>
        <v>1506627.7046182014</v>
      </c>
      <c r="AJ37" s="19">
        <f>$A$36*$AJ$17*INPUT!$F$96</f>
        <v>1209160.7975822678</v>
      </c>
      <c r="AK37" s="19">
        <f>$A$36*$AK$17</f>
        <v>732500</v>
      </c>
      <c r="AL37" s="24">
        <f>AG37+AH37+AI37+AJ37+AK37</f>
        <v>6302918.4447004683</v>
      </c>
      <c r="AM37" s="84">
        <f t="shared" si="7"/>
        <v>7005.196781110456</v>
      </c>
      <c r="AN37" s="84">
        <f t="shared" si="8"/>
        <v>-62050.000000000007</v>
      </c>
      <c r="AO37" s="19"/>
      <c r="AP37" s="17"/>
      <c r="AQ37" s="38"/>
      <c r="AR37" s="17"/>
      <c r="AS37" s="394"/>
    </row>
    <row r="38" spans="1:45" x14ac:dyDescent="0.25">
      <c r="C38" s="13">
        <v>0.7</v>
      </c>
      <c r="E38" s="1">
        <f>C38*($A$36*730)</f>
        <v>127749999.99999999</v>
      </c>
      <c r="F38" s="1"/>
      <c r="G38" s="28">
        <f t="shared" si="0"/>
        <v>6632645.8664119458</v>
      </c>
      <c r="H38" s="28">
        <f>+AL38</f>
        <v>7444638.4447004683</v>
      </c>
      <c r="I38" s="28">
        <f t="shared" si="1"/>
        <v>9807.2754935546382</v>
      </c>
      <c r="J38" s="90">
        <f>+H38-(I38+G38)</f>
        <v>802185.30279496778</v>
      </c>
      <c r="K38" s="54">
        <f>ROUND(+J38/G38,4)</f>
        <v>0.12089999999999999</v>
      </c>
      <c r="L38" s="28">
        <f>ROUND($X$10*$E38,2)</f>
        <v>-178420.51</v>
      </c>
      <c r="M38" s="28">
        <f>ROUND($X$11*$E38,2)</f>
        <v>0</v>
      </c>
      <c r="N38" s="28">
        <f>ROUND($X$12*$E38,2)</f>
        <v>67932.77</v>
      </c>
      <c r="O38" s="28">
        <f>+G38+I38+L38+M38+N38</f>
        <v>6531965.4019055003</v>
      </c>
      <c r="P38" s="28">
        <f>+H38+L38+M38+N38</f>
        <v>7334150.7047004681</v>
      </c>
      <c r="Q38" s="54">
        <f>ROUND((P38-O38)/O38,4)</f>
        <v>0.12280000000000001</v>
      </c>
      <c r="R38" s="28">
        <f t="shared" si="4"/>
        <v>-86870</v>
      </c>
      <c r="S38" s="90">
        <f t="shared" si="5"/>
        <v>7247280.7047004681</v>
      </c>
      <c r="T38" s="91">
        <f t="shared" si="6"/>
        <v>0.1095</v>
      </c>
      <c r="U38" s="1"/>
      <c r="W38" s="7">
        <f>$W$20</f>
        <v>329.9425</v>
      </c>
      <c r="X38" s="19">
        <f>$X$17*E38</f>
        <v>3287007.4999999995</v>
      </c>
      <c r="Y38" s="19">
        <f>$Y$17*$A$36*INPUT!$E$96</f>
        <v>1536720.1354694304</v>
      </c>
      <c r="Z38" s="19">
        <f>$Z$17*$A$36*INPUT!$F$96</f>
        <v>1233588.2884425155</v>
      </c>
      <c r="AA38" s="19">
        <f>$AA$17*$A$36</f>
        <v>575000</v>
      </c>
      <c r="AB38" s="24">
        <f>W38+X38+Y38+Z38+AA38</f>
        <v>6632645.8664119458</v>
      </c>
      <c r="AC38" s="24"/>
      <c r="AD38" s="19"/>
      <c r="AG38" s="7">
        <f>$AG$20</f>
        <v>329.9425</v>
      </c>
      <c r="AH38" s="19">
        <f>$AH$17*E38</f>
        <v>3996019.9999999991</v>
      </c>
      <c r="AI38" s="19">
        <f>$AI$17*$A$36*INPUT!$E$96</f>
        <v>1506627.7046182014</v>
      </c>
      <c r="AJ38" s="19">
        <f>$A$36*$AJ$17*INPUT!$F$96</f>
        <v>1209160.7975822678</v>
      </c>
      <c r="AK38" s="19">
        <f>$A$36*$AK$17</f>
        <v>732500</v>
      </c>
      <c r="AL38" s="24">
        <f>AG38+AH38+AI38+AJ38+AK38</f>
        <v>7444638.4447004683</v>
      </c>
      <c r="AM38" s="84">
        <f>$AM$17*E38</f>
        <v>9807.2754935546382</v>
      </c>
      <c r="AN38" s="84">
        <f>$AN$17*E38</f>
        <v>-86870</v>
      </c>
      <c r="AO38" s="19"/>
      <c r="AP38" s="17"/>
      <c r="AQ38" s="38"/>
      <c r="AR38" s="17"/>
      <c r="AS38" s="394"/>
    </row>
    <row r="39" spans="1:45" x14ac:dyDescent="0.25">
      <c r="X39" s="19"/>
      <c r="Y39" s="19"/>
      <c r="Z39" s="19"/>
      <c r="AA39" s="19"/>
      <c r="AB39" s="19"/>
      <c r="AC39" s="19"/>
      <c r="AI39" s="19"/>
    </row>
    <row r="40" spans="1:45" x14ac:dyDescent="0.25">
      <c r="A40" s="17" t="s">
        <v>301</v>
      </c>
      <c r="N40" s="51"/>
      <c r="X40" s="19"/>
      <c r="Y40" s="19"/>
      <c r="Z40" s="19"/>
      <c r="AA40" s="19"/>
      <c r="AB40" s="19"/>
      <c r="AC40" s="19"/>
    </row>
    <row r="41" spans="1:45" x14ac:dyDescent="0.25">
      <c r="A41" s="174" t="str">
        <f>("Average Usage = "&amp;TEXT(INPUT!$O26*1,"0")&amp;" kWh per month")</f>
        <v>Average Usage = 0 kWh per month</v>
      </c>
      <c r="G41" s="29" t="s">
        <v>315</v>
      </c>
      <c r="X41" s="19"/>
      <c r="Y41" s="19"/>
      <c r="Z41" s="19"/>
      <c r="AA41" s="19"/>
      <c r="AB41" s="19"/>
      <c r="AC41" s="19"/>
    </row>
    <row r="42" spans="1:45" x14ac:dyDescent="0.25">
      <c r="A42" s="174" t="str">
        <f>("Average Demand = "&amp;TEXT(INPUT!I109,"0")&amp;" kVA per month")</f>
        <v>Average Demand = 0 kVA per month</v>
      </c>
      <c r="G42" s="29"/>
      <c r="X42" s="19"/>
      <c r="Y42" s="19"/>
      <c r="Z42" s="19"/>
      <c r="AA42" s="19"/>
      <c r="AB42" s="19"/>
      <c r="AC42" s="19"/>
    </row>
    <row r="43" spans="1:45" x14ac:dyDescent="0.25">
      <c r="A43" s="175" t="s">
        <v>302</v>
      </c>
      <c r="C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I43" s="30"/>
      <c r="AJ43" s="19"/>
      <c r="AK43" s="19"/>
      <c r="AL43" s="19"/>
      <c r="AM43" s="19"/>
      <c r="AN43" s="19"/>
      <c r="AO43" s="19"/>
      <c r="AP43" s="19"/>
      <c r="AQ43" s="6"/>
    </row>
    <row r="44" spans="1:45" x14ac:dyDescent="0.25">
      <c r="A44" s="176" t="s">
        <v>606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X44" s="12"/>
      <c r="AI44" s="9"/>
    </row>
    <row r="45" spans="1:45" ht="13" x14ac:dyDescent="0.3">
      <c r="A45" s="175" t="str">
        <f>+'Rate Case Constants'!$C$26</f>
        <v>Calculations may vary from other schedules due to rounding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E45" s="3"/>
      <c r="AF45" s="2"/>
      <c r="AG45" s="3"/>
      <c r="AI45" s="3"/>
    </row>
    <row r="46" spans="1:45" x14ac:dyDescent="0.25">
      <c r="AI46" s="9"/>
    </row>
    <row r="47" spans="1:45" ht="13" x14ac:dyDescent="0.3">
      <c r="A47" s="178"/>
      <c r="W47" s="3"/>
      <c r="AA47" s="3"/>
      <c r="AE47" s="3"/>
      <c r="AI47" s="9"/>
    </row>
    <row r="48" spans="1:45" ht="1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E48" s="3"/>
      <c r="AF48" s="2"/>
      <c r="AG48" s="3"/>
      <c r="AI48" s="3"/>
    </row>
    <row r="49" spans="2:35" ht="1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E49" s="3"/>
      <c r="AF49" s="2"/>
      <c r="AG49" s="3"/>
      <c r="AI49" s="3"/>
    </row>
    <row r="50" spans="2:35" ht="1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</row>
    <row r="51" spans="2:35" x14ac:dyDescent="0.25">
      <c r="B51" s="1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7"/>
      <c r="X51" s="12"/>
      <c r="AA51" s="12"/>
      <c r="AB51" s="12"/>
      <c r="AC51" s="12"/>
      <c r="AE51" s="6"/>
      <c r="AG51" s="6"/>
      <c r="AI51" s="9"/>
    </row>
    <row r="52" spans="2:35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7"/>
      <c r="X52" s="12"/>
      <c r="AA52" s="12"/>
      <c r="AB52" s="12"/>
      <c r="AC52" s="12"/>
      <c r="AE52" s="6"/>
      <c r="AG52" s="6"/>
      <c r="AI52" s="9"/>
    </row>
    <row r="53" spans="2:35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7"/>
      <c r="X53" s="12"/>
      <c r="AA53" s="12"/>
      <c r="AB53" s="12"/>
      <c r="AC53" s="12"/>
      <c r="AE53" s="6"/>
      <c r="AG53" s="6"/>
      <c r="AI53" s="9"/>
    </row>
    <row r="54" spans="2:35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7"/>
      <c r="X54" s="12"/>
      <c r="AA54" s="12"/>
      <c r="AB54" s="12"/>
      <c r="AC54" s="12"/>
      <c r="AE54" s="6"/>
      <c r="AF54" s="10"/>
      <c r="AG54" s="6"/>
      <c r="AH54" s="10"/>
      <c r="AI54" s="9"/>
    </row>
    <row r="55" spans="2:35" ht="6.75" customHeight="1" x14ac:dyDescent="0.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F55" s="10"/>
      <c r="AG55" s="6"/>
      <c r="AH55" s="10"/>
      <c r="AI55" s="9"/>
    </row>
    <row r="56" spans="2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2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2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G58" s="6"/>
      <c r="AI58" s="9"/>
    </row>
    <row r="59" spans="2:35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G59" s="6"/>
      <c r="AI59" s="9"/>
    </row>
    <row r="60" spans="2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2:35" ht="6.75" customHeight="1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2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2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2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ht="1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</row>
    <row r="67" spans="5:41" ht="1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I68" s="9"/>
    </row>
    <row r="69" spans="5:41" x14ac:dyDescent="0.25">
      <c r="AL69" s="4"/>
      <c r="AM69" s="4"/>
      <c r="AN69" s="4"/>
      <c r="AO69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59999389629810485"/>
  </sheetPr>
  <dimension ref="A1:AB209"/>
  <sheetViews>
    <sheetView zoomScale="80" zoomScaleNormal="80" zoomScaleSheetLayoutView="80" workbookViewId="0">
      <selection sqref="A1:O1"/>
    </sheetView>
  </sheetViews>
  <sheetFormatPr defaultColWidth="9.1796875" defaultRowHeight="12.5" x14ac:dyDescent="0.25"/>
  <cols>
    <col min="1" max="1" width="52.453125" style="29" customWidth="1"/>
    <col min="2" max="2" width="8.54296875" style="39" bestFit="1" customWidth="1"/>
    <col min="3" max="4" width="10.1796875" style="29" bestFit="1" customWidth="1"/>
    <col min="5" max="5" width="11.54296875" style="29" bestFit="1" customWidth="1"/>
    <col min="6" max="6" width="12.1796875" style="29" bestFit="1" customWidth="1"/>
    <col min="7" max="7" width="9.26953125" style="29" bestFit="1" customWidth="1"/>
    <col min="8" max="8" width="9.26953125" style="29" customWidth="1"/>
    <col min="9" max="9" width="6.81640625" style="29" bestFit="1" customWidth="1"/>
    <col min="10" max="10" width="10.54296875" style="29" bestFit="1" customWidth="1"/>
    <col min="11" max="11" width="10.1796875" style="29" bestFit="1" customWidth="1"/>
    <col min="12" max="13" width="9.26953125" style="29" bestFit="1" customWidth="1"/>
    <col min="14" max="14" width="10.1796875" style="29" bestFit="1" customWidth="1"/>
    <col min="15" max="15" width="9.36328125" style="95" customWidth="1"/>
    <col min="16" max="17" width="7.26953125" style="95" bestFit="1" customWidth="1"/>
    <col min="18" max="18" width="11.81640625" style="29" bestFit="1" customWidth="1"/>
    <col min="19" max="19" width="43.81640625" style="29" bestFit="1" customWidth="1"/>
    <col min="20" max="20" width="22" style="29" bestFit="1" customWidth="1"/>
    <col min="21" max="21" width="8.81640625" style="29" bestFit="1" customWidth="1"/>
    <col min="22" max="22" width="9.26953125" style="29" bestFit="1" customWidth="1"/>
    <col min="23" max="23" width="11.81640625" style="29" customWidth="1"/>
    <col min="24" max="26" width="9.1796875" style="29"/>
    <col min="27" max="27" width="12.81640625" style="29" bestFit="1" customWidth="1"/>
    <col min="28" max="28" width="9.7265625" style="29" bestFit="1" customWidth="1"/>
    <col min="29" max="16384" width="9.1796875" style="29"/>
  </cols>
  <sheetData>
    <row r="1" spans="1:23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23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23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23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23" ht="13" x14ac:dyDescent="0.3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23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23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O7" s="209" t="str">
        <f>+'Rate Case Constants'!C25</f>
        <v>SCHEDULE N</v>
      </c>
    </row>
    <row r="8" spans="1:23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O8" s="203" t="str">
        <f>+'Rate Case Constants'!L22</f>
        <v>PAGE 15 of 24</v>
      </c>
    </row>
    <row r="9" spans="1:23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O9" s="203" t="str">
        <f>+'Rate Case Constants'!C36</f>
        <v>WITNESS:   R. M. CONROY</v>
      </c>
    </row>
    <row r="10" spans="1:23" ht="13" x14ac:dyDescent="0.3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83" t="s">
        <v>68</v>
      </c>
      <c r="R10" s="83">
        <f>+INPUT!H76</f>
        <v>-1.3328602122424987E-3</v>
      </c>
      <c r="S10" s="95"/>
      <c r="T10" s="95"/>
      <c r="U10" s="95"/>
    </row>
    <row r="11" spans="1:23" ht="13" x14ac:dyDescent="0.3">
      <c r="A11" s="124" t="s">
        <v>149</v>
      </c>
      <c r="O11" s="29"/>
      <c r="P11" s="29"/>
      <c r="Q11" s="29"/>
      <c r="S11" s="95"/>
      <c r="T11" s="95"/>
      <c r="U11" s="95"/>
    </row>
    <row r="12" spans="1:23" ht="13" x14ac:dyDescent="0.3">
      <c r="B12" s="346" t="s">
        <v>291</v>
      </c>
      <c r="C12" s="347" t="s">
        <v>292</v>
      </c>
      <c r="D12" s="347" t="s">
        <v>293</v>
      </c>
      <c r="E12" s="346" t="s">
        <v>294</v>
      </c>
      <c r="F12" s="346" t="s">
        <v>295</v>
      </c>
      <c r="G12" s="346" t="s">
        <v>296</v>
      </c>
      <c r="H12" s="347" t="s">
        <v>297</v>
      </c>
      <c r="I12" s="346" t="s">
        <v>298</v>
      </c>
      <c r="J12" s="346" t="s">
        <v>299</v>
      </c>
      <c r="K12" s="346" t="s">
        <v>300</v>
      </c>
      <c r="L12" s="346" t="s">
        <v>444</v>
      </c>
      <c r="M12" s="346" t="s">
        <v>440</v>
      </c>
      <c r="N12" s="346" t="s">
        <v>441</v>
      </c>
      <c r="O12" s="346" t="s">
        <v>442</v>
      </c>
      <c r="P12" s="29"/>
      <c r="Q12" s="29"/>
      <c r="S12" s="95"/>
      <c r="T12" s="95"/>
      <c r="U12" s="95"/>
    </row>
    <row r="13" spans="1:23" ht="13" x14ac:dyDescent="0.3">
      <c r="C13" s="195" t="s">
        <v>313</v>
      </c>
      <c r="D13" s="195" t="s">
        <v>313</v>
      </c>
      <c r="E13" s="195" t="s">
        <v>69</v>
      </c>
      <c r="J13" s="3" t="s">
        <v>5</v>
      </c>
      <c r="K13" s="3" t="s">
        <v>5</v>
      </c>
      <c r="M13" s="85" t="s">
        <v>592</v>
      </c>
      <c r="N13" s="85" t="s">
        <v>5</v>
      </c>
      <c r="O13" s="17"/>
      <c r="P13" s="29"/>
      <c r="Q13" s="29"/>
      <c r="S13" s="95"/>
      <c r="T13" s="95"/>
      <c r="U13" s="95"/>
    </row>
    <row r="14" spans="1:23" ht="13.5" thickBot="1" x14ac:dyDescent="0.35">
      <c r="A14" s="42"/>
      <c r="B14" s="3" t="s">
        <v>214</v>
      </c>
      <c r="C14" s="3" t="s">
        <v>1</v>
      </c>
      <c r="D14" s="3" t="s">
        <v>71</v>
      </c>
      <c r="E14" s="85" t="s">
        <v>470</v>
      </c>
      <c r="F14" s="3"/>
      <c r="G14" s="3"/>
      <c r="H14" s="413" t="s">
        <v>245</v>
      </c>
      <c r="I14" s="413"/>
      <c r="J14" s="3" t="s">
        <v>1</v>
      </c>
      <c r="K14" s="3" t="s">
        <v>71</v>
      </c>
      <c r="L14" s="3"/>
      <c r="M14" s="85" t="s">
        <v>593</v>
      </c>
      <c r="N14" s="85" t="s">
        <v>71</v>
      </c>
      <c r="O14" s="85"/>
      <c r="P14" s="29"/>
      <c r="Q14" s="29"/>
      <c r="S14" s="129" t="s">
        <v>219</v>
      </c>
      <c r="T14" s="95"/>
      <c r="U14" s="95"/>
    </row>
    <row r="15" spans="1:23" ht="13" x14ac:dyDescent="0.3">
      <c r="A15" s="42"/>
      <c r="B15" s="3" t="s">
        <v>17</v>
      </c>
      <c r="C15" s="3" t="s">
        <v>4</v>
      </c>
      <c r="D15" s="3" t="s">
        <v>4</v>
      </c>
      <c r="E15" s="85" t="s">
        <v>471</v>
      </c>
      <c r="F15" s="3" t="s">
        <v>72</v>
      </c>
      <c r="G15" s="3" t="s">
        <v>72</v>
      </c>
      <c r="H15" s="85" t="s">
        <v>320</v>
      </c>
      <c r="I15" s="50" t="s">
        <v>69</v>
      </c>
      <c r="J15" s="3" t="s">
        <v>4</v>
      </c>
      <c r="K15" s="3" t="s">
        <v>4</v>
      </c>
      <c r="L15" s="3" t="s">
        <v>72</v>
      </c>
      <c r="M15" s="85" t="s">
        <v>439</v>
      </c>
      <c r="N15" s="85" t="s">
        <v>443</v>
      </c>
      <c r="O15" s="85" t="s">
        <v>72</v>
      </c>
      <c r="P15" s="29"/>
      <c r="Q15" s="29"/>
      <c r="S15" s="95"/>
      <c r="T15" s="95"/>
      <c r="U15" s="95"/>
      <c r="W15" s="154" t="s">
        <v>247</v>
      </c>
    </row>
    <row r="16" spans="1:23" ht="13.5" thickBot="1" x14ac:dyDescent="0.35">
      <c r="A16" s="42"/>
      <c r="C16" s="3"/>
      <c r="D16" s="3"/>
      <c r="E16" s="85"/>
      <c r="F16" s="3" t="s">
        <v>66</v>
      </c>
      <c r="G16" s="25" t="s">
        <v>67</v>
      </c>
      <c r="H16" s="49"/>
      <c r="I16" s="52"/>
      <c r="J16" s="3" t="s">
        <v>66</v>
      </c>
      <c r="K16" s="3" t="s">
        <v>66</v>
      </c>
      <c r="L16" s="25" t="s">
        <v>67</v>
      </c>
      <c r="M16" s="86"/>
      <c r="N16" s="86" t="s">
        <v>439</v>
      </c>
      <c r="O16" s="86" t="s">
        <v>67</v>
      </c>
      <c r="P16" s="173"/>
      <c r="Q16" s="29"/>
      <c r="S16" s="99" t="s">
        <v>149</v>
      </c>
      <c r="T16" s="95"/>
      <c r="U16" s="95"/>
      <c r="W16" s="155" t="s">
        <v>218</v>
      </c>
    </row>
    <row r="17" spans="1:28" ht="13.5" thickBot="1" x14ac:dyDescent="0.35">
      <c r="A17" s="214"/>
      <c r="B17" s="182"/>
      <c r="C17" s="80"/>
      <c r="D17" s="80"/>
      <c r="E17" s="349"/>
      <c r="F17" s="345" t="str">
        <f>("[ "&amp;D12&amp;" - ("&amp;E12&amp;" + "&amp;C12&amp;") ]")</f>
        <v>[ C - (D + B) ]</v>
      </c>
      <c r="G17" s="345" t="str">
        <f>("[ "&amp;F12&amp;" / "&amp;C12&amp;" ]")</f>
        <v>[ E / B ]</v>
      </c>
      <c r="H17" s="200"/>
      <c r="I17" s="200"/>
      <c r="J17" s="345" t="str">
        <f>("["&amp;C12&amp;"+"&amp;E12&amp;"+"&amp;$H$12&amp;"+"&amp;$I$12&amp;"]")</f>
        <v>[B+D+G+H]</v>
      </c>
      <c r="K17" s="345" t="str">
        <f>("["&amp;D12&amp;"+"&amp;$H$12&amp;"+"&amp;$I$12&amp;"]")</f>
        <v>[C+G+H]</v>
      </c>
      <c r="L17" s="345" t="str">
        <f>("[("&amp;K12&amp;" - "&amp;J12&amp;")/"&amp;J12&amp;"]")</f>
        <v>[(J - I)/I]</v>
      </c>
      <c r="M17" s="344"/>
      <c r="N17" s="344" t="str">
        <f>("["&amp;K12&amp;" + "&amp;M12&amp;"]")</f>
        <v>[J + L]</v>
      </c>
      <c r="O17" s="345" t="str">
        <f>("[("&amp;N12&amp;" - "&amp;J12&amp;")/"&amp;J12&amp;"]")</f>
        <v>[(M - I)/I]</v>
      </c>
      <c r="P17" s="29"/>
      <c r="Q17" s="29"/>
      <c r="S17" s="100"/>
      <c r="T17" s="101" t="s">
        <v>84</v>
      </c>
      <c r="U17" s="102"/>
      <c r="W17" s="156" t="str">
        <f>+INPUT!$R$70</f>
        <v>Oct</v>
      </c>
      <c r="X17" s="39"/>
      <c r="Y17" s="39" t="s">
        <v>5</v>
      </c>
      <c r="Z17" s="39" t="s">
        <v>5</v>
      </c>
      <c r="AA17" s="39" t="s">
        <v>69</v>
      </c>
      <c r="AB17" s="39"/>
    </row>
    <row r="18" spans="1:28" ht="13.5" thickBot="1" x14ac:dyDescent="0.35">
      <c r="A18" s="307"/>
      <c r="B18" s="217"/>
      <c r="C18" s="206"/>
      <c r="D18" s="206"/>
      <c r="E18" s="206"/>
      <c r="F18" s="218"/>
      <c r="G18" s="218"/>
      <c r="H18" s="207"/>
      <c r="I18" s="207"/>
      <c r="J18" s="218"/>
      <c r="K18" s="218"/>
      <c r="L18" s="218"/>
      <c r="M18" s="85"/>
      <c r="N18" s="85"/>
      <c r="O18" s="85"/>
      <c r="P18" s="29"/>
      <c r="Q18" s="29"/>
      <c r="S18" s="103"/>
      <c r="T18" s="283"/>
      <c r="U18" s="284"/>
      <c r="W18" s="206"/>
      <c r="X18" s="39"/>
      <c r="Y18" s="39"/>
      <c r="Z18" s="39"/>
      <c r="AA18" s="157" t="s">
        <v>471</v>
      </c>
      <c r="AB18" s="39" t="s">
        <v>439</v>
      </c>
    </row>
    <row r="19" spans="1:28" ht="13.5" thickBot="1" x14ac:dyDescent="0.3">
      <c r="A19" s="295" t="s">
        <v>85</v>
      </c>
      <c r="M19" s="28"/>
      <c r="N19" s="90"/>
      <c r="O19" s="91"/>
      <c r="P19" s="29"/>
      <c r="Q19" s="29"/>
      <c r="S19" s="106" t="s">
        <v>85</v>
      </c>
      <c r="T19" s="104"/>
      <c r="U19" s="104"/>
      <c r="W19" s="47"/>
      <c r="X19" s="96"/>
      <c r="Y19" s="39" t="s">
        <v>4</v>
      </c>
      <c r="Z19" s="39" t="s">
        <v>4</v>
      </c>
      <c r="AA19" s="39">
        <f>INPUT!K76</f>
        <v>4.1465949275479586E-3</v>
      </c>
      <c r="AB19" s="39">
        <v>-6.8000000000000005E-4</v>
      </c>
    </row>
    <row r="20" spans="1:28" ht="13.5" thickBot="1" x14ac:dyDescent="0.3">
      <c r="A20" s="308" t="s">
        <v>342</v>
      </c>
      <c r="C20" s="179"/>
      <c r="D20" s="179"/>
      <c r="E20" s="179"/>
      <c r="F20" s="179"/>
      <c r="G20" s="180"/>
      <c r="H20" s="179"/>
      <c r="I20" s="179"/>
      <c r="J20" s="179"/>
      <c r="K20" s="179"/>
      <c r="L20" s="180"/>
      <c r="M20" s="28"/>
      <c r="N20" s="90"/>
      <c r="O20" s="91"/>
      <c r="P20" s="29"/>
      <c r="Q20" s="29"/>
      <c r="S20" s="238" t="s">
        <v>342</v>
      </c>
      <c r="T20" s="239"/>
      <c r="U20" s="392"/>
      <c r="W20" s="97"/>
      <c r="X20" s="97"/>
      <c r="Y20" s="98"/>
      <c r="Z20" s="98"/>
      <c r="AA20" s="39" t="s">
        <v>11</v>
      </c>
      <c r="AB20" s="39" t="s">
        <v>11</v>
      </c>
    </row>
    <row r="21" spans="1:28" ht="13" thickBot="1" x14ac:dyDescent="0.3">
      <c r="A21" s="293" t="s">
        <v>478</v>
      </c>
      <c r="B21" s="329">
        <f t="shared" ref="B21:B29" si="0">+V21</f>
        <v>7.0999999999999994E-2</v>
      </c>
      <c r="C21" s="179">
        <f t="shared" ref="C21:D24" si="1">T21</f>
        <v>9.92</v>
      </c>
      <c r="D21" s="179">
        <f t="shared" si="1"/>
        <v>9.58</v>
      </c>
      <c r="E21" s="179">
        <f>AA21</f>
        <v>0.10834223226697305</v>
      </c>
      <c r="F21" s="90">
        <f>+D21-(E21+C21)</f>
        <v>-0.44834223226697212</v>
      </c>
      <c r="G21" s="235">
        <f>ROUND(+F21/C21,4)</f>
        <v>-4.5199999999999997E-2</v>
      </c>
      <c r="H21" s="179">
        <f t="shared" ref="H21:H29" si="2">+W21</f>
        <v>-3.4824971625472004E-2</v>
      </c>
      <c r="I21" s="179">
        <f t="shared" ref="I21:I29" si="3">+X21</f>
        <v>0.54060711039383003</v>
      </c>
      <c r="J21" s="179">
        <f>+C21+E21+H21+I21</f>
        <v>10.534124371035331</v>
      </c>
      <c r="K21" s="179">
        <f t="shared" ref="K21:K29" si="4">+D21+H21+I21</f>
        <v>10.085782138768359</v>
      </c>
      <c r="L21" s="235">
        <f>ROUND((K21-J21)/J21,4)</f>
        <v>-4.2599999999999999E-2</v>
      </c>
      <c r="M21" s="179">
        <f>AB21</f>
        <v>-1.7767039999999998E-2</v>
      </c>
      <c r="N21" s="90">
        <f>K21+M21</f>
        <v>10.068015098768358</v>
      </c>
      <c r="O21" s="91">
        <f>ROUND((N21-J21)/J21,4)</f>
        <v>-4.4200000000000003E-2</v>
      </c>
      <c r="P21" s="29"/>
      <c r="Q21" s="29"/>
      <c r="R21" s="29">
        <v>390</v>
      </c>
      <c r="S21" s="240" t="s">
        <v>324</v>
      </c>
      <c r="T21" s="121">
        <f>VLOOKUP($R21,INPUT!$AB$9:$AF$130,3,FALSE)</f>
        <v>9.92</v>
      </c>
      <c r="U21" s="121">
        <f>VLOOKUP($R21,INPUT!$AB$9:$AF$130,4,FALSE)</f>
        <v>9.58</v>
      </c>
      <c r="V21" s="29">
        <f>VLOOKUP($R21,INPUT!$AB$9:$AF$130,5,FALSE)</f>
        <v>7.0999999999999994E-2</v>
      </c>
      <c r="W21" s="97">
        <f>($V21*INPUT!$S$70)*INPUT!$H$76</f>
        <v>-3.4824971625472004E-2</v>
      </c>
      <c r="X21" s="97">
        <f>($V21*INPUT!$S$70)*INPUT!$J$76</f>
        <v>0.54060711039383003</v>
      </c>
      <c r="Y21" s="98">
        <f>+T21+W21+X21</f>
        <v>10.425782138768358</v>
      </c>
      <c r="Z21" s="98">
        <f>+U21+W21+X21</f>
        <v>10.085782138768359</v>
      </c>
      <c r="AA21" s="97">
        <f>($V21*INPUT!$S$70)*$AA$19</f>
        <v>0.10834223226697305</v>
      </c>
      <c r="AB21" s="97">
        <f>($V21*INPUT!$S$70)*$AB$19</f>
        <v>-1.7767039999999998E-2</v>
      </c>
    </row>
    <row r="22" spans="1:28" ht="13" thickBot="1" x14ac:dyDescent="0.3">
      <c r="A22" s="293" t="s">
        <v>479</v>
      </c>
      <c r="B22" s="329">
        <f t="shared" si="0"/>
        <v>0.122</v>
      </c>
      <c r="C22" s="179">
        <f t="shared" si="1"/>
        <v>11.98</v>
      </c>
      <c r="D22" s="179">
        <f t="shared" si="1"/>
        <v>11.55</v>
      </c>
      <c r="E22" s="179">
        <f t="shared" ref="E22:E49" si="5">AA22</f>
        <v>0.18616552586719315</v>
      </c>
      <c r="F22" s="90">
        <f t="shared" ref="F22:F49" si="6">+D22-(E22+C22)</f>
        <v>-0.61616552586719209</v>
      </c>
      <c r="G22" s="235">
        <f t="shared" ref="G22:G49" si="7">ROUND(+F22/C22,4)</f>
        <v>-5.1400000000000001E-2</v>
      </c>
      <c r="H22" s="179">
        <f t="shared" si="2"/>
        <v>-5.9840092088839225E-2</v>
      </c>
      <c r="I22" s="179">
        <f t="shared" si="3"/>
        <v>0.92893052771897566</v>
      </c>
      <c r="J22" s="179">
        <f t="shared" ref="J22:J48" si="8">+C22+E22+H22+I22</f>
        <v>13.035255961497329</v>
      </c>
      <c r="K22" s="179">
        <f t="shared" si="4"/>
        <v>12.419090435630137</v>
      </c>
      <c r="L22" s="235">
        <f t="shared" ref="L22:L49" si="9">ROUND((K22-J22)/J22,4)</f>
        <v>-4.7300000000000002E-2</v>
      </c>
      <c r="M22" s="179">
        <f t="shared" ref="M22:M49" si="10">AB22</f>
        <v>-3.0529280000000002E-2</v>
      </c>
      <c r="N22" s="90">
        <f t="shared" ref="N22:N49" si="11">K22+M22</f>
        <v>12.388561155630137</v>
      </c>
      <c r="O22" s="91">
        <f t="shared" ref="O22:O49" si="12">ROUND((N22-J22)/J22,4)</f>
        <v>-4.9599999999999998E-2</v>
      </c>
      <c r="P22" s="29"/>
      <c r="Q22" s="29"/>
      <c r="R22" s="29">
        <v>391</v>
      </c>
      <c r="S22" s="240" t="s">
        <v>325</v>
      </c>
      <c r="T22" s="121">
        <f>VLOOKUP($R22,INPUT!$AB$9:$AF$130,3,FALSE)</f>
        <v>11.98</v>
      </c>
      <c r="U22" s="121">
        <f>VLOOKUP($R22,INPUT!$AB$9:$AF$130,4,FALSE)</f>
        <v>11.55</v>
      </c>
      <c r="V22" s="29">
        <f>VLOOKUP($R22,INPUT!$AB$9:$AF$130,5,FALSE)</f>
        <v>0.122</v>
      </c>
      <c r="W22" s="97">
        <f>($V22*INPUT!$S$70)*INPUT!$H$76</f>
        <v>-5.9840092088839225E-2</v>
      </c>
      <c r="X22" s="97">
        <f>($V22*INPUT!$S$70)*INPUT!$J$76</f>
        <v>0.92893052771897566</v>
      </c>
      <c r="Y22" s="98">
        <f t="shared" ref="Y22:Y24" si="13">+T22+W22+X22</f>
        <v>12.849090435630137</v>
      </c>
      <c r="Z22" s="98">
        <f t="shared" ref="Z22:Z24" si="14">+U22+W22+X22</f>
        <v>12.419090435630137</v>
      </c>
      <c r="AA22" s="97">
        <f>($V22*INPUT!$S$70)*$AA$19</f>
        <v>0.18616552586719315</v>
      </c>
      <c r="AB22" s="97">
        <f>($V22*INPUT!$S$70)*$AB$19</f>
        <v>-3.0529280000000002E-2</v>
      </c>
    </row>
    <row r="23" spans="1:28" ht="13" thickBot="1" x14ac:dyDescent="0.3">
      <c r="A23" s="293" t="s">
        <v>480</v>
      </c>
      <c r="B23" s="329">
        <f t="shared" si="0"/>
        <v>0.19400000000000001</v>
      </c>
      <c r="C23" s="179">
        <f t="shared" si="1"/>
        <v>15.22</v>
      </c>
      <c r="D23" s="179">
        <f t="shared" si="1"/>
        <v>14.86</v>
      </c>
      <c r="E23" s="179">
        <f t="shared" si="5"/>
        <v>0.29603370506750382</v>
      </c>
      <c r="F23" s="90">
        <f t="shared" si="6"/>
        <v>-0.65603370506750558</v>
      </c>
      <c r="G23" s="235">
        <f t="shared" si="7"/>
        <v>-4.3099999999999999E-2</v>
      </c>
      <c r="H23" s="179">
        <f t="shared" si="2"/>
        <v>-9.5155556272416467E-2</v>
      </c>
      <c r="I23" s="179">
        <f t="shared" si="3"/>
        <v>1.4771518227662399</v>
      </c>
      <c r="J23" s="179">
        <f t="shared" si="8"/>
        <v>16.898029971561328</v>
      </c>
      <c r="K23" s="179">
        <f t="shared" si="4"/>
        <v>16.241996266493821</v>
      </c>
      <c r="L23" s="235">
        <f t="shared" si="9"/>
        <v>-3.8800000000000001E-2</v>
      </c>
      <c r="M23" s="179">
        <f t="shared" si="10"/>
        <v>-4.8546560000000002E-2</v>
      </c>
      <c r="N23" s="90">
        <f t="shared" si="11"/>
        <v>16.193449706493823</v>
      </c>
      <c r="O23" s="91">
        <f t="shared" si="12"/>
        <v>-4.1700000000000001E-2</v>
      </c>
      <c r="P23" s="29"/>
      <c r="Q23" s="29"/>
      <c r="R23" s="29">
        <v>392</v>
      </c>
      <c r="S23" s="240" t="s">
        <v>326</v>
      </c>
      <c r="T23" s="121">
        <f>VLOOKUP($R23,INPUT!$AB$9:$AF$130,3,FALSE)</f>
        <v>15.22</v>
      </c>
      <c r="U23" s="121">
        <f>VLOOKUP($R23,INPUT!$AB$9:$AF$130,4,FALSE)</f>
        <v>14.86</v>
      </c>
      <c r="V23" s="29">
        <f>VLOOKUP($R23,INPUT!$AB$9:$AF$130,5,FALSE)</f>
        <v>0.19400000000000001</v>
      </c>
      <c r="W23" s="97">
        <f>($V23*INPUT!$S$70)*INPUT!$H$76</f>
        <v>-9.5155556272416467E-2</v>
      </c>
      <c r="X23" s="97">
        <f>($V23*INPUT!$S$70)*INPUT!$J$76</f>
        <v>1.4771518227662399</v>
      </c>
      <c r="Y23" s="98">
        <f t="shared" si="13"/>
        <v>16.601996266493824</v>
      </c>
      <c r="Z23" s="98">
        <f t="shared" si="14"/>
        <v>16.241996266493821</v>
      </c>
      <c r="AA23" s="97">
        <f>($V23*INPUT!$S$70)*$AA$19</f>
        <v>0.29603370506750382</v>
      </c>
      <c r="AB23" s="97">
        <f>($V23*INPUT!$S$70)*$AB$19</f>
        <v>-4.8546560000000002E-2</v>
      </c>
    </row>
    <row r="24" spans="1:28" ht="13" thickBot="1" x14ac:dyDescent="0.3">
      <c r="A24" s="293" t="s">
        <v>481</v>
      </c>
      <c r="B24" s="329">
        <f t="shared" si="0"/>
        <v>4.8000000000000001E-2</v>
      </c>
      <c r="C24" s="179">
        <f t="shared" si="1"/>
        <v>8.57</v>
      </c>
      <c r="D24" s="179">
        <f t="shared" si="1"/>
        <v>7.84</v>
      </c>
      <c r="E24" s="179">
        <f t="shared" si="5"/>
        <v>7.3245452800207139E-2</v>
      </c>
      <c r="F24" s="90">
        <f t="shared" si="6"/>
        <v>-0.80324545280020843</v>
      </c>
      <c r="G24" s="235">
        <f t="shared" si="7"/>
        <v>-9.3700000000000006E-2</v>
      </c>
      <c r="H24" s="179">
        <f t="shared" si="2"/>
        <v>-2.3543642789051498E-2</v>
      </c>
      <c r="I24" s="179">
        <f t="shared" si="3"/>
        <v>0.36548086336484292</v>
      </c>
      <c r="J24" s="179">
        <f t="shared" si="8"/>
        <v>8.9851826733759985</v>
      </c>
      <c r="K24" s="179">
        <f t="shared" si="4"/>
        <v>8.1819372205757919</v>
      </c>
      <c r="L24" s="235">
        <f t="shared" si="9"/>
        <v>-8.9399999999999993E-2</v>
      </c>
      <c r="M24" s="179">
        <f t="shared" si="10"/>
        <v>-1.2011520000000001E-2</v>
      </c>
      <c r="N24" s="90">
        <f t="shared" si="11"/>
        <v>8.1699257005757921</v>
      </c>
      <c r="O24" s="91">
        <f t="shared" si="12"/>
        <v>-9.0700000000000003E-2</v>
      </c>
      <c r="P24" s="29"/>
      <c r="Q24" s="29"/>
      <c r="R24" s="29">
        <v>393</v>
      </c>
      <c r="S24" s="240" t="s">
        <v>463</v>
      </c>
      <c r="T24" s="121">
        <f>VLOOKUP($R24,INPUT!$AB$9:$AF$130,3,FALSE)</f>
        <v>8.57</v>
      </c>
      <c r="U24" s="121">
        <f>VLOOKUP($R24,INPUT!$AB$9:$AF$130,4,FALSE)</f>
        <v>7.84</v>
      </c>
      <c r="V24" s="29">
        <f>VLOOKUP($R24,INPUT!$AB$9:$AF$130,5,FALSE)</f>
        <v>4.8000000000000001E-2</v>
      </c>
      <c r="W24" s="97">
        <f>($V24*INPUT!$S$70)*INPUT!$H$76</f>
        <v>-2.3543642789051498E-2</v>
      </c>
      <c r="X24" s="97">
        <f>($V24*INPUT!$S$70)*INPUT!$J$76</f>
        <v>0.36548086336484292</v>
      </c>
      <c r="Y24" s="98">
        <f t="shared" si="13"/>
        <v>8.9119372205757905</v>
      </c>
      <c r="Z24" s="98">
        <f t="shared" si="14"/>
        <v>8.1819372205757919</v>
      </c>
      <c r="AA24" s="97">
        <f>($V24*INPUT!$S$70)*$AA$19</f>
        <v>7.3245452800207139E-2</v>
      </c>
      <c r="AB24" s="97">
        <f>($V24*INPUT!$S$70)*$AB$19</f>
        <v>-1.2011520000000001E-2</v>
      </c>
    </row>
    <row r="25" spans="1:28" ht="13" thickBot="1" x14ac:dyDescent="0.3">
      <c r="A25" s="293" t="s">
        <v>482</v>
      </c>
      <c r="B25" s="330">
        <f t="shared" si="0"/>
        <v>2.1999999999999999E-2</v>
      </c>
      <c r="C25" s="179">
        <f t="shared" ref="C25:C49" si="15">T25</f>
        <v>8.67</v>
      </c>
      <c r="D25" s="179">
        <f>U25</f>
        <v>8.25</v>
      </c>
      <c r="E25" s="179">
        <f t="shared" si="5"/>
        <v>3.3570832533428276E-2</v>
      </c>
      <c r="F25" s="90">
        <f t="shared" si="6"/>
        <v>-0.453570832533428</v>
      </c>
      <c r="G25" s="235">
        <f t="shared" si="7"/>
        <v>-5.2299999999999999E-2</v>
      </c>
      <c r="H25" s="179">
        <f t="shared" si="2"/>
        <v>-1.079083627831527E-2</v>
      </c>
      <c r="I25" s="179">
        <f t="shared" si="3"/>
        <v>0.16751206237555299</v>
      </c>
      <c r="J25" s="179">
        <f t="shared" si="8"/>
        <v>8.8602920586306642</v>
      </c>
      <c r="K25" s="179">
        <f t="shared" si="4"/>
        <v>8.4067212260972362</v>
      </c>
      <c r="L25" s="235">
        <f t="shared" si="9"/>
        <v>-5.1200000000000002E-2</v>
      </c>
      <c r="M25" s="179">
        <f t="shared" si="10"/>
        <v>-5.5052800000000004E-3</v>
      </c>
      <c r="N25" s="90">
        <f t="shared" si="11"/>
        <v>8.4012159460972367</v>
      </c>
      <c r="O25" s="91">
        <f t="shared" si="12"/>
        <v>-5.1799999999999999E-2</v>
      </c>
      <c r="P25" s="29"/>
      <c r="Q25" s="29"/>
      <c r="R25" s="29" t="s">
        <v>361</v>
      </c>
      <c r="S25" s="240" t="s">
        <v>356</v>
      </c>
      <c r="T25" s="121">
        <f>VLOOKUP($R25,INPUT!$AB$9:$AF$130,3,FALSE)</f>
        <v>8.67</v>
      </c>
      <c r="U25" s="121">
        <f>VLOOKUP($R25,INPUT!$AB$9:$AF$130,4,FALSE)</f>
        <v>8.25</v>
      </c>
      <c r="V25" s="29">
        <f>VLOOKUP($R25,INPUT!$AB$9:$AF$130,5,FALSE)</f>
        <v>2.1999999999999999E-2</v>
      </c>
      <c r="W25" s="97">
        <f>($V25*INPUT!$S$70)*INPUT!$H$76</f>
        <v>-1.079083627831527E-2</v>
      </c>
      <c r="X25" s="97">
        <f>($V25*INPUT!$S$70)*INPUT!$J$76</f>
        <v>0.16751206237555299</v>
      </c>
      <c r="Y25" s="98">
        <f t="shared" ref="Y25:Y29" si="16">+T25+W25+X25</f>
        <v>8.8267212260972361</v>
      </c>
      <c r="Z25" s="98">
        <f t="shared" ref="Z25:Z29" si="17">+U25+W25+X25</f>
        <v>8.4067212260972362</v>
      </c>
      <c r="AA25" s="97">
        <f>($V25*INPUT!$S$70)*$AA$19</f>
        <v>3.3570832533428276E-2</v>
      </c>
      <c r="AB25" s="97">
        <f>($V25*INPUT!$S$70)*$AB$19</f>
        <v>-5.5052800000000004E-3</v>
      </c>
    </row>
    <row r="26" spans="1:28" ht="13" thickBot="1" x14ac:dyDescent="0.3">
      <c r="A26" s="293" t="s">
        <v>483</v>
      </c>
      <c r="B26" s="330">
        <f t="shared" si="0"/>
        <v>0.03</v>
      </c>
      <c r="C26" s="179">
        <f t="shared" si="15"/>
        <v>11.28</v>
      </c>
      <c r="D26" s="179">
        <f>U26</f>
        <v>10.8</v>
      </c>
      <c r="E26" s="179">
        <f t="shared" si="5"/>
        <v>4.5778408000129459E-2</v>
      </c>
      <c r="F26" s="90">
        <f t="shared" si="6"/>
        <v>-0.52577840800012865</v>
      </c>
      <c r="G26" s="235">
        <f t="shared" si="7"/>
        <v>-4.6600000000000003E-2</v>
      </c>
      <c r="H26" s="179">
        <f t="shared" si="2"/>
        <v>-1.4714776743157184E-2</v>
      </c>
      <c r="I26" s="179">
        <f t="shared" si="3"/>
        <v>0.22842553960302678</v>
      </c>
      <c r="J26" s="179">
        <f t="shared" si="8"/>
        <v>11.53948917086</v>
      </c>
      <c r="K26" s="179">
        <f t="shared" si="4"/>
        <v>11.013710762859871</v>
      </c>
      <c r="L26" s="235">
        <f t="shared" si="9"/>
        <v>-4.5600000000000002E-2</v>
      </c>
      <c r="M26" s="179">
        <f t="shared" si="10"/>
        <v>-7.5072000000000003E-3</v>
      </c>
      <c r="N26" s="90">
        <f t="shared" si="11"/>
        <v>11.006203562859872</v>
      </c>
      <c r="O26" s="91">
        <f t="shared" si="12"/>
        <v>-4.6199999999999998E-2</v>
      </c>
      <c r="P26" s="29"/>
      <c r="Q26" s="29"/>
      <c r="R26" s="29" t="s">
        <v>362</v>
      </c>
      <c r="S26" s="240" t="s">
        <v>357</v>
      </c>
      <c r="T26" s="121">
        <f>VLOOKUP($R26,INPUT!$AB$9:$AF$130,3,FALSE)</f>
        <v>11.28</v>
      </c>
      <c r="U26" s="121">
        <f>VLOOKUP($R26,INPUT!$AB$9:$AF$130,4,FALSE)</f>
        <v>10.8</v>
      </c>
      <c r="V26" s="29">
        <f>VLOOKUP($R26,INPUT!$AB$9:$AF$130,5,FALSE)</f>
        <v>0.03</v>
      </c>
      <c r="W26" s="97">
        <f>($V26*INPUT!$S$70)*INPUT!$H$76</f>
        <v>-1.4714776743157184E-2</v>
      </c>
      <c r="X26" s="97">
        <f>($V26*INPUT!$S$70)*INPUT!$J$76</f>
        <v>0.22842553960302678</v>
      </c>
      <c r="Y26" s="98">
        <f t="shared" si="16"/>
        <v>11.49371076285987</v>
      </c>
      <c r="Z26" s="98">
        <f t="shared" si="17"/>
        <v>11.013710762859871</v>
      </c>
      <c r="AA26" s="97">
        <f>($V26*INPUT!$S$70)*$AA$19</f>
        <v>4.5778408000129459E-2</v>
      </c>
      <c r="AB26" s="97">
        <f>($V26*INPUT!$S$70)*$AB$19</f>
        <v>-7.5072000000000003E-3</v>
      </c>
    </row>
    <row r="27" spans="1:28" ht="13" thickBot="1" x14ac:dyDescent="0.3">
      <c r="A27" s="293" t="s">
        <v>484</v>
      </c>
      <c r="B27" s="330">
        <f t="shared" si="0"/>
        <v>9.6000000000000002E-2</v>
      </c>
      <c r="C27" s="179">
        <f t="shared" si="15"/>
        <v>13.1</v>
      </c>
      <c r="D27" s="179">
        <f>U27</f>
        <v>12.7</v>
      </c>
      <c r="E27" s="179">
        <f t="shared" si="5"/>
        <v>0.14649090560041428</v>
      </c>
      <c r="F27" s="90">
        <f t="shared" si="6"/>
        <v>-0.54649090560041458</v>
      </c>
      <c r="G27" s="235">
        <f t="shared" si="7"/>
        <v>-4.1700000000000001E-2</v>
      </c>
      <c r="H27" s="179">
        <f t="shared" si="2"/>
        <v>-4.7087285578102996E-2</v>
      </c>
      <c r="I27" s="179">
        <f t="shared" si="3"/>
        <v>0.73096172672968585</v>
      </c>
      <c r="J27" s="179">
        <f t="shared" si="8"/>
        <v>13.930365346751996</v>
      </c>
      <c r="K27" s="179">
        <f t="shared" si="4"/>
        <v>13.383874441151582</v>
      </c>
      <c r="L27" s="235">
        <f t="shared" si="9"/>
        <v>-3.9199999999999999E-2</v>
      </c>
      <c r="M27" s="179">
        <f t="shared" si="10"/>
        <v>-2.4023040000000002E-2</v>
      </c>
      <c r="N27" s="90">
        <f t="shared" si="11"/>
        <v>13.359851401151582</v>
      </c>
      <c r="O27" s="91">
        <f t="shared" si="12"/>
        <v>-4.1000000000000002E-2</v>
      </c>
      <c r="P27" s="29"/>
      <c r="Q27" s="29"/>
      <c r="R27" s="29" t="s">
        <v>363</v>
      </c>
      <c r="S27" s="240" t="s">
        <v>358</v>
      </c>
      <c r="T27" s="121">
        <f>VLOOKUP($R27,INPUT!$AB$9:$AF$130,3,FALSE)</f>
        <v>13.1</v>
      </c>
      <c r="U27" s="121">
        <f>VLOOKUP($R27,INPUT!$AB$9:$AF$130,4,FALSE)</f>
        <v>12.7</v>
      </c>
      <c r="V27" s="29">
        <f>VLOOKUP($R27,INPUT!$AB$9:$AF$130,5,FALSE)</f>
        <v>9.6000000000000002E-2</v>
      </c>
      <c r="W27" s="97">
        <f>($V27*INPUT!$S$70)*INPUT!$H$76</f>
        <v>-4.7087285578102996E-2</v>
      </c>
      <c r="X27" s="97">
        <f>($V27*INPUT!$S$70)*INPUT!$J$76</f>
        <v>0.73096172672968585</v>
      </c>
      <c r="Y27" s="98">
        <f t="shared" si="16"/>
        <v>13.783874441151582</v>
      </c>
      <c r="Z27" s="98">
        <f t="shared" si="17"/>
        <v>13.383874441151582</v>
      </c>
      <c r="AA27" s="97">
        <f>($V27*INPUT!$S$70)*$AA$19</f>
        <v>0.14649090560041428</v>
      </c>
      <c r="AB27" s="97">
        <f>($V27*INPUT!$S$70)*$AB$19</f>
        <v>-2.4023040000000002E-2</v>
      </c>
    </row>
    <row r="28" spans="1:28" ht="13" thickBot="1" x14ac:dyDescent="0.3">
      <c r="A28" s="293" t="s">
        <v>485</v>
      </c>
      <c r="B28" s="330">
        <f t="shared" si="0"/>
        <v>0.17499999999999999</v>
      </c>
      <c r="C28" s="179">
        <f t="shared" si="15"/>
        <v>15.49</v>
      </c>
      <c r="D28" s="179">
        <f>U28</f>
        <v>15.06</v>
      </c>
      <c r="E28" s="179">
        <f t="shared" si="5"/>
        <v>0.26704071333408852</v>
      </c>
      <c r="F28" s="90">
        <f t="shared" si="6"/>
        <v>-0.69704071333408812</v>
      </c>
      <c r="G28" s="235">
        <f t="shared" si="7"/>
        <v>-4.4999999999999998E-2</v>
      </c>
      <c r="H28" s="179">
        <f t="shared" si="2"/>
        <v>-8.5836197668416908E-2</v>
      </c>
      <c r="I28" s="179">
        <f t="shared" si="3"/>
        <v>1.3324823143509894</v>
      </c>
      <c r="J28" s="179">
        <f t="shared" si="8"/>
        <v>17.003686830016662</v>
      </c>
      <c r="K28" s="179">
        <f t="shared" si="4"/>
        <v>16.306646116682572</v>
      </c>
      <c r="L28" s="235">
        <f t="shared" si="9"/>
        <v>-4.1000000000000002E-2</v>
      </c>
      <c r="M28" s="179">
        <f t="shared" si="10"/>
        <v>-4.3791999999999998E-2</v>
      </c>
      <c r="N28" s="90">
        <f t="shared" si="11"/>
        <v>16.262854116682572</v>
      </c>
      <c r="O28" s="91">
        <f t="shared" si="12"/>
        <v>-4.36E-2</v>
      </c>
      <c r="P28" s="29"/>
      <c r="Q28" s="29"/>
      <c r="R28" s="236" t="s">
        <v>364</v>
      </c>
      <c r="S28" s="240" t="s">
        <v>359</v>
      </c>
      <c r="T28" s="121">
        <f>VLOOKUP($R28,INPUT!$AB$9:$AF$130,3,FALSE)</f>
        <v>15.49</v>
      </c>
      <c r="U28" s="121">
        <f>VLOOKUP($R28,INPUT!$AB$9:$AF$130,4,FALSE)</f>
        <v>15.06</v>
      </c>
      <c r="V28" s="29">
        <f>VLOOKUP($R28,INPUT!$AB$9:$AF$130,5,FALSE)</f>
        <v>0.17499999999999999</v>
      </c>
      <c r="W28" s="97">
        <f>($V28*INPUT!$S$70)*INPUT!$H$76</f>
        <v>-8.5836197668416908E-2</v>
      </c>
      <c r="X28" s="97">
        <f>($V28*INPUT!$S$70)*INPUT!$J$76</f>
        <v>1.3324823143509894</v>
      </c>
      <c r="Y28" s="98">
        <f t="shared" si="16"/>
        <v>16.736646116682572</v>
      </c>
      <c r="Z28" s="98">
        <f t="shared" si="17"/>
        <v>16.306646116682572</v>
      </c>
      <c r="AA28" s="97">
        <f>($V28*INPUT!$S$70)*$AA$19</f>
        <v>0.26704071333408852</v>
      </c>
      <c r="AB28" s="97">
        <f>($V28*INPUT!$S$70)*$AB$19</f>
        <v>-4.3791999999999998E-2</v>
      </c>
    </row>
    <row r="29" spans="1:28" ht="13" thickBot="1" x14ac:dyDescent="0.3">
      <c r="A29" s="293" t="s">
        <v>486</v>
      </c>
      <c r="B29" s="330">
        <f t="shared" si="0"/>
        <v>0.29699999999999999</v>
      </c>
      <c r="C29" s="179">
        <f t="shared" si="15"/>
        <v>22.2</v>
      </c>
      <c r="D29" s="179">
        <f>U29</f>
        <v>21.83</v>
      </c>
      <c r="E29" s="179">
        <f t="shared" si="5"/>
        <v>0.45320623920128167</v>
      </c>
      <c r="F29" s="90">
        <f t="shared" si="6"/>
        <v>-0.82320623920128355</v>
      </c>
      <c r="G29" s="235">
        <f t="shared" si="7"/>
        <v>-3.7100000000000001E-2</v>
      </c>
      <c r="H29" s="179">
        <f t="shared" si="2"/>
        <v>-0.14567628975725613</v>
      </c>
      <c r="I29" s="179">
        <f t="shared" si="3"/>
        <v>2.2614128420699648</v>
      </c>
      <c r="J29" s="179">
        <f t="shared" si="8"/>
        <v>24.768942791513993</v>
      </c>
      <c r="K29" s="179">
        <f t="shared" si="4"/>
        <v>23.945736552312709</v>
      </c>
      <c r="L29" s="235">
        <f t="shared" si="9"/>
        <v>-3.32E-2</v>
      </c>
      <c r="M29" s="179">
        <f t="shared" si="10"/>
        <v>-7.4321280000000003E-2</v>
      </c>
      <c r="N29" s="90">
        <f t="shared" si="11"/>
        <v>23.87141527231271</v>
      </c>
      <c r="O29" s="91">
        <f t="shared" si="12"/>
        <v>-3.6200000000000003E-2</v>
      </c>
      <c r="P29" s="29"/>
      <c r="Q29" s="29"/>
      <c r="R29" s="236" t="s">
        <v>365</v>
      </c>
      <c r="S29" s="240" t="s">
        <v>360</v>
      </c>
      <c r="T29" s="121">
        <f>VLOOKUP($R29,INPUT!$AB$9:$AF$130,3,FALSE)</f>
        <v>22.2</v>
      </c>
      <c r="U29" s="121">
        <f>VLOOKUP($R29,INPUT!$AB$9:$AF$130,4,FALSE)</f>
        <v>21.83</v>
      </c>
      <c r="V29" s="29">
        <f>VLOOKUP($R29,INPUT!$AB$9:$AF$130,5,FALSE)</f>
        <v>0.29699999999999999</v>
      </c>
      <c r="W29" s="97">
        <f>($V29*INPUT!$S$70)*INPUT!$H$76</f>
        <v>-0.14567628975725613</v>
      </c>
      <c r="X29" s="97">
        <f>($V29*INPUT!$S$70)*INPUT!$J$76</f>
        <v>2.2614128420699648</v>
      </c>
      <c r="Y29" s="98">
        <f t="shared" si="16"/>
        <v>24.31573655231271</v>
      </c>
      <c r="Z29" s="98">
        <f t="shared" si="17"/>
        <v>23.945736552312709</v>
      </c>
      <c r="AA29" s="97">
        <f>($V29*INPUT!$S$70)*$AA$19</f>
        <v>0.45320623920128167</v>
      </c>
      <c r="AB29" s="97">
        <f>($V29*INPUT!$S$70)*$AB$19</f>
        <v>-7.4321280000000003E-2</v>
      </c>
    </row>
    <row r="30" spans="1:28" ht="13" thickBot="1" x14ac:dyDescent="0.3">
      <c r="A30" s="293"/>
      <c r="B30" s="330"/>
      <c r="C30" s="179"/>
      <c r="D30" s="179"/>
      <c r="E30" s="179"/>
      <c r="F30" s="90"/>
      <c r="G30" s="235"/>
      <c r="H30" s="179"/>
      <c r="I30" s="179"/>
      <c r="J30" s="179"/>
      <c r="K30" s="179"/>
      <c r="L30" s="235"/>
      <c r="M30" s="179"/>
      <c r="N30" s="90"/>
      <c r="O30" s="91"/>
      <c r="P30" s="29"/>
      <c r="Q30" s="29"/>
      <c r="R30" s="236"/>
      <c r="S30" s="240"/>
      <c r="T30" s="121"/>
      <c r="U30" s="121"/>
      <c r="W30" s="97"/>
      <c r="X30" s="97"/>
      <c r="Y30" s="98"/>
      <c r="Z30" s="98"/>
      <c r="AA30" s="97"/>
      <c r="AB30" s="97"/>
    </row>
    <row r="31" spans="1:28" ht="13.5" thickBot="1" x14ac:dyDescent="0.3">
      <c r="A31" s="357" t="s">
        <v>447</v>
      </c>
      <c r="B31" s="330"/>
      <c r="C31" s="179"/>
      <c r="D31" s="179"/>
      <c r="E31" s="179"/>
      <c r="F31" s="90"/>
      <c r="G31" s="235"/>
      <c r="H31" s="179"/>
      <c r="I31" s="179"/>
      <c r="J31" s="179"/>
      <c r="K31" s="179"/>
      <c r="L31" s="235"/>
      <c r="M31" s="179"/>
      <c r="N31" s="90"/>
      <c r="O31" s="91"/>
      <c r="P31" s="29"/>
      <c r="Q31" s="29"/>
      <c r="R31" s="236"/>
      <c r="S31" s="240"/>
      <c r="T31" s="121"/>
      <c r="U31" s="121"/>
      <c r="W31" s="97"/>
      <c r="X31" s="97"/>
      <c r="Y31" s="98"/>
      <c r="Z31" s="98"/>
      <c r="AA31" s="97"/>
      <c r="AB31" s="97"/>
    </row>
    <row r="32" spans="1:28" ht="13" thickBot="1" x14ac:dyDescent="0.3">
      <c r="A32" s="293" t="s">
        <v>464</v>
      </c>
      <c r="B32" s="330" t="s">
        <v>417</v>
      </c>
      <c r="C32" s="330" t="str">
        <f t="shared" ref="C32" si="18">T32</f>
        <v>NA</v>
      </c>
      <c r="D32" s="179">
        <f t="shared" ref="D32" si="19">U32</f>
        <v>8.61</v>
      </c>
      <c r="E32" s="179">
        <f t="shared" ref="E32" si="20">AA32</f>
        <v>0</v>
      </c>
      <c r="F32" s="330" t="s">
        <v>417</v>
      </c>
      <c r="G32" s="330" t="s">
        <v>417</v>
      </c>
      <c r="H32" s="179">
        <f t="shared" ref="H32" si="21">+W32</f>
        <v>0</v>
      </c>
      <c r="I32" s="179">
        <f t="shared" ref="I32" si="22">+X32</f>
        <v>0</v>
      </c>
      <c r="J32" s="330" t="s">
        <v>417</v>
      </c>
      <c r="K32" s="179">
        <f t="shared" ref="K32" si="23">+D32+H32+I32</f>
        <v>8.61</v>
      </c>
      <c r="L32" s="330" t="s">
        <v>417</v>
      </c>
      <c r="M32" s="179">
        <f t="shared" ref="M32" si="24">AB32</f>
        <v>0</v>
      </c>
      <c r="N32" s="90">
        <f t="shared" ref="N32" si="25">K32+M32</f>
        <v>8.61</v>
      </c>
      <c r="O32" s="330" t="s">
        <v>417</v>
      </c>
      <c r="P32" s="29"/>
      <c r="Q32" s="29"/>
      <c r="R32" s="236" t="s">
        <v>448</v>
      </c>
      <c r="S32" s="240" t="s">
        <v>465</v>
      </c>
      <c r="T32" s="121" t="str">
        <f>VLOOKUP($R32,INPUT!$AB$9:$AF$130,3,FALSE)</f>
        <v>NA</v>
      </c>
      <c r="U32" s="121">
        <f>VLOOKUP($R32,INPUT!$AB$9:$AF$130,4,FALSE)</f>
        <v>8.61</v>
      </c>
      <c r="V32" s="29">
        <f>VLOOKUP($R32,INPUT!$AB$9:$AF$130,5,FALSE)</f>
        <v>0</v>
      </c>
      <c r="W32" s="97">
        <f>($V32*INPUT!$S$70)*INPUT!$H$76</f>
        <v>0</v>
      </c>
      <c r="X32" s="97">
        <f>($V32*INPUT!$S$70)*INPUT!$J$76</f>
        <v>0</v>
      </c>
      <c r="Y32" s="98" t="e">
        <f t="shared" ref="Y32" si="26">+T32+W32+X32</f>
        <v>#VALUE!</v>
      </c>
      <c r="Z32" s="98">
        <f t="shared" ref="Z32" si="27">+U32+W32+X32</f>
        <v>8.61</v>
      </c>
      <c r="AA32" s="97">
        <f>($V32*INPUT!$S$70)*$AA$19</f>
        <v>0</v>
      </c>
      <c r="AB32" s="97">
        <f>($V32*INPUT!$S$70)*$AB$19</f>
        <v>0</v>
      </c>
    </row>
    <row r="33" spans="1:28" ht="13" thickBot="1" x14ac:dyDescent="0.3">
      <c r="A33" s="293"/>
      <c r="B33" s="330"/>
      <c r="C33" s="179"/>
      <c r="D33" s="179"/>
      <c r="E33" s="179"/>
      <c r="F33" s="90"/>
      <c r="G33" s="235"/>
      <c r="H33" s="179"/>
      <c r="I33" s="179"/>
      <c r="J33" s="179"/>
      <c r="K33" s="179"/>
      <c r="L33" s="235"/>
      <c r="M33" s="179"/>
      <c r="N33" s="90"/>
      <c r="O33" s="91"/>
      <c r="P33" s="29"/>
      <c r="Q33" s="29"/>
      <c r="R33" s="236"/>
      <c r="S33" s="240"/>
      <c r="T33" s="121"/>
      <c r="U33" s="121"/>
      <c r="W33" s="97"/>
      <c r="X33" s="97"/>
      <c r="Y33" s="98"/>
      <c r="Z33" s="98"/>
      <c r="AA33" s="97"/>
      <c r="AB33" s="97"/>
    </row>
    <row r="34" spans="1:28" ht="13.5" thickBot="1" x14ac:dyDescent="0.3">
      <c r="A34" s="308" t="s">
        <v>342</v>
      </c>
      <c r="B34" s="287"/>
      <c r="C34" s="179"/>
      <c r="D34" s="179"/>
      <c r="E34" s="179"/>
      <c r="F34" s="90"/>
      <c r="G34" s="235"/>
      <c r="H34" s="179"/>
      <c r="I34" s="179"/>
      <c r="J34" s="179"/>
      <c r="K34" s="179"/>
      <c r="L34" s="235"/>
      <c r="M34" s="179"/>
      <c r="N34" s="90"/>
      <c r="O34" s="91"/>
      <c r="P34" s="29"/>
      <c r="Q34" s="29"/>
      <c r="S34" s="240"/>
      <c r="T34" s="121"/>
      <c r="U34" s="121"/>
      <c r="W34" s="97"/>
      <c r="X34" s="97"/>
      <c r="Y34" s="98"/>
      <c r="Z34" s="98"/>
      <c r="AA34" s="97"/>
      <c r="AB34" s="97"/>
    </row>
    <row r="35" spans="1:28" ht="13" thickBot="1" x14ac:dyDescent="0.3">
      <c r="A35" s="293" t="s">
        <v>491</v>
      </c>
      <c r="B35" s="330">
        <f t="shared" ref="B35:B50" si="28">+V35</f>
        <v>2.1999999999999999E-2</v>
      </c>
      <c r="C35" s="179">
        <f t="shared" si="15"/>
        <v>4</v>
      </c>
      <c r="D35" s="179">
        <f t="shared" ref="D35:D49" si="29">U35</f>
        <v>4.03</v>
      </c>
      <c r="E35" s="179">
        <f t="shared" si="5"/>
        <v>3.3570832533428276E-2</v>
      </c>
      <c r="F35" s="90">
        <f t="shared" si="6"/>
        <v>-3.5708325334278257E-3</v>
      </c>
      <c r="G35" s="235">
        <f t="shared" si="7"/>
        <v>-8.9999999999999998E-4</v>
      </c>
      <c r="H35" s="179">
        <f t="shared" ref="H35:H49" si="30">+W35</f>
        <v>-1.079083627831527E-2</v>
      </c>
      <c r="I35" s="179">
        <f t="shared" ref="I35:I49" si="31">+X35</f>
        <v>0.16751206237555299</v>
      </c>
      <c r="J35" s="179">
        <f t="shared" si="8"/>
        <v>4.190292058630666</v>
      </c>
      <c r="K35" s="179">
        <f t="shared" ref="K35:K49" si="32">+D35+H35+I35</f>
        <v>4.1867212260972382</v>
      </c>
      <c r="L35" s="235">
        <f t="shared" si="9"/>
        <v>-8.9999999999999998E-4</v>
      </c>
      <c r="M35" s="179">
        <f t="shared" si="10"/>
        <v>-5.5052800000000004E-3</v>
      </c>
      <c r="N35" s="90">
        <f t="shared" si="11"/>
        <v>4.1812159460972378</v>
      </c>
      <c r="O35" s="91">
        <f t="shared" si="12"/>
        <v>-2.2000000000000001E-3</v>
      </c>
      <c r="P35" s="29"/>
      <c r="Q35" s="29"/>
      <c r="R35" s="29" t="s">
        <v>371</v>
      </c>
      <c r="S35" s="240" t="s">
        <v>373</v>
      </c>
      <c r="T35" s="121">
        <f>VLOOKUP($R35,INPUT!$AB$9:$AF$130,3,FALSE)</f>
        <v>4</v>
      </c>
      <c r="U35" s="121">
        <f>VLOOKUP($R35,INPUT!$AB$9:$AF$130,4,FALSE)</f>
        <v>4.03</v>
      </c>
      <c r="V35" s="29">
        <f>VLOOKUP($R35,INPUT!$AB$9:$AF$130,5,FALSE)</f>
        <v>2.1999999999999999E-2</v>
      </c>
      <c r="W35" s="97">
        <f>($V35*INPUT!$S$70)*INPUT!$H$76</f>
        <v>-1.079083627831527E-2</v>
      </c>
      <c r="X35" s="97">
        <f>($V35*INPUT!$S$70)*INPUT!$J$76</f>
        <v>0.16751206237555299</v>
      </c>
      <c r="Y35" s="98">
        <f t="shared" ref="Y35" si="33">+T35+W35+X35</f>
        <v>4.1567212260972379</v>
      </c>
      <c r="Z35" s="98">
        <f t="shared" ref="Z35" si="34">+U35+W35+X35</f>
        <v>4.1867212260972382</v>
      </c>
      <c r="AA35" s="97">
        <f>($V35*INPUT!$S$70)*$AA$19</f>
        <v>3.3570832533428276E-2</v>
      </c>
      <c r="AB35" s="97">
        <f>($V35*INPUT!$S$70)*$AB$19</f>
        <v>-5.5052800000000004E-3</v>
      </c>
    </row>
    <row r="36" spans="1:28" ht="13" thickBot="1" x14ac:dyDescent="0.3">
      <c r="A36" s="293" t="s">
        <v>487</v>
      </c>
      <c r="B36" s="330">
        <f t="shared" si="28"/>
        <v>7.0999999999999994E-2</v>
      </c>
      <c r="C36" s="179">
        <f t="shared" si="15"/>
        <v>5.24</v>
      </c>
      <c r="D36" s="179">
        <f t="shared" si="29"/>
        <v>5.35</v>
      </c>
      <c r="E36" s="179">
        <f t="shared" si="5"/>
        <v>0.10834223226697305</v>
      </c>
      <c r="F36" s="90">
        <f t="shared" si="6"/>
        <v>1.657767733026283E-3</v>
      </c>
      <c r="G36" s="235">
        <f t="shared" si="7"/>
        <v>2.9999999999999997E-4</v>
      </c>
      <c r="H36" s="179">
        <f t="shared" si="30"/>
        <v>-3.4824971625472004E-2</v>
      </c>
      <c r="I36" s="179">
        <f t="shared" si="31"/>
        <v>0.54060711039383003</v>
      </c>
      <c r="J36" s="179">
        <f t="shared" si="8"/>
        <v>5.854124371035331</v>
      </c>
      <c r="K36" s="179">
        <f t="shared" si="32"/>
        <v>5.8557821387683573</v>
      </c>
      <c r="L36" s="235">
        <f t="shared" si="9"/>
        <v>2.9999999999999997E-4</v>
      </c>
      <c r="M36" s="179">
        <f t="shared" si="10"/>
        <v>-1.7767039999999998E-2</v>
      </c>
      <c r="N36" s="90">
        <f t="shared" si="11"/>
        <v>5.8380150987683574</v>
      </c>
      <c r="O36" s="91">
        <f t="shared" si="12"/>
        <v>-2.8E-3</v>
      </c>
      <c r="P36" s="29"/>
      <c r="Q36" s="29"/>
      <c r="R36" s="29">
        <v>396</v>
      </c>
      <c r="S36" s="240" t="s">
        <v>328</v>
      </c>
      <c r="T36" s="121">
        <f>VLOOKUP($R36,INPUT!$AB$9:$AF$130,3,FALSE)</f>
        <v>5.24</v>
      </c>
      <c r="U36" s="121">
        <f>VLOOKUP($R36,INPUT!$AB$9:$AF$130,4,FALSE)</f>
        <v>5.35</v>
      </c>
      <c r="V36" s="29">
        <f>VLOOKUP($R36,INPUT!$AB$9:$AF$130,5,FALSE)</f>
        <v>7.0999999999999994E-2</v>
      </c>
      <c r="W36" s="97">
        <f>($V36*INPUT!$S$70)*INPUT!$H$76</f>
        <v>-3.4824971625472004E-2</v>
      </c>
      <c r="X36" s="97">
        <f>($V36*INPUT!$S$70)*INPUT!$J$76</f>
        <v>0.54060711039383003</v>
      </c>
      <c r="Y36" s="98">
        <f t="shared" ref="Y36:Y39" si="35">+T36+W36+X36</f>
        <v>5.7457821387683579</v>
      </c>
      <c r="Z36" s="98">
        <f t="shared" ref="Z36:Z39" si="36">+U36+W36+X36</f>
        <v>5.8557821387683573</v>
      </c>
      <c r="AA36" s="97">
        <f>($V36*INPUT!$S$70)*$AA$19</f>
        <v>0.10834223226697305</v>
      </c>
      <c r="AB36" s="97">
        <f>($V36*INPUT!$S$70)*$AB$19</f>
        <v>-1.7767039999999998E-2</v>
      </c>
    </row>
    <row r="37" spans="1:28" ht="13" thickBot="1" x14ac:dyDescent="0.3">
      <c r="A37" s="293" t="s">
        <v>488</v>
      </c>
      <c r="B37" s="330">
        <f t="shared" si="28"/>
        <v>0.122</v>
      </c>
      <c r="C37" s="179">
        <f t="shared" si="15"/>
        <v>7.3</v>
      </c>
      <c r="D37" s="179">
        <f t="shared" si="29"/>
        <v>7.33</v>
      </c>
      <c r="E37" s="179">
        <f t="shared" si="5"/>
        <v>0.18616552586719315</v>
      </c>
      <c r="F37" s="90">
        <f t="shared" si="6"/>
        <v>-0.15616552586719301</v>
      </c>
      <c r="G37" s="235">
        <f t="shared" si="7"/>
        <v>-2.1399999999999999E-2</v>
      </c>
      <c r="H37" s="179">
        <f t="shared" si="30"/>
        <v>-5.9840092088839225E-2</v>
      </c>
      <c r="I37" s="179">
        <f t="shared" si="31"/>
        <v>0.92893052771897566</v>
      </c>
      <c r="J37" s="179">
        <f t="shared" si="8"/>
        <v>8.3552559614973294</v>
      </c>
      <c r="K37" s="179">
        <f t="shared" si="32"/>
        <v>8.1990904356301364</v>
      </c>
      <c r="L37" s="235">
        <f t="shared" si="9"/>
        <v>-1.8700000000000001E-2</v>
      </c>
      <c r="M37" s="179">
        <f t="shared" si="10"/>
        <v>-3.0529280000000002E-2</v>
      </c>
      <c r="N37" s="90">
        <f t="shared" si="11"/>
        <v>8.1685611556301367</v>
      </c>
      <c r="O37" s="91">
        <f t="shared" si="12"/>
        <v>-2.23E-2</v>
      </c>
      <c r="P37" s="29"/>
      <c r="Q37" s="29"/>
      <c r="R37" s="236">
        <v>397</v>
      </c>
      <c r="S37" s="240" t="s">
        <v>329</v>
      </c>
      <c r="T37" s="121">
        <f>VLOOKUP($R37,INPUT!$AB$9:$AF$130,3,FALSE)</f>
        <v>7.3</v>
      </c>
      <c r="U37" s="121">
        <f>VLOOKUP($R37,INPUT!$AB$9:$AF$130,4,FALSE)</f>
        <v>7.33</v>
      </c>
      <c r="V37" s="29">
        <f>VLOOKUP($R37,INPUT!$AB$9:$AF$130,5,FALSE)</f>
        <v>0.122</v>
      </c>
      <c r="W37" s="97">
        <f>($V37*INPUT!$S$70)*INPUT!$H$76</f>
        <v>-5.9840092088839225E-2</v>
      </c>
      <c r="X37" s="97">
        <f>($V37*INPUT!$S$70)*INPUT!$J$76</f>
        <v>0.92893052771897566</v>
      </c>
      <c r="Y37" s="98">
        <f t="shared" si="35"/>
        <v>8.169090435630137</v>
      </c>
      <c r="Z37" s="98">
        <f t="shared" si="36"/>
        <v>8.1990904356301364</v>
      </c>
      <c r="AA37" s="97">
        <f>($V37*INPUT!$S$70)*$AA$19</f>
        <v>0.18616552586719315</v>
      </c>
      <c r="AB37" s="97">
        <f>($V37*INPUT!$S$70)*$AB$19</f>
        <v>-3.0529280000000002E-2</v>
      </c>
    </row>
    <row r="38" spans="1:28" ht="13" thickBot="1" x14ac:dyDescent="0.3">
      <c r="A38" s="293" t="s">
        <v>489</v>
      </c>
      <c r="B38" s="330">
        <f t="shared" si="28"/>
        <v>0.19400000000000001</v>
      </c>
      <c r="C38" s="179">
        <f t="shared" si="15"/>
        <v>10.54</v>
      </c>
      <c r="D38" s="179">
        <f t="shared" si="29"/>
        <v>10.64</v>
      </c>
      <c r="E38" s="179">
        <f t="shared" si="5"/>
        <v>0.29603370506750382</v>
      </c>
      <c r="F38" s="90">
        <f t="shared" si="6"/>
        <v>-0.19603370506750295</v>
      </c>
      <c r="G38" s="235">
        <f t="shared" si="7"/>
        <v>-1.8599999999999998E-2</v>
      </c>
      <c r="H38" s="179">
        <f t="shared" si="30"/>
        <v>-9.5155556272416467E-2</v>
      </c>
      <c r="I38" s="179">
        <f t="shared" si="31"/>
        <v>1.4771518227662399</v>
      </c>
      <c r="J38" s="179">
        <f t="shared" si="8"/>
        <v>12.218029971561327</v>
      </c>
      <c r="K38" s="179">
        <f t="shared" si="32"/>
        <v>12.021996266493824</v>
      </c>
      <c r="L38" s="235">
        <f t="shared" si="9"/>
        <v>-1.6E-2</v>
      </c>
      <c r="M38" s="179">
        <f t="shared" si="10"/>
        <v>-4.8546560000000002E-2</v>
      </c>
      <c r="N38" s="90">
        <f t="shared" si="11"/>
        <v>11.973449706493824</v>
      </c>
      <c r="O38" s="91">
        <f t="shared" si="12"/>
        <v>-0.02</v>
      </c>
      <c r="P38" s="29"/>
      <c r="Q38" s="29"/>
      <c r="R38" s="236">
        <v>398</v>
      </c>
      <c r="S38" s="110" t="s">
        <v>330</v>
      </c>
      <c r="T38" s="121">
        <f>VLOOKUP($R38,INPUT!$AB$9:$AF$130,3,FALSE)</f>
        <v>10.54</v>
      </c>
      <c r="U38" s="121">
        <f>VLOOKUP($R38,INPUT!$AB$9:$AF$130,4,FALSE)</f>
        <v>10.64</v>
      </c>
      <c r="V38" s="29">
        <f>VLOOKUP($R38,INPUT!$AB$9:$AF$130,5,FALSE)</f>
        <v>0.19400000000000001</v>
      </c>
      <c r="W38" s="97">
        <f>($V38*INPUT!$S$70)*INPUT!$H$76</f>
        <v>-9.5155556272416467E-2</v>
      </c>
      <c r="X38" s="97">
        <f>($V38*INPUT!$S$70)*INPUT!$J$76</f>
        <v>1.4771518227662399</v>
      </c>
      <c r="Y38" s="98">
        <f t="shared" si="35"/>
        <v>11.921996266493823</v>
      </c>
      <c r="Z38" s="98">
        <f t="shared" si="36"/>
        <v>12.021996266493824</v>
      </c>
      <c r="AA38" s="97">
        <f>($V38*INPUT!$S$70)*$AA$19</f>
        <v>0.29603370506750382</v>
      </c>
      <c r="AB38" s="97">
        <f>($V38*INPUT!$S$70)*$AB$19</f>
        <v>-4.8546560000000002E-2</v>
      </c>
    </row>
    <row r="39" spans="1:28" ht="13" thickBot="1" x14ac:dyDescent="0.3">
      <c r="A39" s="293" t="s">
        <v>490</v>
      </c>
      <c r="B39" s="330">
        <f t="shared" si="28"/>
        <v>4.3999999999999997E-2</v>
      </c>
      <c r="C39" s="179">
        <f t="shared" si="15"/>
        <v>7.41</v>
      </c>
      <c r="D39" s="179">
        <f t="shared" si="29"/>
        <v>7.14</v>
      </c>
      <c r="E39" s="179">
        <f t="shared" si="5"/>
        <v>6.7141665066856551E-2</v>
      </c>
      <c r="F39" s="90">
        <f t="shared" si="6"/>
        <v>-0.33714166506685661</v>
      </c>
      <c r="G39" s="235">
        <f t="shared" si="7"/>
        <v>-4.5499999999999999E-2</v>
      </c>
      <c r="H39" s="179">
        <f t="shared" si="30"/>
        <v>-2.158167255663054E-2</v>
      </c>
      <c r="I39" s="179">
        <f t="shared" si="31"/>
        <v>0.33502412475110599</v>
      </c>
      <c r="J39" s="179">
        <f t="shared" si="8"/>
        <v>7.7905841172613322</v>
      </c>
      <c r="K39" s="179">
        <f t="shared" si="32"/>
        <v>7.4534424521944755</v>
      </c>
      <c r="L39" s="235">
        <f t="shared" si="9"/>
        <v>-4.3299999999999998E-2</v>
      </c>
      <c r="M39" s="179">
        <f t="shared" si="10"/>
        <v>-1.1010560000000001E-2</v>
      </c>
      <c r="N39" s="90">
        <f t="shared" si="11"/>
        <v>7.4424318921944757</v>
      </c>
      <c r="O39" s="91">
        <f t="shared" si="12"/>
        <v>-4.4699999999999997E-2</v>
      </c>
      <c r="P39" s="29"/>
      <c r="Q39" s="29"/>
      <c r="R39" s="236">
        <v>399</v>
      </c>
      <c r="S39" s="240" t="s">
        <v>456</v>
      </c>
      <c r="T39" s="121">
        <f>VLOOKUP($R39,INPUT!$AB$9:$AF$130,3,FALSE)</f>
        <v>7.41</v>
      </c>
      <c r="U39" s="121">
        <f>VLOOKUP($R39,INPUT!$AB$9:$AF$130,4,FALSE)</f>
        <v>7.14</v>
      </c>
      <c r="V39" s="29">
        <f>VLOOKUP($R39,INPUT!$AB$9:$AF$130,5,FALSE)</f>
        <v>4.3999999999999997E-2</v>
      </c>
      <c r="W39" s="97">
        <f>($V39*INPUT!$S$70)*INPUT!$H$76</f>
        <v>-2.158167255663054E-2</v>
      </c>
      <c r="X39" s="97">
        <f>($V39*INPUT!$S$70)*INPUT!$J$76</f>
        <v>0.33502412475110599</v>
      </c>
      <c r="Y39" s="98">
        <f t="shared" si="35"/>
        <v>7.723442452194476</v>
      </c>
      <c r="Z39" s="98">
        <f t="shared" si="36"/>
        <v>7.4534424521944755</v>
      </c>
      <c r="AA39" s="97">
        <f>($V39*INPUT!$S$70)*$AA$19</f>
        <v>6.7141665066856551E-2</v>
      </c>
      <c r="AB39" s="97">
        <f>($V39*INPUT!$S$70)*$AB$19</f>
        <v>-1.1010560000000001E-2</v>
      </c>
    </row>
    <row r="40" spans="1:28" ht="13" thickBot="1" x14ac:dyDescent="0.3">
      <c r="A40" s="293" t="s">
        <v>492</v>
      </c>
      <c r="B40" s="330">
        <f t="shared" si="28"/>
        <v>0.04</v>
      </c>
      <c r="C40" s="179">
        <f t="shared" si="15"/>
        <v>8.83</v>
      </c>
      <c r="D40" s="179">
        <f t="shared" si="29"/>
        <v>8.69</v>
      </c>
      <c r="E40" s="179">
        <f t="shared" si="5"/>
        <v>6.1037877333505949E-2</v>
      </c>
      <c r="F40" s="90">
        <f t="shared" si="6"/>
        <v>-0.20103787733350664</v>
      </c>
      <c r="G40" s="235">
        <f t="shared" si="7"/>
        <v>-2.2800000000000001E-2</v>
      </c>
      <c r="H40" s="179">
        <f t="shared" si="30"/>
        <v>-1.9619702324209582E-2</v>
      </c>
      <c r="I40" s="179">
        <f t="shared" si="31"/>
        <v>0.30456738613736906</v>
      </c>
      <c r="J40" s="179">
        <f t="shared" si="8"/>
        <v>9.1759855611466659</v>
      </c>
      <c r="K40" s="179">
        <f t="shared" si="32"/>
        <v>8.9749476838131592</v>
      </c>
      <c r="L40" s="235">
        <f t="shared" si="9"/>
        <v>-2.1899999999999999E-2</v>
      </c>
      <c r="M40" s="179">
        <f t="shared" si="10"/>
        <v>-1.00096E-2</v>
      </c>
      <c r="N40" s="90">
        <f t="shared" si="11"/>
        <v>8.9649380838131592</v>
      </c>
      <c r="O40" s="91">
        <f t="shared" si="12"/>
        <v>-2.3E-2</v>
      </c>
      <c r="P40" s="29"/>
      <c r="Q40" s="29"/>
      <c r="R40" s="29" t="s">
        <v>375</v>
      </c>
      <c r="S40" s="240" t="s">
        <v>395</v>
      </c>
      <c r="T40" s="121">
        <f>VLOOKUP($R40,INPUT!$AB$9:$AF$130,3,FALSE)</f>
        <v>8.83</v>
      </c>
      <c r="U40" s="121">
        <f>VLOOKUP($R40,INPUT!$AB$9:$AF$130,4,FALSE)</f>
        <v>8.69</v>
      </c>
      <c r="V40" s="29">
        <f>VLOOKUP($R40,INPUT!$AB$9:$AF$130,5,FALSE)</f>
        <v>0.04</v>
      </c>
      <c r="W40" s="97">
        <f>($V40*INPUT!$S$70)*INPUT!$H$76</f>
        <v>-1.9619702324209582E-2</v>
      </c>
      <c r="X40" s="97">
        <f>($V40*INPUT!$S$70)*INPUT!$J$76</f>
        <v>0.30456738613736906</v>
      </c>
      <c r="Y40" s="98">
        <f t="shared" ref="Y40:Y49" si="37">+T40+W40+X40</f>
        <v>9.1149476838131598</v>
      </c>
      <c r="Z40" s="98">
        <f t="shared" ref="Z40:Z49" si="38">+U40+W40+X40</f>
        <v>8.9749476838131592</v>
      </c>
      <c r="AA40" s="97">
        <f>($V40*INPUT!$S$70)*$AA$19</f>
        <v>6.1037877333505949E-2</v>
      </c>
      <c r="AB40" s="97">
        <f>($V40*INPUT!$S$70)*$AB$19</f>
        <v>-1.00096E-2</v>
      </c>
    </row>
    <row r="41" spans="1:28" ht="13" thickBot="1" x14ac:dyDescent="0.3">
      <c r="A41" s="293" t="s">
        <v>493</v>
      </c>
      <c r="B41" s="330">
        <f t="shared" si="28"/>
        <v>5.7000000000000002E-2</v>
      </c>
      <c r="C41" s="179">
        <f t="shared" si="15"/>
        <v>6.87</v>
      </c>
      <c r="D41" s="179">
        <f t="shared" si="29"/>
        <v>6.81</v>
      </c>
      <c r="E41" s="179">
        <f t="shared" si="5"/>
        <v>8.6978975200245973E-2</v>
      </c>
      <c r="F41" s="90">
        <f t="shared" si="6"/>
        <v>-0.14697897520024661</v>
      </c>
      <c r="G41" s="235">
        <f t="shared" si="7"/>
        <v>-2.1399999999999999E-2</v>
      </c>
      <c r="H41" s="179">
        <f t="shared" si="30"/>
        <v>-2.7958075811998651E-2</v>
      </c>
      <c r="I41" s="179">
        <f t="shared" si="31"/>
        <v>0.4340085252457509</v>
      </c>
      <c r="J41" s="179">
        <f t="shared" si="8"/>
        <v>7.3630294246339991</v>
      </c>
      <c r="K41" s="179">
        <f t="shared" si="32"/>
        <v>7.2160504494337525</v>
      </c>
      <c r="L41" s="235">
        <f t="shared" si="9"/>
        <v>-0.02</v>
      </c>
      <c r="M41" s="179">
        <f t="shared" si="10"/>
        <v>-1.4263680000000001E-2</v>
      </c>
      <c r="N41" s="90">
        <f t="shared" si="11"/>
        <v>7.2017867694337525</v>
      </c>
      <c r="O41" s="91">
        <f t="shared" si="12"/>
        <v>-2.1899999999999999E-2</v>
      </c>
      <c r="P41" s="29"/>
      <c r="Q41" s="29"/>
      <c r="R41" s="29" t="s">
        <v>376</v>
      </c>
      <c r="S41" s="240" t="s">
        <v>396</v>
      </c>
      <c r="T41" s="121">
        <f>VLOOKUP($R41,INPUT!$AB$9:$AF$130,3,FALSE)</f>
        <v>6.87</v>
      </c>
      <c r="U41" s="121">
        <f>VLOOKUP($R41,INPUT!$AB$9:$AF$130,4,FALSE)</f>
        <v>6.81</v>
      </c>
      <c r="V41" s="29">
        <f>VLOOKUP($R41,INPUT!$AB$9:$AF$130,5,FALSE)</f>
        <v>5.7000000000000002E-2</v>
      </c>
      <c r="W41" s="97">
        <f>($V41*INPUT!$S$70)*INPUT!$H$76</f>
        <v>-2.7958075811998651E-2</v>
      </c>
      <c r="X41" s="97">
        <f>($V41*INPUT!$S$70)*INPUT!$J$76</f>
        <v>0.4340085252457509</v>
      </c>
      <c r="Y41" s="98">
        <f t="shared" si="37"/>
        <v>7.276050449433753</v>
      </c>
      <c r="Z41" s="98">
        <f t="shared" si="38"/>
        <v>7.2160504494337525</v>
      </c>
      <c r="AA41" s="97">
        <f>($V41*INPUT!$S$70)*$AA$19</f>
        <v>8.6978975200245973E-2</v>
      </c>
      <c r="AB41" s="97">
        <f>($V41*INPUT!$S$70)*$AB$19</f>
        <v>-1.4263680000000001E-2</v>
      </c>
    </row>
    <row r="42" spans="1:28" ht="13" thickBot="1" x14ac:dyDescent="0.3">
      <c r="A42" s="293" t="s">
        <v>494</v>
      </c>
      <c r="B42" s="330">
        <f t="shared" si="28"/>
        <v>8.6999999999999994E-2</v>
      </c>
      <c r="C42" s="179">
        <f t="shared" si="15"/>
        <v>8</v>
      </c>
      <c r="D42" s="179">
        <f t="shared" si="29"/>
        <v>8.16</v>
      </c>
      <c r="E42" s="179">
        <f t="shared" si="5"/>
        <v>0.13275738320037545</v>
      </c>
      <c r="F42" s="90">
        <f t="shared" si="6"/>
        <v>2.7242616799624031E-2</v>
      </c>
      <c r="G42" s="235">
        <f t="shared" si="7"/>
        <v>3.3999999999999998E-3</v>
      </c>
      <c r="H42" s="179">
        <f t="shared" si="30"/>
        <v>-4.2672852555155835E-2</v>
      </c>
      <c r="I42" s="179">
        <f t="shared" si="31"/>
        <v>0.66243406484877765</v>
      </c>
      <c r="J42" s="179">
        <f t="shared" si="8"/>
        <v>8.7525185954939992</v>
      </c>
      <c r="K42" s="179">
        <f t="shared" si="32"/>
        <v>8.7797612122936233</v>
      </c>
      <c r="L42" s="235">
        <f t="shared" si="9"/>
        <v>3.0999999999999999E-3</v>
      </c>
      <c r="M42" s="179">
        <f t="shared" si="10"/>
        <v>-2.1770879999999999E-2</v>
      </c>
      <c r="N42" s="90">
        <f t="shared" si="11"/>
        <v>8.7579903322936232</v>
      </c>
      <c r="O42" s="91">
        <f t="shared" si="12"/>
        <v>5.9999999999999995E-4</v>
      </c>
      <c r="P42" s="29"/>
      <c r="Q42" s="29"/>
      <c r="R42" s="29" t="s">
        <v>377</v>
      </c>
      <c r="S42" s="240" t="s">
        <v>397</v>
      </c>
      <c r="T42" s="121">
        <f>VLOOKUP($R42,INPUT!$AB$9:$AF$130,3,FALSE)</f>
        <v>8</v>
      </c>
      <c r="U42" s="121">
        <f>VLOOKUP($R42,INPUT!$AB$9:$AF$130,4,FALSE)</f>
        <v>8.16</v>
      </c>
      <c r="V42" s="29">
        <f>VLOOKUP($R42,INPUT!$AB$9:$AF$130,5,FALSE)</f>
        <v>8.6999999999999994E-2</v>
      </c>
      <c r="W42" s="97">
        <f>($V42*INPUT!$S$70)*INPUT!$H$76</f>
        <v>-4.2672852555155835E-2</v>
      </c>
      <c r="X42" s="97">
        <f>($V42*INPUT!$S$70)*INPUT!$J$76</f>
        <v>0.66243406484877765</v>
      </c>
      <c r="Y42" s="98">
        <f t="shared" si="37"/>
        <v>8.6197612122936214</v>
      </c>
      <c r="Z42" s="98">
        <f t="shared" si="38"/>
        <v>8.7797612122936233</v>
      </c>
      <c r="AA42" s="97">
        <f>($V42*INPUT!$S$70)*$AA$19</f>
        <v>0.13275738320037545</v>
      </c>
      <c r="AB42" s="97">
        <f>($V42*INPUT!$S$70)*$AB$19</f>
        <v>-2.1770879999999999E-2</v>
      </c>
    </row>
    <row r="43" spans="1:28" ht="13" thickBot="1" x14ac:dyDescent="0.3">
      <c r="A43" s="293" t="s">
        <v>495</v>
      </c>
      <c r="B43" s="330">
        <f t="shared" si="28"/>
        <v>0.14299999999999999</v>
      </c>
      <c r="C43" s="179">
        <f t="shared" si="15"/>
        <v>9.74</v>
      </c>
      <c r="D43" s="179">
        <f t="shared" si="29"/>
        <v>10.050000000000001</v>
      </c>
      <c r="E43" s="179">
        <f t="shared" si="5"/>
        <v>0.21821041146728376</v>
      </c>
      <c r="F43" s="90">
        <f t="shared" si="6"/>
        <v>9.1789588532716238E-2</v>
      </c>
      <c r="G43" s="235">
        <f t="shared" si="7"/>
        <v>9.4000000000000004E-3</v>
      </c>
      <c r="H43" s="179">
        <f t="shared" si="30"/>
        <v>-7.0140435809049245E-2</v>
      </c>
      <c r="I43" s="179">
        <f t="shared" si="31"/>
        <v>1.0888284054410942</v>
      </c>
      <c r="J43" s="179">
        <f t="shared" si="8"/>
        <v>10.976898381099328</v>
      </c>
      <c r="K43" s="179">
        <f t="shared" si="32"/>
        <v>11.068687969632045</v>
      </c>
      <c r="L43" s="235">
        <f t="shared" si="9"/>
        <v>8.3999999999999995E-3</v>
      </c>
      <c r="M43" s="179">
        <f t="shared" si="10"/>
        <v>-3.5784320000000001E-2</v>
      </c>
      <c r="N43" s="90">
        <f t="shared" si="11"/>
        <v>11.032903649632045</v>
      </c>
      <c r="O43" s="91">
        <f t="shared" si="12"/>
        <v>5.1000000000000004E-3</v>
      </c>
      <c r="P43" s="29"/>
      <c r="Q43" s="29"/>
      <c r="R43" s="29" t="s">
        <v>378</v>
      </c>
      <c r="S43" s="240" t="s">
        <v>399</v>
      </c>
      <c r="T43" s="121">
        <f>VLOOKUP($R43,INPUT!$AB$9:$AF$130,3,FALSE)</f>
        <v>9.74</v>
      </c>
      <c r="U43" s="121">
        <f>VLOOKUP($R43,INPUT!$AB$9:$AF$130,4,FALSE)</f>
        <v>10.050000000000001</v>
      </c>
      <c r="V43" s="29">
        <f>VLOOKUP($R43,INPUT!$AB$9:$AF$130,5,FALSE)</f>
        <v>0.14299999999999999</v>
      </c>
      <c r="W43" s="97">
        <f>($V43*INPUT!$S$70)*INPUT!$H$76</f>
        <v>-7.0140435809049245E-2</v>
      </c>
      <c r="X43" s="97">
        <f>($V43*INPUT!$S$70)*INPUT!$J$76</f>
        <v>1.0888284054410942</v>
      </c>
      <c r="Y43" s="98">
        <f t="shared" si="37"/>
        <v>10.758687969632044</v>
      </c>
      <c r="Z43" s="98">
        <f t="shared" si="38"/>
        <v>11.068687969632045</v>
      </c>
      <c r="AA43" s="97">
        <f>($V43*INPUT!$S$70)*$AA$19</f>
        <v>0.21821041146728376</v>
      </c>
      <c r="AB43" s="97">
        <f>($V43*INPUT!$S$70)*$AB$19</f>
        <v>-3.5784320000000001E-2</v>
      </c>
    </row>
    <row r="44" spans="1:28" ht="13" thickBot="1" x14ac:dyDescent="0.3">
      <c r="A44" s="293" t="s">
        <v>496</v>
      </c>
      <c r="B44" s="330">
        <f t="shared" si="28"/>
        <v>0.22</v>
      </c>
      <c r="C44" s="179">
        <f t="shared" si="15"/>
        <v>14.13</v>
      </c>
      <c r="D44" s="179">
        <f t="shared" si="29"/>
        <v>14.59</v>
      </c>
      <c r="E44" s="179">
        <f t="shared" si="5"/>
        <v>0.33570832533428269</v>
      </c>
      <c r="F44" s="90">
        <f t="shared" si="6"/>
        <v>0.12429167466571656</v>
      </c>
      <c r="G44" s="235">
        <f t="shared" si="7"/>
        <v>8.8000000000000005E-3</v>
      </c>
      <c r="H44" s="179">
        <f t="shared" si="30"/>
        <v>-0.10790836278315269</v>
      </c>
      <c r="I44" s="179">
        <f t="shared" si="31"/>
        <v>1.6751206237555296</v>
      </c>
      <c r="J44" s="179">
        <f t="shared" si="8"/>
        <v>16.032920586306659</v>
      </c>
      <c r="K44" s="179">
        <f t="shared" si="32"/>
        <v>16.157212260972376</v>
      </c>
      <c r="L44" s="235">
        <f t="shared" si="9"/>
        <v>7.7999999999999996E-3</v>
      </c>
      <c r="M44" s="179">
        <f t="shared" si="10"/>
        <v>-5.5052799999999999E-2</v>
      </c>
      <c r="N44" s="90">
        <f t="shared" si="11"/>
        <v>16.102159460972377</v>
      </c>
      <c r="O44" s="91">
        <f t="shared" si="12"/>
        <v>4.3E-3</v>
      </c>
      <c r="P44" s="29"/>
      <c r="Q44" s="29"/>
      <c r="R44" s="29" t="s">
        <v>379</v>
      </c>
      <c r="S44" s="240" t="s">
        <v>400</v>
      </c>
      <c r="T44" s="121">
        <f>VLOOKUP($R44,INPUT!$AB$9:$AF$130,3,FALSE)</f>
        <v>14.13</v>
      </c>
      <c r="U44" s="121">
        <f>VLOOKUP($R44,INPUT!$AB$9:$AF$130,4,FALSE)</f>
        <v>14.59</v>
      </c>
      <c r="V44" s="29">
        <f>VLOOKUP($R44,INPUT!$AB$9:$AF$130,5,FALSE)</f>
        <v>0.22</v>
      </c>
      <c r="W44" s="97">
        <f>($V44*INPUT!$S$70)*INPUT!$H$76</f>
        <v>-0.10790836278315269</v>
      </c>
      <c r="X44" s="97">
        <f>($V44*INPUT!$S$70)*INPUT!$J$76</f>
        <v>1.6751206237555296</v>
      </c>
      <c r="Y44" s="98">
        <f t="shared" si="37"/>
        <v>15.697212260972378</v>
      </c>
      <c r="Z44" s="98">
        <f t="shared" si="38"/>
        <v>16.157212260972376</v>
      </c>
      <c r="AA44" s="97">
        <f>($V44*INPUT!$S$70)*$AA$19</f>
        <v>0.33570832533428269</v>
      </c>
      <c r="AB44" s="97">
        <f>($V44*INPUT!$S$70)*$AB$19</f>
        <v>-5.5052799999999999E-2</v>
      </c>
    </row>
    <row r="45" spans="1:28" ht="13" thickBot="1" x14ac:dyDescent="0.3">
      <c r="A45" s="293" t="s">
        <v>497</v>
      </c>
      <c r="B45" s="330">
        <f t="shared" si="28"/>
        <v>0.38</v>
      </c>
      <c r="C45" s="179">
        <f t="shared" si="15"/>
        <v>21.32</v>
      </c>
      <c r="D45" s="179">
        <f t="shared" si="29"/>
        <v>20.29</v>
      </c>
      <c r="E45" s="179">
        <f t="shared" si="5"/>
        <v>0.57985983466830648</v>
      </c>
      <c r="F45" s="90">
        <f t="shared" si="6"/>
        <v>-1.6098598346683062</v>
      </c>
      <c r="G45" s="235">
        <f t="shared" si="7"/>
        <v>-7.5499999999999998E-2</v>
      </c>
      <c r="H45" s="179">
        <f t="shared" si="30"/>
        <v>-0.18638717207999103</v>
      </c>
      <c r="I45" s="179">
        <f t="shared" si="31"/>
        <v>2.8933901683050061</v>
      </c>
      <c r="J45" s="179">
        <f t="shared" si="8"/>
        <v>24.60686283089332</v>
      </c>
      <c r="K45" s="179">
        <f t="shared" si="32"/>
        <v>22.997002996225014</v>
      </c>
      <c r="L45" s="235">
        <f t="shared" si="9"/>
        <v>-6.54E-2</v>
      </c>
      <c r="M45" s="179">
        <f t="shared" si="10"/>
        <v>-9.5091200000000015E-2</v>
      </c>
      <c r="N45" s="90">
        <f t="shared" si="11"/>
        <v>22.901911796225015</v>
      </c>
      <c r="O45" s="91">
        <f t="shared" si="12"/>
        <v>-6.93E-2</v>
      </c>
      <c r="P45" s="29"/>
      <c r="Q45" s="29"/>
      <c r="R45" s="29" t="s">
        <v>380</v>
      </c>
      <c r="S45" s="240" t="s">
        <v>398</v>
      </c>
      <c r="T45" s="121">
        <f>VLOOKUP($R45,INPUT!$AB$9:$AF$130,3,FALSE)</f>
        <v>21.32</v>
      </c>
      <c r="U45" s="121">
        <f>VLOOKUP($R45,INPUT!$AB$9:$AF$130,4,FALSE)</f>
        <v>20.29</v>
      </c>
      <c r="V45" s="29">
        <f>VLOOKUP($R45,INPUT!$AB$9:$AF$130,5,FALSE)</f>
        <v>0.38</v>
      </c>
      <c r="W45" s="97">
        <f>($V45*INPUT!$S$70)*INPUT!$H$76</f>
        <v>-0.18638717207999103</v>
      </c>
      <c r="X45" s="97">
        <f>($V45*INPUT!$S$70)*INPUT!$J$76</f>
        <v>2.8933901683050061</v>
      </c>
      <c r="Y45" s="98">
        <f t="shared" si="37"/>
        <v>24.027002996225015</v>
      </c>
      <c r="Z45" s="98">
        <f t="shared" si="38"/>
        <v>22.997002996225014</v>
      </c>
      <c r="AA45" s="97">
        <f>($V45*INPUT!$S$70)*$AA$19</f>
        <v>0.57985983466830648</v>
      </c>
      <c r="AB45" s="97">
        <f>($V45*INPUT!$S$70)*$AB$19</f>
        <v>-9.5091200000000015E-2</v>
      </c>
    </row>
    <row r="46" spans="1:28" ht="13" thickBot="1" x14ac:dyDescent="0.3">
      <c r="A46" s="293" t="s">
        <v>498</v>
      </c>
      <c r="B46" s="330">
        <f t="shared" si="28"/>
        <v>0.03</v>
      </c>
      <c r="C46" s="179">
        <f t="shared" si="15"/>
        <v>8.17</v>
      </c>
      <c r="D46" s="179">
        <f t="shared" si="29"/>
        <v>8.18</v>
      </c>
      <c r="E46" s="179">
        <f t="shared" si="5"/>
        <v>4.5778408000129459E-2</v>
      </c>
      <c r="F46" s="90">
        <f t="shared" si="6"/>
        <v>-3.5778408000130213E-2</v>
      </c>
      <c r="G46" s="235">
        <f t="shared" si="7"/>
        <v>-4.4000000000000003E-3</v>
      </c>
      <c r="H46" s="179">
        <f t="shared" si="30"/>
        <v>-1.4714776743157184E-2</v>
      </c>
      <c r="I46" s="179">
        <f t="shared" si="31"/>
        <v>0.22842553960302678</v>
      </c>
      <c r="J46" s="179">
        <f t="shared" si="8"/>
        <v>8.4294891708600002</v>
      </c>
      <c r="K46" s="179">
        <f t="shared" si="32"/>
        <v>8.3937107628598699</v>
      </c>
      <c r="L46" s="235">
        <f t="shared" si="9"/>
        <v>-4.1999999999999997E-3</v>
      </c>
      <c r="M46" s="179">
        <f t="shared" si="10"/>
        <v>-7.5072000000000003E-3</v>
      </c>
      <c r="N46" s="90">
        <f t="shared" si="11"/>
        <v>8.3862035628598708</v>
      </c>
      <c r="O46" s="91">
        <f t="shared" si="12"/>
        <v>-5.1000000000000004E-3</v>
      </c>
      <c r="P46" s="29"/>
      <c r="Q46" s="29"/>
      <c r="R46" s="29" t="s">
        <v>381</v>
      </c>
      <c r="S46" s="240" t="s">
        <v>401</v>
      </c>
      <c r="T46" s="121">
        <f>VLOOKUP($R46,INPUT!$AB$9:$AF$130,3,FALSE)</f>
        <v>8.17</v>
      </c>
      <c r="U46" s="121">
        <f>VLOOKUP($R46,INPUT!$AB$9:$AF$130,4,FALSE)</f>
        <v>8.18</v>
      </c>
      <c r="V46" s="29">
        <f>VLOOKUP($R46,INPUT!$AB$9:$AF$130,5,FALSE)</f>
        <v>0.03</v>
      </c>
      <c r="W46" s="97">
        <f>($V46*INPUT!$S$70)*INPUT!$H$76</f>
        <v>-1.4714776743157184E-2</v>
      </c>
      <c r="X46" s="97">
        <f>($V46*INPUT!$S$70)*INPUT!$J$76</f>
        <v>0.22842553960302678</v>
      </c>
      <c r="Y46" s="98">
        <f t="shared" si="37"/>
        <v>8.3837107628598702</v>
      </c>
      <c r="Z46" s="98">
        <f t="shared" si="38"/>
        <v>8.3937107628598699</v>
      </c>
      <c r="AA46" s="97">
        <f>($V46*INPUT!$S$70)*$AA$19</f>
        <v>4.5778408000129459E-2</v>
      </c>
      <c r="AB46" s="97">
        <f>($V46*INPUT!$S$70)*$AB$19</f>
        <v>-7.5072000000000003E-3</v>
      </c>
    </row>
    <row r="47" spans="1:28" ht="13" thickBot="1" x14ac:dyDescent="0.3">
      <c r="A47" s="293" t="s">
        <v>499</v>
      </c>
      <c r="B47" s="330">
        <f t="shared" si="28"/>
        <v>9.6000000000000002E-2</v>
      </c>
      <c r="C47" s="179">
        <f t="shared" si="15"/>
        <v>10</v>
      </c>
      <c r="D47" s="179">
        <f t="shared" si="29"/>
        <v>10.09</v>
      </c>
      <c r="E47" s="179">
        <f t="shared" si="5"/>
        <v>0.14649090560041428</v>
      </c>
      <c r="F47" s="90">
        <f t="shared" si="6"/>
        <v>-5.6490905600414365E-2</v>
      </c>
      <c r="G47" s="235">
        <f t="shared" si="7"/>
        <v>-5.5999999999999999E-3</v>
      </c>
      <c r="H47" s="179">
        <f t="shared" si="30"/>
        <v>-4.7087285578102996E-2</v>
      </c>
      <c r="I47" s="179">
        <f t="shared" si="31"/>
        <v>0.73096172672968585</v>
      </c>
      <c r="J47" s="179">
        <f t="shared" si="8"/>
        <v>10.830365346751996</v>
      </c>
      <c r="K47" s="179">
        <f t="shared" si="32"/>
        <v>10.773874441151582</v>
      </c>
      <c r="L47" s="235">
        <f t="shared" si="9"/>
        <v>-5.1999999999999998E-3</v>
      </c>
      <c r="M47" s="179">
        <f t="shared" si="10"/>
        <v>-2.4023040000000002E-2</v>
      </c>
      <c r="N47" s="90">
        <f t="shared" si="11"/>
        <v>10.749851401151583</v>
      </c>
      <c r="O47" s="91">
        <f t="shared" si="12"/>
        <v>-7.4000000000000003E-3</v>
      </c>
      <c r="P47" s="29"/>
      <c r="Q47" s="29"/>
      <c r="R47" s="29" t="s">
        <v>382</v>
      </c>
      <c r="S47" s="240" t="s">
        <v>402</v>
      </c>
      <c r="T47" s="121">
        <f>VLOOKUP($R47,INPUT!$AB$9:$AF$130,3,FALSE)</f>
        <v>10</v>
      </c>
      <c r="U47" s="121">
        <f>VLOOKUP($R47,INPUT!$AB$9:$AF$130,4,FALSE)</f>
        <v>10.09</v>
      </c>
      <c r="V47" s="29">
        <f>VLOOKUP($R47,INPUT!$AB$9:$AF$130,5,FALSE)</f>
        <v>9.6000000000000002E-2</v>
      </c>
      <c r="W47" s="97">
        <f>($V47*INPUT!$S$70)*INPUT!$H$76</f>
        <v>-4.7087285578102996E-2</v>
      </c>
      <c r="X47" s="97">
        <f>($V47*INPUT!$S$70)*INPUT!$J$76</f>
        <v>0.73096172672968585</v>
      </c>
      <c r="Y47" s="98">
        <f t="shared" si="37"/>
        <v>10.683874441151582</v>
      </c>
      <c r="Z47" s="98">
        <f t="shared" si="38"/>
        <v>10.773874441151582</v>
      </c>
      <c r="AA47" s="97">
        <f>($V47*INPUT!$S$70)*$AA$19</f>
        <v>0.14649090560041428</v>
      </c>
      <c r="AB47" s="97">
        <f>($V47*INPUT!$S$70)*$AB$19</f>
        <v>-2.4023040000000002E-2</v>
      </c>
    </row>
    <row r="48" spans="1:28" ht="13" thickBot="1" x14ac:dyDescent="0.3">
      <c r="A48" s="293" t="s">
        <v>500</v>
      </c>
      <c r="B48" s="330">
        <f t="shared" si="28"/>
        <v>0.17499999999999999</v>
      </c>
      <c r="C48" s="179">
        <f t="shared" si="15"/>
        <v>12.38</v>
      </c>
      <c r="D48" s="179">
        <f t="shared" si="29"/>
        <v>12.44</v>
      </c>
      <c r="E48" s="179">
        <f t="shared" si="5"/>
        <v>0.26704071333408852</v>
      </c>
      <c r="F48" s="90">
        <f t="shared" si="6"/>
        <v>-0.20704071333408969</v>
      </c>
      <c r="G48" s="235">
        <f t="shared" si="7"/>
        <v>-1.67E-2</v>
      </c>
      <c r="H48" s="179">
        <f t="shared" si="30"/>
        <v>-8.5836197668416908E-2</v>
      </c>
      <c r="I48" s="179">
        <f t="shared" si="31"/>
        <v>1.3324823143509894</v>
      </c>
      <c r="J48" s="179">
        <f t="shared" si="8"/>
        <v>13.893686830016662</v>
      </c>
      <c r="K48" s="179">
        <f t="shared" si="32"/>
        <v>13.686646116682571</v>
      </c>
      <c r="L48" s="235">
        <f t="shared" si="9"/>
        <v>-1.49E-2</v>
      </c>
      <c r="M48" s="179">
        <f t="shared" si="10"/>
        <v>-4.3791999999999998E-2</v>
      </c>
      <c r="N48" s="90">
        <f t="shared" si="11"/>
        <v>13.642854116682571</v>
      </c>
      <c r="O48" s="91">
        <f t="shared" si="12"/>
        <v>-1.8100000000000002E-2</v>
      </c>
      <c r="P48" s="190"/>
      <c r="Q48" s="190"/>
      <c r="R48" s="29" t="s">
        <v>383</v>
      </c>
      <c r="S48" s="240" t="s">
        <v>403</v>
      </c>
      <c r="T48" s="121">
        <f>VLOOKUP($R48,INPUT!$AB$9:$AF$130,3,FALSE)</f>
        <v>12.38</v>
      </c>
      <c r="U48" s="121">
        <f>VLOOKUP($R48,INPUT!$AB$9:$AF$130,4,FALSE)</f>
        <v>12.44</v>
      </c>
      <c r="V48" s="29">
        <f>VLOOKUP($R48,INPUT!$AB$9:$AF$130,5,FALSE)</f>
        <v>0.17499999999999999</v>
      </c>
      <c r="W48" s="97">
        <f>($V48*INPUT!$S$70)*INPUT!$H$76</f>
        <v>-8.5836197668416908E-2</v>
      </c>
      <c r="X48" s="97">
        <f>($V48*INPUT!$S$70)*INPUT!$J$76</f>
        <v>1.3324823143509894</v>
      </c>
      <c r="Y48" s="98">
        <f t="shared" si="37"/>
        <v>13.626646116682572</v>
      </c>
      <c r="Z48" s="98">
        <f t="shared" si="38"/>
        <v>13.686646116682571</v>
      </c>
      <c r="AA48" s="97">
        <f>($V48*INPUT!$S$70)*$AA$19</f>
        <v>0.26704071333408852</v>
      </c>
      <c r="AB48" s="97">
        <f>($V48*INPUT!$S$70)*$AB$19</f>
        <v>-4.3791999999999998E-2</v>
      </c>
    </row>
    <row r="49" spans="1:28" ht="13" thickBot="1" x14ac:dyDescent="0.3">
      <c r="A49" s="293" t="s">
        <v>501</v>
      </c>
      <c r="B49" s="330">
        <f t="shared" si="28"/>
        <v>0.29699999999999999</v>
      </c>
      <c r="C49" s="179">
        <f t="shared" si="15"/>
        <v>19.09</v>
      </c>
      <c r="D49" s="179">
        <f t="shared" si="29"/>
        <v>19.22</v>
      </c>
      <c r="E49" s="179">
        <f t="shared" si="5"/>
        <v>0.45320623920128167</v>
      </c>
      <c r="F49" s="90">
        <f t="shared" si="6"/>
        <v>-0.32320623920128355</v>
      </c>
      <c r="G49" s="235">
        <f t="shared" si="7"/>
        <v>-1.6899999999999998E-2</v>
      </c>
      <c r="H49" s="179">
        <f t="shared" si="30"/>
        <v>-0.14567628975725613</v>
      </c>
      <c r="I49" s="179">
        <f t="shared" si="31"/>
        <v>2.2614128420699648</v>
      </c>
      <c r="J49" s="179">
        <f>+C49+E49+H49+I49</f>
        <v>21.658942791513994</v>
      </c>
      <c r="K49" s="179">
        <f t="shared" si="32"/>
        <v>21.33573655231271</v>
      </c>
      <c r="L49" s="235">
        <f t="shared" si="9"/>
        <v>-1.49E-2</v>
      </c>
      <c r="M49" s="179">
        <f t="shared" si="10"/>
        <v>-7.4321280000000003E-2</v>
      </c>
      <c r="N49" s="90">
        <f t="shared" si="11"/>
        <v>21.261415272312711</v>
      </c>
      <c r="O49" s="91">
        <f t="shared" si="12"/>
        <v>-1.84E-2</v>
      </c>
      <c r="P49" s="190"/>
      <c r="Q49" s="190"/>
      <c r="R49" s="29" t="s">
        <v>384</v>
      </c>
      <c r="S49" s="240" t="s">
        <v>404</v>
      </c>
      <c r="T49" s="121">
        <f>VLOOKUP($R49,INPUT!$AB$9:$AF$130,3,FALSE)</f>
        <v>19.09</v>
      </c>
      <c r="U49" s="121">
        <f>VLOOKUP($R49,INPUT!$AB$9:$AF$130,4,FALSE)</f>
        <v>19.22</v>
      </c>
      <c r="V49" s="29">
        <f>VLOOKUP($R49,INPUT!$AB$9:$AF$130,5,FALSE)</f>
        <v>0.29699999999999999</v>
      </c>
      <c r="W49" s="97">
        <f>($V49*INPUT!$S$70)*INPUT!$H$76</f>
        <v>-0.14567628975725613</v>
      </c>
      <c r="X49" s="97">
        <f>($V49*INPUT!$S$70)*INPUT!$J$76</f>
        <v>2.2614128420699648</v>
      </c>
      <c r="Y49" s="98">
        <f t="shared" si="37"/>
        <v>21.205736552312711</v>
      </c>
      <c r="Z49" s="98">
        <f t="shared" si="38"/>
        <v>21.33573655231271</v>
      </c>
      <c r="AA49" s="97">
        <f>($V49*INPUT!$S$70)*$AA$19</f>
        <v>0.45320623920128167</v>
      </c>
      <c r="AB49" s="97">
        <f>($V49*INPUT!$S$70)*$AB$19</f>
        <v>-7.4321280000000003E-2</v>
      </c>
    </row>
    <row r="50" spans="1:28" ht="13" thickBot="1" x14ac:dyDescent="0.3">
      <c r="A50" s="293" t="s">
        <v>502</v>
      </c>
      <c r="B50" s="330">
        <f t="shared" si="28"/>
        <v>7.9000000000000001E-2</v>
      </c>
      <c r="C50" s="330" t="str">
        <f t="shared" ref="C50" si="39">T50</f>
        <v>NA</v>
      </c>
      <c r="D50" s="179">
        <f t="shared" ref="D50" si="40">U50</f>
        <v>21.7</v>
      </c>
      <c r="E50" s="179">
        <f t="shared" ref="E50" si="41">AA50</f>
        <v>0.12054980773367424</v>
      </c>
      <c r="F50" s="330" t="s">
        <v>417</v>
      </c>
      <c r="G50" s="330" t="s">
        <v>417</v>
      </c>
      <c r="H50" s="179">
        <f t="shared" ref="H50" si="42">+W50</f>
        <v>-3.8748912090313919E-2</v>
      </c>
      <c r="I50" s="179">
        <f t="shared" ref="I50" si="43">+X50</f>
        <v>0.60152058762130389</v>
      </c>
      <c r="J50" s="330" t="s">
        <v>417</v>
      </c>
      <c r="K50" s="179">
        <f t="shared" ref="K50" si="44">+D50+H50+I50</f>
        <v>22.262771675530992</v>
      </c>
      <c r="L50" s="330" t="s">
        <v>417</v>
      </c>
      <c r="M50" s="179">
        <f t="shared" ref="M50" si="45">AB50</f>
        <v>-1.9768960000000002E-2</v>
      </c>
      <c r="N50" s="90">
        <f t="shared" ref="N50" si="46">K50+M50</f>
        <v>22.243002715530992</v>
      </c>
      <c r="O50" s="330" t="s">
        <v>417</v>
      </c>
      <c r="P50" s="190"/>
      <c r="Q50" s="190"/>
      <c r="R50" s="29" t="s">
        <v>455</v>
      </c>
      <c r="S50" s="240" t="s">
        <v>449</v>
      </c>
      <c r="T50" s="121" t="str">
        <f>VLOOKUP($R50,INPUT!$AB$9:$AF$130,3,FALSE)</f>
        <v>NA</v>
      </c>
      <c r="U50" s="121">
        <f>VLOOKUP($R50,INPUT!$AB$9:$AF$130,4,FALSE)</f>
        <v>21.7</v>
      </c>
      <c r="V50" s="29">
        <f>VLOOKUP($R50,INPUT!$AB$9:$AF$130,5,FALSE)</f>
        <v>7.9000000000000001E-2</v>
      </c>
      <c r="W50" s="97">
        <f>($V50*INPUT!$S$70)*INPUT!$H$76</f>
        <v>-3.8748912090313919E-2</v>
      </c>
      <c r="X50" s="97">
        <f>($V50*INPUT!$S$70)*INPUT!$J$76</f>
        <v>0.60152058762130389</v>
      </c>
      <c r="Y50" s="98" t="e">
        <f t="shared" ref="Y50" si="47">+T50+W50+X50</f>
        <v>#VALUE!</v>
      </c>
      <c r="Z50" s="98">
        <f t="shared" ref="Z50" si="48">+U50+W50+X50</f>
        <v>22.262771675530992</v>
      </c>
      <c r="AA50" s="97">
        <f>($V50*INPUT!$S$70)*$AA$19</f>
        <v>0.12054980773367424</v>
      </c>
      <c r="AB50" s="97">
        <f>($V50*INPUT!$S$70)*$AB$19</f>
        <v>-1.9768960000000002E-2</v>
      </c>
    </row>
    <row r="51" spans="1:28" x14ac:dyDescent="0.25">
      <c r="A51" s="109"/>
      <c r="C51" s="179"/>
      <c r="D51" s="179"/>
      <c r="E51" s="179"/>
      <c r="F51" s="235"/>
      <c r="G51" s="179"/>
      <c r="H51" s="179"/>
      <c r="I51" s="179"/>
      <c r="J51" s="179"/>
      <c r="K51" s="235"/>
      <c r="M51" s="352"/>
      <c r="O51" s="109"/>
      <c r="P51" s="125"/>
      <c r="Q51" s="109"/>
      <c r="S51" s="97"/>
      <c r="T51" s="97"/>
      <c r="U51" s="98"/>
      <c r="V51" s="98"/>
    </row>
    <row r="52" spans="1:28" x14ac:dyDescent="0.25">
      <c r="A52" s="87" t="s">
        <v>301</v>
      </c>
      <c r="C52" s="179"/>
      <c r="D52" s="179"/>
      <c r="E52" s="179"/>
      <c r="F52" s="180"/>
      <c r="G52" s="179"/>
      <c r="H52" s="179"/>
      <c r="I52" s="179"/>
      <c r="J52" s="179"/>
      <c r="K52" s="180"/>
      <c r="M52" s="352"/>
      <c r="O52" s="109"/>
      <c r="P52" s="125"/>
      <c r="Q52" s="109"/>
      <c r="S52" s="97"/>
      <c r="T52" s="97"/>
      <c r="U52" s="98"/>
      <c r="V52" s="98"/>
    </row>
    <row r="53" spans="1:28" x14ac:dyDescent="0.25">
      <c r="A53" s="175" t="s">
        <v>305</v>
      </c>
      <c r="C53" s="179"/>
      <c r="D53" s="179"/>
      <c r="E53" s="179"/>
      <c r="F53" s="180"/>
      <c r="G53" s="179"/>
      <c r="H53" s="179"/>
      <c r="I53" s="179"/>
      <c r="J53" s="179"/>
      <c r="K53" s="180"/>
      <c r="O53" s="109"/>
      <c r="P53" s="125"/>
      <c r="Q53" s="109"/>
      <c r="S53" s="97"/>
      <c r="T53" s="97"/>
    </row>
    <row r="54" spans="1:28" ht="13" x14ac:dyDescent="0.25">
      <c r="A54" s="175" t="str">
        <f>+'Rate Case Constants'!$C$26</f>
        <v>Calculations may vary from other schedules due to rounding</v>
      </c>
      <c r="C54" s="179"/>
      <c r="D54" s="179"/>
      <c r="E54" s="179"/>
      <c r="F54" s="180"/>
      <c r="G54" s="179"/>
      <c r="H54" s="179"/>
      <c r="I54" s="179"/>
      <c r="J54" s="179"/>
      <c r="K54" s="180"/>
      <c r="L54" s="237"/>
      <c r="O54" s="109"/>
      <c r="P54" s="125"/>
      <c r="Q54" s="109"/>
      <c r="S54" s="97"/>
      <c r="T54" s="97"/>
    </row>
    <row r="55" spans="1:28" ht="13" x14ac:dyDescent="0.25">
      <c r="A55" s="175" t="s">
        <v>462</v>
      </c>
      <c r="C55" s="179"/>
      <c r="D55" s="179"/>
      <c r="E55" s="179"/>
      <c r="F55" s="180"/>
      <c r="G55" s="179"/>
      <c r="H55" s="179"/>
      <c r="I55" s="179"/>
      <c r="J55" s="179"/>
      <c r="K55" s="180"/>
      <c r="L55" s="359"/>
      <c r="O55" s="109"/>
      <c r="P55" s="125"/>
      <c r="Q55" s="109"/>
      <c r="S55" s="97"/>
      <c r="T55" s="97"/>
    </row>
    <row r="56" spans="1:28" ht="13" x14ac:dyDescent="0.25">
      <c r="A56" s="414" t="str">
        <f>+$A$1</f>
        <v>KENTUCKY UTILITIES COMPANY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125"/>
      <c r="Q56" s="109"/>
      <c r="S56" s="97"/>
      <c r="T56" s="97"/>
    </row>
    <row r="57" spans="1:28" ht="13" x14ac:dyDescent="0.25">
      <c r="A57" s="414" t="str">
        <f>+$A$2</f>
        <v>CASE NO. 2020-00349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125"/>
      <c r="Q57" s="109"/>
      <c r="S57" s="97"/>
      <c r="T57" s="97"/>
    </row>
    <row r="58" spans="1:28" ht="13" x14ac:dyDescent="0.25">
      <c r="A58" s="417" t="str">
        <f>+$A$3</f>
        <v>Typical Bill Comparison under Current &amp; Proposed Rates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125"/>
      <c r="Q58" s="109"/>
      <c r="S58" s="97"/>
      <c r="T58" s="97"/>
    </row>
    <row r="59" spans="1:28" ht="13" x14ac:dyDescent="0.25">
      <c r="A59" s="414" t="str">
        <f>+$A$4</f>
        <v>FORECAST PERIOD FOR THE 12 MONTHS ENDED JUNE 30, 2022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125"/>
      <c r="Q59" s="109"/>
      <c r="S59" s="97"/>
      <c r="T59" s="97"/>
    </row>
    <row r="60" spans="1:28" ht="13" x14ac:dyDescent="0.25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125"/>
      <c r="Q60" s="109"/>
      <c r="S60" s="97"/>
      <c r="T60" s="97"/>
    </row>
    <row r="61" spans="1:28" ht="13" x14ac:dyDescent="0.3">
      <c r="A61" s="105"/>
      <c r="B61" s="3"/>
      <c r="C61" s="210"/>
      <c r="D61" s="210"/>
      <c r="E61" s="210"/>
      <c r="F61" s="211"/>
      <c r="G61" s="210"/>
      <c r="H61" s="210"/>
      <c r="I61" s="210"/>
      <c r="J61" s="210"/>
      <c r="K61" s="211"/>
      <c r="O61" s="109"/>
      <c r="P61" s="125"/>
      <c r="Q61" s="109"/>
      <c r="S61" s="97"/>
      <c r="T61" s="97"/>
    </row>
    <row r="62" spans="1:28" ht="13" x14ac:dyDescent="0.3">
      <c r="A62" s="105" t="str">
        <f>+$A$7</f>
        <v>DATA: ____BASE PERIOD__X___FORECASTED PERIOD</v>
      </c>
      <c r="B62" s="3"/>
      <c r="C62" s="210"/>
      <c r="D62" s="210"/>
      <c r="E62" s="210"/>
      <c r="F62" s="211"/>
      <c r="G62" s="210"/>
      <c r="H62" s="210"/>
      <c r="I62" s="210"/>
      <c r="J62" s="210"/>
      <c r="O62" s="212" t="str">
        <f>+$O$7</f>
        <v>SCHEDULE N</v>
      </c>
      <c r="P62" s="125"/>
      <c r="Q62" s="109"/>
      <c r="S62" s="97"/>
      <c r="T62" s="97"/>
    </row>
    <row r="63" spans="1:28" ht="13" x14ac:dyDescent="0.3">
      <c r="A63" s="105" t="str">
        <f>+$A$8</f>
        <v>TYPE OF FILING: __X__ ORIGINAL  _____ UPDATED  _____ REVISED</v>
      </c>
      <c r="B63" s="3"/>
      <c r="C63" s="210"/>
      <c r="D63" s="210"/>
      <c r="E63" s="210"/>
      <c r="F63" s="211"/>
      <c r="G63" s="210"/>
      <c r="H63" s="210"/>
      <c r="I63" s="210"/>
      <c r="J63" s="210"/>
      <c r="O63" s="213" t="str">
        <f>+'Rate Case Constants'!L23</f>
        <v>PAGE 16 of 24</v>
      </c>
      <c r="P63" s="125"/>
      <c r="Q63" s="109"/>
      <c r="S63" s="97"/>
      <c r="T63" s="97"/>
    </row>
    <row r="64" spans="1:28" ht="13" x14ac:dyDescent="0.3">
      <c r="A64" s="105" t="str">
        <f>+$A$9</f>
        <v>WORKPAPER REFERENCE NO(S):________</v>
      </c>
      <c r="B64" s="3"/>
      <c r="C64" s="210"/>
      <c r="D64" s="210"/>
      <c r="E64" s="210"/>
      <c r="F64" s="211"/>
      <c r="G64" s="210"/>
      <c r="H64" s="210"/>
      <c r="I64" s="210"/>
      <c r="J64" s="210"/>
      <c r="L64" s="205"/>
      <c r="O64" s="213" t="str">
        <f>+$O$9</f>
        <v>WITNESS:   R. M. CONROY</v>
      </c>
      <c r="P64" s="125"/>
      <c r="Q64" s="109"/>
      <c r="S64" s="97"/>
      <c r="T64" s="97"/>
    </row>
    <row r="65" spans="1:28" ht="13" x14ac:dyDescent="0.3">
      <c r="A65" s="105"/>
      <c r="B65" s="206"/>
      <c r="C65" s="215"/>
      <c r="D65" s="215"/>
      <c r="E65" s="215"/>
      <c r="F65" s="216"/>
      <c r="G65" s="215"/>
      <c r="H65" s="215"/>
      <c r="I65" s="215"/>
      <c r="J65" s="215"/>
      <c r="K65" s="216"/>
      <c r="L65" s="190"/>
      <c r="O65" s="109"/>
      <c r="P65" s="125"/>
      <c r="Q65" s="109"/>
      <c r="S65" s="97"/>
      <c r="T65" s="97"/>
    </row>
    <row r="66" spans="1:28" ht="13" x14ac:dyDescent="0.3">
      <c r="A66" s="124" t="s">
        <v>149</v>
      </c>
      <c r="B66" s="346" t="s">
        <v>291</v>
      </c>
      <c r="C66" s="347" t="s">
        <v>292</v>
      </c>
      <c r="D66" s="347" t="s">
        <v>293</v>
      </c>
      <c r="E66" s="346" t="s">
        <v>294</v>
      </c>
      <c r="F66" s="346" t="s">
        <v>295</v>
      </c>
      <c r="G66" s="346" t="s">
        <v>296</v>
      </c>
      <c r="H66" s="347" t="s">
        <v>297</v>
      </c>
      <c r="I66" s="346" t="s">
        <v>298</v>
      </c>
      <c r="J66" s="346" t="s">
        <v>299</v>
      </c>
      <c r="K66" s="346" t="s">
        <v>300</v>
      </c>
      <c r="L66" s="346" t="s">
        <v>444</v>
      </c>
      <c r="M66" s="346" t="s">
        <v>440</v>
      </c>
      <c r="N66" s="346" t="s">
        <v>441</v>
      </c>
      <c r="O66" s="346" t="s">
        <v>442</v>
      </c>
      <c r="P66" s="190"/>
      <c r="Q66" s="29"/>
      <c r="S66" s="109"/>
      <c r="T66" s="125"/>
      <c r="U66" s="109"/>
      <c r="W66" s="97"/>
      <c r="X66" s="97"/>
    </row>
    <row r="67" spans="1:28" ht="13" x14ac:dyDescent="0.3">
      <c r="A67" s="109"/>
      <c r="C67" s="195" t="s">
        <v>313</v>
      </c>
      <c r="D67" s="195" t="s">
        <v>313</v>
      </c>
      <c r="E67" s="195" t="s">
        <v>69</v>
      </c>
      <c r="J67" s="3" t="s">
        <v>5</v>
      </c>
      <c r="K67" s="3" t="s">
        <v>5</v>
      </c>
      <c r="M67" s="85" t="s">
        <v>592</v>
      </c>
      <c r="N67" s="85" t="s">
        <v>5</v>
      </c>
      <c r="O67" s="17"/>
      <c r="P67" s="190"/>
      <c r="Q67" s="29"/>
      <c r="S67" s="109"/>
      <c r="T67" s="125"/>
      <c r="U67" s="109"/>
      <c r="W67" s="97"/>
      <c r="X67" s="97"/>
    </row>
    <row r="68" spans="1:28" ht="13" x14ac:dyDescent="0.3">
      <c r="A68" s="109"/>
      <c r="B68" s="3" t="s">
        <v>214</v>
      </c>
      <c r="C68" s="3" t="s">
        <v>1</v>
      </c>
      <c r="D68" s="3" t="s">
        <v>71</v>
      </c>
      <c r="E68" s="85" t="s">
        <v>470</v>
      </c>
      <c r="F68" s="3"/>
      <c r="G68" s="3"/>
      <c r="H68" s="413" t="s">
        <v>245</v>
      </c>
      <c r="I68" s="413"/>
      <c r="J68" s="3" t="s">
        <v>1</v>
      </c>
      <c r="K68" s="3" t="s">
        <v>71</v>
      </c>
      <c r="L68" s="3"/>
      <c r="M68" s="85" t="s">
        <v>593</v>
      </c>
      <c r="N68" s="85" t="s">
        <v>71</v>
      </c>
      <c r="O68" s="85"/>
      <c r="P68" s="190"/>
      <c r="Q68" s="29"/>
      <c r="S68" s="109"/>
      <c r="T68" s="125"/>
      <c r="U68" s="109"/>
      <c r="W68" s="97"/>
      <c r="X68" s="97"/>
    </row>
    <row r="69" spans="1:28" ht="13" x14ac:dyDescent="0.3">
      <c r="A69" s="109"/>
      <c r="B69" s="3" t="s">
        <v>17</v>
      </c>
      <c r="C69" s="3" t="s">
        <v>4</v>
      </c>
      <c r="D69" s="3" t="s">
        <v>4</v>
      </c>
      <c r="E69" s="85" t="s">
        <v>471</v>
      </c>
      <c r="F69" s="3" t="s">
        <v>72</v>
      </c>
      <c r="G69" s="3" t="s">
        <v>72</v>
      </c>
      <c r="H69" s="85" t="s">
        <v>320</v>
      </c>
      <c r="I69" s="50" t="s">
        <v>69</v>
      </c>
      <c r="J69" s="3" t="s">
        <v>4</v>
      </c>
      <c r="K69" s="3" t="s">
        <v>4</v>
      </c>
      <c r="L69" s="3" t="s">
        <v>72</v>
      </c>
      <c r="M69" s="85" t="s">
        <v>439</v>
      </c>
      <c r="N69" s="85" t="s">
        <v>443</v>
      </c>
      <c r="O69" s="85" t="s">
        <v>72</v>
      </c>
      <c r="P69" s="190"/>
      <c r="Q69" s="29"/>
      <c r="S69" s="109"/>
      <c r="T69" s="125"/>
      <c r="U69" s="109"/>
      <c r="W69" s="97"/>
      <c r="X69" s="97"/>
    </row>
    <row r="70" spans="1:28" ht="13" x14ac:dyDescent="0.3">
      <c r="A70" s="109"/>
      <c r="C70" s="3"/>
      <c r="D70" s="3"/>
      <c r="E70" s="85"/>
      <c r="F70" s="3" t="s">
        <v>66</v>
      </c>
      <c r="G70" s="25" t="s">
        <v>67</v>
      </c>
      <c r="H70" s="49"/>
      <c r="I70" s="52"/>
      <c r="J70" s="3" t="s">
        <v>66</v>
      </c>
      <c r="K70" s="3" t="s">
        <v>66</v>
      </c>
      <c r="L70" s="25" t="s">
        <v>67</v>
      </c>
      <c r="M70" s="86"/>
      <c r="N70" s="86" t="s">
        <v>439</v>
      </c>
      <c r="O70" s="86" t="s">
        <v>67</v>
      </c>
      <c r="P70" s="190"/>
      <c r="Q70" s="29"/>
      <c r="S70" s="109"/>
      <c r="T70" s="125"/>
      <c r="U70" s="109"/>
      <c r="W70" s="97"/>
      <c r="X70" s="97"/>
    </row>
    <row r="71" spans="1:28" ht="13" x14ac:dyDescent="0.3">
      <c r="A71" s="181"/>
      <c r="B71" s="182"/>
      <c r="C71" s="80"/>
      <c r="D71" s="80"/>
      <c r="E71" s="349"/>
      <c r="F71" s="345" t="str">
        <f>("[ "&amp;D66&amp;" - ("&amp;E66&amp;" + "&amp;C66&amp;") ]")</f>
        <v>[ C - (D + B) ]</v>
      </c>
      <c r="G71" s="345" t="str">
        <f>("[ "&amp;F66&amp;" / "&amp;C66&amp;" ]")</f>
        <v>[ E / B ]</v>
      </c>
      <c r="H71" s="200"/>
      <c r="I71" s="200"/>
      <c r="J71" s="345" t="str">
        <f>("["&amp;C66&amp;"+"&amp;E66&amp;"+"&amp;$H$12&amp;"+"&amp;$I$12&amp;"]")</f>
        <v>[B+D+G+H]</v>
      </c>
      <c r="K71" s="345" t="str">
        <f>("["&amp;D66&amp;"+"&amp;$H$12&amp;"+"&amp;$I$12&amp;"]")</f>
        <v>[C+G+H]</v>
      </c>
      <c r="L71" s="345" t="str">
        <f>("[("&amp;K66&amp;" - "&amp;J66&amp;")/"&amp;J66&amp;"]")</f>
        <v>[(J - I)/I]</v>
      </c>
      <c r="M71" s="344"/>
      <c r="N71" s="344" t="str">
        <f>("["&amp;K66&amp;" + "&amp;M66&amp;"]")</f>
        <v>[J + L]</v>
      </c>
      <c r="O71" s="345" t="str">
        <f>("[("&amp;N66&amp;" - "&amp;J66&amp;")/"&amp;J66&amp;"]")</f>
        <v>[(M - I)/I]</v>
      </c>
      <c r="P71" s="190"/>
      <c r="Q71" s="29"/>
      <c r="S71" s="109"/>
      <c r="T71" s="125"/>
      <c r="U71" s="109"/>
      <c r="W71" s="97"/>
      <c r="X71" s="97"/>
      <c r="AA71" s="39" t="s">
        <v>69</v>
      </c>
      <c r="AB71" s="39"/>
    </row>
    <row r="72" spans="1:28" ht="13.5" thickBot="1" x14ac:dyDescent="0.35">
      <c r="A72" s="109"/>
      <c r="B72" s="217"/>
      <c r="C72" s="206"/>
      <c r="D72" s="206"/>
      <c r="E72" s="206"/>
      <c r="F72" s="218"/>
      <c r="G72" s="218"/>
      <c r="H72" s="207"/>
      <c r="I72" s="207"/>
      <c r="J72" s="218"/>
      <c r="K72" s="218"/>
      <c r="L72" s="218"/>
      <c r="M72" s="85"/>
      <c r="N72" s="85"/>
      <c r="O72" s="85"/>
      <c r="P72" s="29"/>
      <c r="Q72" s="29"/>
      <c r="S72" s="283"/>
      <c r="T72" s="319"/>
      <c r="U72" s="283"/>
      <c r="W72" s="97"/>
      <c r="X72" s="97"/>
      <c r="AA72" s="157" t="s">
        <v>471</v>
      </c>
      <c r="AB72" s="39" t="s">
        <v>439</v>
      </c>
    </row>
    <row r="73" spans="1:28" ht="13.5" thickBot="1" x14ac:dyDescent="0.3">
      <c r="A73" s="105" t="s">
        <v>103</v>
      </c>
      <c r="C73" s="179"/>
      <c r="F73" s="179"/>
      <c r="G73" s="180"/>
      <c r="H73" s="179"/>
      <c r="I73" s="179"/>
      <c r="J73" s="179"/>
      <c r="K73" s="179"/>
      <c r="L73" s="180"/>
      <c r="M73" s="28"/>
      <c r="N73" s="90"/>
      <c r="O73" s="91"/>
      <c r="P73" s="29"/>
      <c r="Q73" s="29"/>
      <c r="S73" s="106" t="s">
        <v>103</v>
      </c>
      <c r="T73" s="114"/>
      <c r="U73" s="123"/>
      <c r="W73" s="97"/>
      <c r="X73" s="97"/>
      <c r="AA73" s="39">
        <f>AA19</f>
        <v>4.1465949275479586E-3</v>
      </c>
      <c r="AB73" s="39">
        <f>AB19</f>
        <v>-6.8000000000000005E-4</v>
      </c>
    </row>
    <row r="74" spans="1:28" ht="13.5" thickBot="1" x14ac:dyDescent="0.3">
      <c r="A74" s="107" t="s">
        <v>215</v>
      </c>
      <c r="C74" s="179"/>
      <c r="D74" s="179"/>
      <c r="E74" s="179"/>
      <c r="F74" s="179"/>
      <c r="G74" s="180"/>
      <c r="H74" s="179"/>
      <c r="I74" s="179"/>
      <c r="J74" s="179"/>
      <c r="K74" s="179"/>
      <c r="L74" s="180"/>
      <c r="M74" s="28"/>
      <c r="N74" s="90"/>
      <c r="O74" s="91"/>
      <c r="P74" s="29"/>
      <c r="Q74" s="29"/>
      <c r="S74" s="108" t="s">
        <v>215</v>
      </c>
      <c r="T74" s="121"/>
      <c r="U74" s="122"/>
      <c r="W74" s="97"/>
      <c r="X74" s="97"/>
      <c r="AA74" s="39" t="s">
        <v>11</v>
      </c>
      <c r="AB74" s="39" t="s">
        <v>11</v>
      </c>
    </row>
    <row r="75" spans="1:28" ht="13" thickBot="1" x14ac:dyDescent="0.3">
      <c r="A75" s="87" t="s">
        <v>503</v>
      </c>
      <c r="B75" s="282" t="s">
        <v>417</v>
      </c>
      <c r="C75" s="179">
        <f t="shared" ref="C75:C78" si="49">T75</f>
        <v>12.12</v>
      </c>
      <c r="D75" s="179">
        <f>U75</f>
        <v>12.77</v>
      </c>
      <c r="E75" s="179"/>
      <c r="F75" s="90">
        <f>+D75-(E75+C75)</f>
        <v>0.65000000000000036</v>
      </c>
      <c r="G75" s="235">
        <f>ROUND(+F75/C75,4)</f>
        <v>5.3600000000000002E-2</v>
      </c>
      <c r="J75" s="179">
        <f>+C75+E75+H75+I75</f>
        <v>12.12</v>
      </c>
      <c r="K75" s="179">
        <f>+D75+H75+I75</f>
        <v>12.77</v>
      </c>
      <c r="L75" s="235">
        <f>ROUND((K75-J75)/J75,4)</f>
        <v>5.3600000000000002E-2</v>
      </c>
      <c r="M75" s="179">
        <f t="shared" ref="M75:M78" si="50">AB75</f>
        <v>0</v>
      </c>
      <c r="N75" s="90">
        <f t="shared" ref="N75:N78" si="51">K75+M75</f>
        <v>12.77</v>
      </c>
      <c r="O75" s="91">
        <f>ROUND((N75-J75)/J75,4)</f>
        <v>5.3600000000000002E-2</v>
      </c>
      <c r="P75" s="29"/>
      <c r="Q75" s="29"/>
      <c r="R75" s="29" t="s">
        <v>409</v>
      </c>
      <c r="S75" s="103" t="s">
        <v>413</v>
      </c>
      <c r="T75" s="121">
        <f>VLOOKUP($R75,INPUT!$AB$9:$AF$130,3,FALSE)</f>
        <v>12.12</v>
      </c>
      <c r="U75" s="121">
        <f>VLOOKUP($R75,INPUT!$AB$9:$AF$130,4,FALSE)</f>
        <v>12.77</v>
      </c>
      <c r="V75" s="29">
        <f>VLOOKUP($R75,INPUT!$AB$9:$AF$130,5,FALSE)</f>
        <v>0</v>
      </c>
      <c r="W75" s="97">
        <f>($V75*INPUT!$S$70)*INPUT!$H$76</f>
        <v>0</v>
      </c>
      <c r="X75" s="97">
        <f>($V75*INPUT!$S$70)*INPUT!$J$76</f>
        <v>0</v>
      </c>
      <c r="Y75" s="98">
        <f t="shared" ref="Y75:Y78" si="52">+T75+W75+X75</f>
        <v>12.12</v>
      </c>
      <c r="Z75" s="98">
        <f t="shared" ref="Z75:Z78" si="53">+U75+W75+X75</f>
        <v>12.77</v>
      </c>
    </row>
    <row r="76" spans="1:28" ht="13" thickBot="1" x14ac:dyDescent="0.3">
      <c r="A76" s="87" t="s">
        <v>504</v>
      </c>
      <c r="B76" s="282" t="s">
        <v>417</v>
      </c>
      <c r="C76" s="179">
        <f t="shared" si="49"/>
        <v>11.64</v>
      </c>
      <c r="D76" s="179">
        <f>U76</f>
        <v>11.81</v>
      </c>
      <c r="E76" s="179"/>
      <c r="F76" s="90">
        <f t="shared" ref="F76:F78" si="54">+D76-(E76+C76)</f>
        <v>0.16999999999999993</v>
      </c>
      <c r="G76" s="235">
        <f t="shared" ref="G76:G78" si="55">ROUND(+F76/C76,4)</f>
        <v>1.46E-2</v>
      </c>
      <c r="J76" s="179">
        <f t="shared" ref="J76:J78" si="56">+C76+E76+H76+I76</f>
        <v>11.64</v>
      </c>
      <c r="K76" s="179">
        <f t="shared" ref="K76:K78" si="57">+D76+H76+I76</f>
        <v>11.81</v>
      </c>
      <c r="L76" s="235">
        <f t="shared" ref="L76:L78" si="58">ROUND((K76-J76)/J76,4)</f>
        <v>1.46E-2</v>
      </c>
      <c r="M76" s="179">
        <f t="shared" si="50"/>
        <v>0</v>
      </c>
      <c r="N76" s="90">
        <f t="shared" si="51"/>
        <v>11.81</v>
      </c>
      <c r="O76" s="91">
        <f t="shared" ref="O76:O78" si="59">ROUND((N76-J76)/J76,4)</f>
        <v>1.46E-2</v>
      </c>
      <c r="P76" s="29"/>
      <c r="Q76" s="29"/>
      <c r="R76" s="29" t="s">
        <v>410</v>
      </c>
      <c r="S76" s="103" t="s">
        <v>414</v>
      </c>
      <c r="T76" s="121">
        <f>VLOOKUP($R76,INPUT!$AB$9:$AF$130,3,FALSE)</f>
        <v>11.64</v>
      </c>
      <c r="U76" s="121">
        <f>VLOOKUP($R76,INPUT!$AB$9:$AF$130,4,FALSE)</f>
        <v>11.81</v>
      </c>
      <c r="V76" s="29">
        <f>VLOOKUP($R76,INPUT!$AB$9:$AF$130,5,FALSE)</f>
        <v>0</v>
      </c>
      <c r="W76" s="97">
        <f>($V76*INPUT!$S$70)*INPUT!$H$76</f>
        <v>0</v>
      </c>
      <c r="X76" s="97">
        <f>($V76*INPUT!$S$70)*INPUT!$J$76</f>
        <v>0</v>
      </c>
      <c r="Y76" s="98">
        <f t="shared" si="52"/>
        <v>11.64</v>
      </c>
      <c r="Z76" s="98">
        <f t="shared" si="53"/>
        <v>11.81</v>
      </c>
    </row>
    <row r="77" spans="1:28" ht="13" thickBot="1" x14ac:dyDescent="0.3">
      <c r="A77" s="87" t="s">
        <v>505</v>
      </c>
      <c r="B77" s="282" t="s">
        <v>417</v>
      </c>
      <c r="C77" s="179">
        <f t="shared" si="49"/>
        <v>8.01</v>
      </c>
      <c r="D77" s="179">
        <f>U77</f>
        <v>8.77</v>
      </c>
      <c r="E77" s="179"/>
      <c r="F77" s="90">
        <f t="shared" si="54"/>
        <v>0.75999999999999979</v>
      </c>
      <c r="G77" s="235">
        <f t="shared" si="55"/>
        <v>9.4899999999999998E-2</v>
      </c>
      <c r="J77" s="179">
        <f t="shared" si="56"/>
        <v>8.01</v>
      </c>
      <c r="K77" s="179">
        <f t="shared" si="57"/>
        <v>8.77</v>
      </c>
      <c r="L77" s="235">
        <f t="shared" si="58"/>
        <v>9.4899999999999998E-2</v>
      </c>
      <c r="M77" s="179">
        <f t="shared" si="50"/>
        <v>0</v>
      </c>
      <c r="N77" s="90">
        <f t="shared" si="51"/>
        <v>8.77</v>
      </c>
      <c r="O77" s="91">
        <f t="shared" si="59"/>
        <v>9.4899999999999998E-2</v>
      </c>
      <c r="P77" s="29"/>
      <c r="Q77" s="29"/>
      <c r="R77" s="29" t="s">
        <v>411</v>
      </c>
      <c r="S77" s="103" t="s">
        <v>415</v>
      </c>
      <c r="T77" s="121">
        <f>VLOOKUP($R77,INPUT!$AB$9:$AF$130,3,FALSE)</f>
        <v>8.01</v>
      </c>
      <c r="U77" s="121">
        <f>VLOOKUP($R77,INPUT!$AB$9:$AF$130,4,FALSE)</f>
        <v>8.77</v>
      </c>
      <c r="V77" s="29">
        <f>VLOOKUP($R77,INPUT!$AB$9:$AF$130,5,FALSE)</f>
        <v>0</v>
      </c>
      <c r="W77" s="97">
        <f>($V77*INPUT!$S$70)*INPUT!$H$76</f>
        <v>0</v>
      </c>
      <c r="X77" s="97">
        <f>($V77*INPUT!$S$70)*INPUT!$J$76</f>
        <v>0</v>
      </c>
      <c r="Y77" s="98">
        <f t="shared" si="52"/>
        <v>8.01</v>
      </c>
      <c r="Z77" s="98">
        <f t="shared" si="53"/>
        <v>8.77</v>
      </c>
    </row>
    <row r="78" spans="1:28" ht="13" thickBot="1" x14ac:dyDescent="0.3">
      <c r="A78" s="87" t="s">
        <v>506</v>
      </c>
      <c r="B78" s="282" t="s">
        <v>417</v>
      </c>
      <c r="C78" s="179">
        <f t="shared" si="49"/>
        <v>15.02</v>
      </c>
      <c r="D78" s="179">
        <f>U78</f>
        <v>14.67</v>
      </c>
      <c r="E78" s="179"/>
      <c r="F78" s="90">
        <f t="shared" si="54"/>
        <v>-0.34999999999999964</v>
      </c>
      <c r="G78" s="235">
        <f t="shared" si="55"/>
        <v>-2.3300000000000001E-2</v>
      </c>
      <c r="J78" s="179">
        <f t="shared" si="56"/>
        <v>15.02</v>
      </c>
      <c r="K78" s="179">
        <f t="shared" si="57"/>
        <v>14.67</v>
      </c>
      <c r="L78" s="235">
        <f t="shared" si="58"/>
        <v>-2.3300000000000001E-2</v>
      </c>
      <c r="M78" s="179">
        <f t="shared" si="50"/>
        <v>0</v>
      </c>
      <c r="N78" s="90">
        <f t="shared" si="51"/>
        <v>14.67</v>
      </c>
      <c r="O78" s="91">
        <f t="shared" si="59"/>
        <v>-2.3300000000000001E-2</v>
      </c>
      <c r="P78" s="29"/>
      <c r="Q78" s="29"/>
      <c r="R78" s="29" t="s">
        <v>412</v>
      </c>
      <c r="S78" s="103" t="s">
        <v>416</v>
      </c>
      <c r="T78" s="121">
        <f>VLOOKUP($R78,INPUT!$AB$9:$AF$130,3,FALSE)</f>
        <v>15.02</v>
      </c>
      <c r="U78" s="121">
        <f>VLOOKUP($R78,INPUT!$AB$9:$AF$130,4,FALSE)</f>
        <v>14.67</v>
      </c>
      <c r="V78" s="29">
        <f>VLOOKUP($R78,INPUT!$AB$9:$AF$130,5,FALSE)</f>
        <v>0</v>
      </c>
      <c r="W78" s="97">
        <f>($V78*INPUT!$S$70)*INPUT!$H$76</f>
        <v>0</v>
      </c>
      <c r="X78" s="97">
        <f>($V78*INPUT!$S$70)*INPUT!$J$76</f>
        <v>0</v>
      </c>
      <c r="Y78" s="98">
        <f t="shared" si="52"/>
        <v>15.02</v>
      </c>
      <c r="Z78" s="98">
        <f t="shared" si="53"/>
        <v>14.67</v>
      </c>
    </row>
    <row r="79" spans="1:28" ht="13" thickBot="1" x14ac:dyDescent="0.3">
      <c r="A79" s="87"/>
      <c r="B79" s="29"/>
      <c r="C79" s="179"/>
      <c r="D79" s="179"/>
      <c r="E79" s="179"/>
      <c r="M79" s="179"/>
      <c r="N79" s="90"/>
      <c r="O79" s="29"/>
      <c r="P79" s="29"/>
      <c r="Q79" s="29"/>
      <c r="S79" s="103"/>
      <c r="T79" s="121"/>
      <c r="U79" s="121"/>
    </row>
    <row r="80" spans="1:28" x14ac:dyDescent="0.25">
      <c r="A80" s="87" t="s">
        <v>301</v>
      </c>
      <c r="C80" s="179"/>
      <c r="D80" s="179"/>
      <c r="E80" s="179"/>
      <c r="F80" s="180"/>
      <c r="G80" s="179"/>
      <c r="H80" s="179"/>
      <c r="I80" s="179"/>
      <c r="J80" s="179"/>
      <c r="K80" s="180"/>
      <c r="O80" s="109"/>
      <c r="P80" s="125"/>
      <c r="Q80" s="109"/>
      <c r="S80" s="97"/>
      <c r="T80" s="97"/>
      <c r="U80" s="98"/>
      <c r="V80" s="98"/>
    </row>
    <row r="81" spans="1:24" x14ac:dyDescent="0.25">
      <c r="A81" s="175" t="s">
        <v>305</v>
      </c>
      <c r="C81" s="179"/>
      <c r="D81" s="179"/>
      <c r="E81" s="179"/>
      <c r="F81" s="180"/>
      <c r="G81" s="179"/>
      <c r="H81" s="179"/>
      <c r="I81" s="179"/>
      <c r="J81" s="179"/>
      <c r="K81" s="180"/>
      <c r="O81" s="109"/>
      <c r="P81" s="125"/>
      <c r="Q81" s="109"/>
      <c r="S81" s="97"/>
      <c r="T81" s="97"/>
      <c r="U81" s="98"/>
      <c r="V81" s="98"/>
    </row>
    <row r="82" spans="1:24" ht="13" x14ac:dyDescent="0.25">
      <c r="A82" s="175" t="str">
        <f>+'Rate Case Constants'!$C$26</f>
        <v>Calculations may vary from other schedules due to rounding</v>
      </c>
      <c r="C82" s="179"/>
      <c r="D82" s="179"/>
      <c r="E82" s="179"/>
      <c r="F82" s="180"/>
      <c r="G82" s="179"/>
      <c r="H82" s="179"/>
      <c r="I82" s="179"/>
      <c r="J82" s="179"/>
      <c r="K82" s="180"/>
      <c r="L82" s="237"/>
      <c r="O82" s="113"/>
      <c r="P82" s="125"/>
      <c r="Q82" s="109"/>
      <c r="S82" s="97"/>
      <c r="T82" s="97"/>
    </row>
    <row r="83" spans="1:24" ht="13" x14ac:dyDescent="0.25">
      <c r="A83" s="414" t="str">
        <f>+$A$1</f>
        <v>KENTUCKY UTILITIES COMPANY</v>
      </c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109"/>
      <c r="Q83" s="109"/>
      <c r="S83" s="97"/>
      <c r="T83" s="97"/>
    </row>
    <row r="84" spans="1:24" ht="13" x14ac:dyDescent="0.25">
      <c r="A84" s="414" t="str">
        <f>+$A$2</f>
        <v>CASE NO. 2020-00349</v>
      </c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109"/>
      <c r="Q84" s="109"/>
      <c r="S84" s="97"/>
      <c r="T84" s="97"/>
    </row>
    <row r="85" spans="1:24" ht="13" x14ac:dyDescent="0.25">
      <c r="A85" s="417" t="str">
        <f>+$A$3</f>
        <v>Typical Bill Comparison under Current &amp; Proposed Rates</v>
      </c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109"/>
      <c r="Q85" s="109"/>
      <c r="S85" s="97"/>
      <c r="T85" s="97"/>
    </row>
    <row r="86" spans="1:24" ht="13" x14ac:dyDescent="0.25">
      <c r="A86" s="414" t="str">
        <f>+$A$4</f>
        <v>FORECAST PERIOD FOR THE 12 MONTHS ENDED JUNE 30, 2022</v>
      </c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109"/>
      <c r="Q86" s="109"/>
      <c r="S86" s="97"/>
      <c r="T86" s="97"/>
    </row>
    <row r="87" spans="1:24" ht="13" x14ac:dyDescent="0.25">
      <c r="A87" s="38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109"/>
      <c r="Q87" s="109"/>
      <c r="S87" s="97"/>
      <c r="T87" s="97"/>
    </row>
    <row r="88" spans="1:24" ht="13" x14ac:dyDescent="0.3">
      <c r="A88" s="105"/>
      <c r="B88" s="3"/>
      <c r="C88" s="210"/>
      <c r="D88" s="210"/>
      <c r="E88" s="210"/>
      <c r="F88" s="211"/>
      <c r="G88" s="210"/>
      <c r="H88" s="210"/>
      <c r="I88" s="210"/>
      <c r="J88" s="210"/>
      <c r="K88" s="211"/>
      <c r="L88" s="2"/>
      <c r="O88" s="127"/>
      <c r="P88" s="109"/>
      <c r="Q88" s="109"/>
      <c r="S88" s="97"/>
      <c r="T88" s="97"/>
    </row>
    <row r="89" spans="1:24" ht="13" x14ac:dyDescent="0.3">
      <c r="A89" s="105" t="str">
        <f>+$A$7</f>
        <v>DATA: ____BASE PERIOD__X___FORECASTED PERIOD</v>
      </c>
      <c r="B89" s="3"/>
      <c r="C89" s="210"/>
      <c r="D89" s="210"/>
      <c r="E89" s="210"/>
      <c r="F89" s="211"/>
      <c r="G89" s="210"/>
      <c r="H89" s="210"/>
      <c r="I89" s="210"/>
      <c r="J89" s="210"/>
      <c r="L89" s="2"/>
      <c r="O89" s="212" t="str">
        <f>+$O$7</f>
        <v>SCHEDULE N</v>
      </c>
      <c r="P89" s="109"/>
      <c r="Q89" s="109"/>
      <c r="S89" s="97"/>
      <c r="T89" s="97"/>
    </row>
    <row r="90" spans="1:24" ht="13" x14ac:dyDescent="0.3">
      <c r="A90" s="105" t="str">
        <f>+$A$8</f>
        <v>TYPE OF FILING: __X__ ORIGINAL  _____ UPDATED  _____ REVISED</v>
      </c>
      <c r="B90" s="3"/>
      <c r="C90" s="210"/>
      <c r="D90" s="210"/>
      <c r="E90" s="210"/>
      <c r="F90" s="211"/>
      <c r="G90" s="210"/>
      <c r="H90" s="210"/>
      <c r="I90" s="210"/>
      <c r="J90" s="210"/>
      <c r="L90" s="2"/>
      <c r="O90" s="213" t="str">
        <f>+'Rate Case Constants'!L24</f>
        <v>PAGE 17 of 24</v>
      </c>
      <c r="P90" s="109"/>
      <c r="Q90" s="109"/>
      <c r="S90" s="97"/>
      <c r="T90" s="97"/>
    </row>
    <row r="91" spans="1:24" ht="13" x14ac:dyDescent="0.3">
      <c r="A91" s="105" t="str">
        <f>+$A$9</f>
        <v>WORKPAPER REFERENCE NO(S):________</v>
      </c>
      <c r="B91" s="3"/>
      <c r="C91" s="210"/>
      <c r="D91" s="210"/>
      <c r="E91" s="210"/>
      <c r="F91" s="211"/>
      <c r="G91" s="210"/>
      <c r="H91" s="210"/>
      <c r="I91" s="210"/>
      <c r="J91" s="210"/>
      <c r="L91" s="190"/>
      <c r="O91" s="213" t="str">
        <f>+$O$9</f>
        <v>WITNESS:   R. M. CONROY</v>
      </c>
      <c r="P91" s="109"/>
      <c r="Q91" s="109"/>
      <c r="S91" s="97"/>
      <c r="T91" s="97"/>
    </row>
    <row r="92" spans="1:24" x14ac:dyDescent="0.25">
      <c r="A92" s="109"/>
      <c r="B92" s="217"/>
      <c r="C92" s="219"/>
      <c r="D92" s="219"/>
      <c r="E92" s="219"/>
      <c r="F92" s="220"/>
      <c r="G92" s="219"/>
      <c r="H92" s="219"/>
      <c r="I92" s="219"/>
      <c r="J92" s="219"/>
      <c r="K92" s="220"/>
      <c r="L92" s="190"/>
      <c r="O92" s="127"/>
      <c r="P92" s="109"/>
      <c r="Q92" s="109"/>
      <c r="S92" s="97"/>
      <c r="T92" s="97"/>
    </row>
    <row r="93" spans="1:24" ht="13" x14ac:dyDescent="0.3">
      <c r="A93" s="126" t="s">
        <v>148</v>
      </c>
      <c r="B93" s="346" t="s">
        <v>291</v>
      </c>
      <c r="C93" s="347" t="s">
        <v>292</v>
      </c>
      <c r="D93" s="347" t="s">
        <v>293</v>
      </c>
      <c r="E93" s="346" t="s">
        <v>294</v>
      </c>
      <c r="F93" s="346" t="s">
        <v>295</v>
      </c>
      <c r="G93" s="346" t="s">
        <v>296</v>
      </c>
      <c r="H93" s="347" t="s">
        <v>297</v>
      </c>
      <c r="I93" s="346" t="s">
        <v>298</v>
      </c>
      <c r="J93" s="346" t="s">
        <v>299</v>
      </c>
      <c r="K93" s="346" t="s">
        <v>300</v>
      </c>
      <c r="L93" s="346" t="s">
        <v>444</v>
      </c>
      <c r="M93" s="346" t="s">
        <v>440</v>
      </c>
      <c r="N93" s="346" t="s">
        <v>441</v>
      </c>
      <c r="O93" s="346" t="s">
        <v>442</v>
      </c>
      <c r="P93" s="190"/>
      <c r="Q93" s="29"/>
      <c r="S93" s="127"/>
      <c r="T93" s="109"/>
      <c r="U93" s="109"/>
      <c r="W93" s="97"/>
      <c r="X93" s="97"/>
    </row>
    <row r="94" spans="1:24" ht="13" x14ac:dyDescent="0.3">
      <c r="A94" s="109"/>
      <c r="C94" s="195" t="s">
        <v>313</v>
      </c>
      <c r="D94" s="195" t="s">
        <v>313</v>
      </c>
      <c r="E94" s="195" t="s">
        <v>69</v>
      </c>
      <c r="J94" s="3" t="s">
        <v>5</v>
      </c>
      <c r="K94" s="3" t="s">
        <v>5</v>
      </c>
      <c r="M94" s="85" t="s">
        <v>592</v>
      </c>
      <c r="N94" s="85" t="s">
        <v>5</v>
      </c>
      <c r="O94" s="17"/>
      <c r="P94" s="190"/>
      <c r="Q94" s="29"/>
      <c r="S94" s="127"/>
      <c r="T94" s="109"/>
      <c r="U94" s="109"/>
      <c r="W94" s="97"/>
      <c r="X94" s="97"/>
    </row>
    <row r="95" spans="1:24" ht="13" x14ac:dyDescent="0.3">
      <c r="A95" s="109"/>
      <c r="B95" s="3" t="s">
        <v>214</v>
      </c>
      <c r="C95" s="3" t="s">
        <v>1</v>
      </c>
      <c r="D95" s="3" t="s">
        <v>71</v>
      </c>
      <c r="E95" s="85" t="s">
        <v>470</v>
      </c>
      <c r="F95" s="3"/>
      <c r="G95" s="3"/>
      <c r="H95" s="413" t="s">
        <v>245</v>
      </c>
      <c r="I95" s="413"/>
      <c r="J95" s="3" t="s">
        <v>1</v>
      </c>
      <c r="K95" s="3" t="s">
        <v>71</v>
      </c>
      <c r="L95" s="3"/>
      <c r="M95" s="85" t="s">
        <v>593</v>
      </c>
      <c r="N95" s="85" t="s">
        <v>71</v>
      </c>
      <c r="O95" s="85"/>
      <c r="P95" s="190"/>
      <c r="Q95" s="29"/>
      <c r="S95" s="127"/>
      <c r="T95" s="109"/>
      <c r="U95" s="109"/>
      <c r="W95" s="97"/>
      <c r="X95" s="97"/>
    </row>
    <row r="96" spans="1:24" ht="13" x14ac:dyDescent="0.3">
      <c r="A96" s="109"/>
      <c r="B96" s="3" t="s">
        <v>17</v>
      </c>
      <c r="C96" s="3" t="s">
        <v>4</v>
      </c>
      <c r="D96" s="3" t="s">
        <v>4</v>
      </c>
      <c r="E96" s="85" t="s">
        <v>471</v>
      </c>
      <c r="F96" s="3" t="s">
        <v>72</v>
      </c>
      <c r="G96" s="3" t="s">
        <v>72</v>
      </c>
      <c r="H96" s="85" t="s">
        <v>320</v>
      </c>
      <c r="I96" s="50" t="s">
        <v>69</v>
      </c>
      <c r="J96" s="3" t="s">
        <v>4</v>
      </c>
      <c r="K96" s="3" t="s">
        <v>4</v>
      </c>
      <c r="L96" s="3" t="s">
        <v>72</v>
      </c>
      <c r="M96" s="85" t="s">
        <v>439</v>
      </c>
      <c r="N96" s="85" t="s">
        <v>443</v>
      </c>
      <c r="O96" s="85" t="s">
        <v>72</v>
      </c>
      <c r="P96" s="190"/>
      <c r="Q96" s="29"/>
      <c r="S96" s="127"/>
      <c r="T96" s="109"/>
      <c r="U96" s="109"/>
      <c r="W96" s="97"/>
      <c r="X96" s="97"/>
    </row>
    <row r="97" spans="1:28" ht="13" x14ac:dyDescent="0.3">
      <c r="A97" s="109"/>
      <c r="C97" s="3"/>
      <c r="D97" s="3"/>
      <c r="E97" s="85"/>
      <c r="F97" s="3" t="s">
        <v>66</v>
      </c>
      <c r="G97" s="25" t="s">
        <v>67</v>
      </c>
      <c r="H97" s="49"/>
      <c r="I97" s="52"/>
      <c r="J97" s="3" t="s">
        <v>66</v>
      </c>
      <c r="K97" s="3" t="s">
        <v>66</v>
      </c>
      <c r="L97" s="25" t="s">
        <v>67</v>
      </c>
      <c r="M97" s="86"/>
      <c r="N97" s="86" t="s">
        <v>439</v>
      </c>
      <c r="O97" s="86" t="s">
        <v>67</v>
      </c>
      <c r="P97" s="190"/>
      <c r="Q97" s="29"/>
      <c r="S97" s="127"/>
      <c r="T97" s="109"/>
      <c r="U97" s="109"/>
      <c r="W97" s="97"/>
      <c r="X97" s="97"/>
    </row>
    <row r="98" spans="1:28" ht="13.5" thickBot="1" x14ac:dyDescent="0.35">
      <c r="A98" s="181"/>
      <c r="B98" s="182"/>
      <c r="C98" s="80"/>
      <c r="D98" s="80"/>
      <c r="E98" s="349"/>
      <c r="F98" s="345" t="str">
        <f>("[ "&amp;D93&amp;" - ("&amp;E93&amp;" + "&amp;C93&amp;") ]")</f>
        <v>[ C - (D + B) ]</v>
      </c>
      <c r="G98" s="345" t="str">
        <f>("[ "&amp;F93&amp;" / "&amp;C93&amp;" ]")</f>
        <v>[ E / B ]</v>
      </c>
      <c r="H98" s="200"/>
      <c r="I98" s="200"/>
      <c r="J98" s="345" t="str">
        <f>("["&amp;C93&amp;"+"&amp;E93&amp;"+"&amp;$H$12&amp;"+"&amp;$I$12&amp;"]")</f>
        <v>[B+D+G+H]</v>
      </c>
      <c r="K98" s="345" t="str">
        <f>("["&amp;D93&amp;"+"&amp;$H$12&amp;"+"&amp;$I$12&amp;"]")</f>
        <v>[C+G+H]</v>
      </c>
      <c r="L98" s="345" t="str">
        <f>("[("&amp;K93&amp;" - "&amp;J93&amp;")/"&amp;J93&amp;"]")</f>
        <v>[(J - I)/I]</v>
      </c>
      <c r="M98" s="344"/>
      <c r="N98" s="344" t="str">
        <f>("["&amp;K93&amp;" + "&amp;M93&amp;"]")</f>
        <v>[J + L]</v>
      </c>
      <c r="O98" s="345" t="str">
        <f>("[("&amp;N93&amp;" - "&amp;J93&amp;")/"&amp;J93&amp;"]")</f>
        <v>[(M - I)/I]</v>
      </c>
      <c r="P98" s="29"/>
      <c r="Q98" s="29"/>
      <c r="S98" s="127"/>
      <c r="T98" s="109"/>
      <c r="U98" s="109"/>
      <c r="W98" s="97"/>
      <c r="X98" s="97"/>
      <c r="AA98" s="39" t="s">
        <v>69</v>
      </c>
      <c r="AB98" s="39"/>
    </row>
    <row r="99" spans="1:28" ht="13.5" thickBot="1" x14ac:dyDescent="0.35">
      <c r="A99" s="109"/>
      <c r="C99" s="179"/>
      <c r="D99" s="179"/>
      <c r="E99" s="206"/>
      <c r="F99" s="179"/>
      <c r="G99" s="180"/>
      <c r="H99" s="179"/>
      <c r="I99" s="179"/>
      <c r="J99" s="179"/>
      <c r="K99" s="179"/>
      <c r="L99" s="180"/>
      <c r="M99" s="85"/>
      <c r="N99" s="85"/>
      <c r="O99" s="85"/>
      <c r="P99" s="29"/>
      <c r="Q99" s="29"/>
      <c r="S99" s="285" t="s">
        <v>148</v>
      </c>
      <c r="T99" s="101" t="s">
        <v>84</v>
      </c>
      <c r="U99" s="102"/>
      <c r="W99" s="97"/>
      <c r="X99" s="97"/>
      <c r="AA99" s="157" t="s">
        <v>471</v>
      </c>
      <c r="AB99" s="39" t="s">
        <v>439</v>
      </c>
    </row>
    <row r="100" spans="1:28" ht="13.5" thickBot="1" x14ac:dyDescent="0.3">
      <c r="A100" s="286" t="s">
        <v>85</v>
      </c>
      <c r="B100" s="287"/>
      <c r="C100" s="288"/>
      <c r="D100" s="288"/>
      <c r="F100" s="288"/>
      <c r="G100" s="289"/>
      <c r="H100" s="288"/>
      <c r="I100" s="288"/>
      <c r="J100" s="288"/>
      <c r="K100" s="288"/>
      <c r="L100" s="289"/>
      <c r="M100" s="28"/>
      <c r="N100" s="90"/>
      <c r="O100" s="91"/>
      <c r="P100" s="29"/>
      <c r="Q100" s="29"/>
      <c r="S100" s="116" t="s">
        <v>85</v>
      </c>
      <c r="T100" s="104" t="s">
        <v>1</v>
      </c>
      <c r="U100" s="104" t="s">
        <v>6</v>
      </c>
      <c r="W100" s="97"/>
      <c r="X100" s="97"/>
      <c r="AA100" s="39">
        <f>AA19</f>
        <v>4.1465949275479586E-3</v>
      </c>
      <c r="AB100" s="39">
        <f>AB19</f>
        <v>-6.8000000000000005E-4</v>
      </c>
    </row>
    <row r="101" spans="1:28" ht="13.5" thickBot="1" x14ac:dyDescent="0.3">
      <c r="A101" s="290" t="s">
        <v>128</v>
      </c>
      <c r="B101" s="287"/>
      <c r="C101" s="288"/>
      <c r="D101" s="288"/>
      <c r="E101" s="179"/>
      <c r="F101" s="288"/>
      <c r="G101" s="289"/>
      <c r="H101" s="288"/>
      <c r="I101" s="288"/>
      <c r="J101" s="288"/>
      <c r="K101" s="288"/>
      <c r="L101" s="289"/>
      <c r="M101" s="28"/>
      <c r="N101" s="90"/>
      <c r="O101" s="91"/>
      <c r="P101" s="29"/>
      <c r="Q101" s="29"/>
      <c r="S101" s="117" t="s">
        <v>128</v>
      </c>
      <c r="T101" s="112"/>
      <c r="U101" s="112"/>
      <c r="W101" s="97"/>
      <c r="X101" s="97"/>
      <c r="AA101" s="39" t="s">
        <v>11</v>
      </c>
      <c r="AB101" s="39" t="s">
        <v>11</v>
      </c>
    </row>
    <row r="102" spans="1:28" ht="13" thickBot="1" x14ac:dyDescent="0.3">
      <c r="A102" s="291" t="s">
        <v>507</v>
      </c>
      <c r="B102" s="330">
        <f t="shared" ref="B102:B117" si="60">+V102</f>
        <v>0.6</v>
      </c>
      <c r="C102" s="179">
        <f t="shared" ref="C102:C117" si="61">T102</f>
        <v>9.42</v>
      </c>
      <c r="D102" s="179">
        <f t="shared" ref="D102:D117" si="62">U102</f>
        <v>9.58</v>
      </c>
      <c r="E102" s="179">
        <f>AA102</f>
        <v>0.91556816000258923</v>
      </c>
      <c r="F102" s="90">
        <f>+D102-(E102+C102)</f>
        <v>-0.7555681600025892</v>
      </c>
      <c r="G102" s="292">
        <f>ROUND(+F102/C102,4)</f>
        <v>-8.0199999999999994E-2</v>
      </c>
      <c r="H102" s="288">
        <f t="shared" ref="H102:H117" si="63">+W102</f>
        <v>-0.29429553486314369</v>
      </c>
      <c r="I102" s="288">
        <f t="shared" ref="I102:I117" si="64">+X102</f>
        <v>4.5685107920605352</v>
      </c>
      <c r="J102" s="288">
        <f>+C102+E102+H102+I102</f>
        <v>14.609783417199981</v>
      </c>
      <c r="K102" s="288">
        <f t="shared" ref="K102:K117" si="65">+D102+H102+I102</f>
        <v>13.854215257197392</v>
      </c>
      <c r="L102" s="292">
        <f>ROUND((K102-J102)/J102,4)</f>
        <v>-5.1700000000000003E-2</v>
      </c>
      <c r="M102" s="179">
        <f>AB102</f>
        <v>-0.150144</v>
      </c>
      <c r="N102" s="90">
        <f>K102+M102</f>
        <v>13.704071257197393</v>
      </c>
      <c r="O102" s="91">
        <f>ROUND((N102-J102)/J102,4)</f>
        <v>-6.2E-2</v>
      </c>
      <c r="P102" s="29"/>
      <c r="Q102" s="29"/>
      <c r="R102" s="29">
        <v>461</v>
      </c>
      <c r="S102" s="118" t="s">
        <v>129</v>
      </c>
      <c r="T102" s="121">
        <f>VLOOKUP($R102,INPUT!$AB$9:$AF$130,3,FALSE)</f>
        <v>9.42</v>
      </c>
      <c r="U102" s="121">
        <f>VLOOKUP($R102,INPUT!$AB$9:$AF$130,4,FALSE)</f>
        <v>9.58</v>
      </c>
      <c r="V102" s="29">
        <f>VLOOKUP($R102,INPUT!$AB$9:$AF$130,5,FALSE)</f>
        <v>0.6</v>
      </c>
      <c r="W102" s="97">
        <f>($V102*INPUT!$S$70)*INPUT!$H$76</f>
        <v>-0.29429553486314369</v>
      </c>
      <c r="X102" s="97">
        <f>($V102*INPUT!$S$70)*INPUT!$J$76</f>
        <v>4.5685107920605352</v>
      </c>
      <c r="Y102" s="98">
        <f t="shared" ref="Y102:Y113" si="66">+T102+W102+X102</f>
        <v>13.694215257197392</v>
      </c>
      <c r="Z102" s="98">
        <f t="shared" ref="Z102:Z113" si="67">+U102+W102+X102</f>
        <v>13.854215257197392</v>
      </c>
      <c r="AA102" s="97">
        <f>($V102*INPUT!$S$70)*$AA$19</f>
        <v>0.91556816000258923</v>
      </c>
      <c r="AB102" s="97">
        <f>($V102*INPUT!$S$70)*$AB$19</f>
        <v>-0.150144</v>
      </c>
    </row>
    <row r="103" spans="1:28" ht="13" thickBot="1" x14ac:dyDescent="0.3">
      <c r="A103" s="291" t="s">
        <v>508</v>
      </c>
      <c r="B103" s="330">
        <f t="shared" si="60"/>
        <v>0.6</v>
      </c>
      <c r="C103" s="179">
        <f t="shared" si="61"/>
        <v>12.87</v>
      </c>
      <c r="D103" s="179">
        <f t="shared" si="62"/>
        <v>13.1</v>
      </c>
      <c r="E103" s="179">
        <f t="shared" ref="E103:E134" si="68">AA103</f>
        <v>0.91556816000258923</v>
      </c>
      <c r="F103" s="90">
        <f t="shared" ref="F103:F134" si="69">+D103-(E103+C103)</f>
        <v>-0.68556816000258891</v>
      </c>
      <c r="G103" s="292">
        <f t="shared" ref="G103:G134" si="70">ROUND(+F103/C103,4)</f>
        <v>-5.33E-2</v>
      </c>
      <c r="H103" s="288">
        <f t="shared" si="63"/>
        <v>-0.29429553486314369</v>
      </c>
      <c r="I103" s="288">
        <f t="shared" si="64"/>
        <v>4.5685107920605352</v>
      </c>
      <c r="J103" s="288">
        <f t="shared" ref="J103:J133" si="71">+C103+E103+H103+I103</f>
        <v>18.059783417199981</v>
      </c>
      <c r="K103" s="288">
        <f t="shared" si="65"/>
        <v>17.374215257197392</v>
      </c>
      <c r="L103" s="292">
        <f t="shared" ref="L103:L134" si="72">ROUND((K103-J103)/J103,4)</f>
        <v>-3.7999999999999999E-2</v>
      </c>
      <c r="M103" s="179">
        <f t="shared" ref="M103:M134" si="73">AB103</f>
        <v>-0.150144</v>
      </c>
      <c r="N103" s="90">
        <f t="shared" ref="N103:N134" si="74">K103+M103</f>
        <v>17.224071257197391</v>
      </c>
      <c r="O103" s="91">
        <f t="shared" ref="O103:O134" si="75">ROUND((N103-J103)/J103,4)</f>
        <v>-4.6300000000000001E-2</v>
      </c>
      <c r="P103" s="29"/>
      <c r="Q103" s="29"/>
      <c r="R103" s="29">
        <v>471</v>
      </c>
      <c r="S103" s="111" t="s">
        <v>130</v>
      </c>
      <c r="T103" s="121">
        <f>VLOOKUP($R103,INPUT!$AB$9:$AF$130,3,FALSE)</f>
        <v>12.87</v>
      </c>
      <c r="U103" s="121">
        <f>VLOOKUP($R103,INPUT!$AB$9:$AF$130,4,FALSE)</f>
        <v>13.1</v>
      </c>
      <c r="V103" s="29">
        <f>VLOOKUP($R103,INPUT!$AB$9:$AF$130,5,FALSE)</f>
        <v>0.6</v>
      </c>
      <c r="W103" s="97">
        <f>($V103*INPUT!$S$70)*INPUT!$H$76</f>
        <v>-0.29429553486314369</v>
      </c>
      <c r="X103" s="97">
        <f>($V103*INPUT!$S$70)*INPUT!$J$76</f>
        <v>4.5685107920605352</v>
      </c>
      <c r="Y103" s="98">
        <f t="shared" si="66"/>
        <v>17.144215257197391</v>
      </c>
      <c r="Z103" s="98">
        <f t="shared" si="67"/>
        <v>17.374215257197392</v>
      </c>
      <c r="AA103" s="97">
        <f>($V103*INPUT!$S$70)*$AA$19</f>
        <v>0.91556816000258923</v>
      </c>
      <c r="AB103" s="97">
        <f>($V103*INPUT!$S$70)*$AB$19</f>
        <v>-0.150144</v>
      </c>
    </row>
    <row r="104" spans="1:28" ht="13" thickBot="1" x14ac:dyDescent="0.3">
      <c r="A104" s="293" t="s">
        <v>509</v>
      </c>
      <c r="B104" s="330">
        <f t="shared" si="60"/>
        <v>8.3000000000000004E-2</v>
      </c>
      <c r="C104" s="179">
        <f t="shared" si="61"/>
        <v>10.53</v>
      </c>
      <c r="D104" s="179">
        <f t="shared" si="62"/>
        <v>10.71</v>
      </c>
      <c r="E104" s="179">
        <f t="shared" si="68"/>
        <v>0.12665359546702484</v>
      </c>
      <c r="F104" s="90">
        <f t="shared" si="69"/>
        <v>5.3346404532977232E-2</v>
      </c>
      <c r="G104" s="292">
        <f t="shared" si="70"/>
        <v>5.1000000000000004E-3</v>
      </c>
      <c r="H104" s="288">
        <f t="shared" si="63"/>
        <v>-4.0710882322734884E-2</v>
      </c>
      <c r="I104" s="288">
        <f t="shared" si="64"/>
        <v>0.63197732623504077</v>
      </c>
      <c r="J104" s="288">
        <f t="shared" si="71"/>
        <v>11.247920039379331</v>
      </c>
      <c r="K104" s="288">
        <f t="shared" si="65"/>
        <v>11.301266443912308</v>
      </c>
      <c r="L104" s="292">
        <f t="shared" si="72"/>
        <v>4.7000000000000002E-3</v>
      </c>
      <c r="M104" s="179">
        <f t="shared" si="73"/>
        <v>-2.0769920000000001E-2</v>
      </c>
      <c r="N104" s="90">
        <f t="shared" si="74"/>
        <v>11.280496523912309</v>
      </c>
      <c r="O104" s="91">
        <f t="shared" si="75"/>
        <v>2.8999999999999998E-3</v>
      </c>
      <c r="P104" s="29"/>
      <c r="Q104" s="29"/>
      <c r="R104" s="29">
        <v>462</v>
      </c>
      <c r="S104" s="111" t="s">
        <v>87</v>
      </c>
      <c r="T104" s="121">
        <f>VLOOKUP($R104,INPUT!$AB$9:$AF$130,3,FALSE)</f>
        <v>10.53</v>
      </c>
      <c r="U104" s="121">
        <f>VLOOKUP($R104,INPUT!$AB$9:$AF$130,4,FALSE)</f>
        <v>10.71</v>
      </c>
      <c r="V104" s="29">
        <f>VLOOKUP($R104,INPUT!$AB$9:$AF$130,5,FALSE)</f>
        <v>8.3000000000000004E-2</v>
      </c>
      <c r="W104" s="97">
        <f>($V104*INPUT!$S$70)*INPUT!$H$76</f>
        <v>-4.0710882322734884E-2</v>
      </c>
      <c r="X104" s="97">
        <f>($V104*INPUT!$S$70)*INPUT!$J$76</f>
        <v>0.63197732623504077</v>
      </c>
      <c r="Y104" s="98">
        <f t="shared" ref="Y104:Y111" si="76">+T104+W104+X104</f>
        <v>11.121266443912305</v>
      </c>
      <c r="Z104" s="98">
        <f t="shared" ref="Z104:Z111" si="77">+U104+W104+X104</f>
        <v>11.301266443912308</v>
      </c>
      <c r="AA104" s="97">
        <f>($V104*INPUT!$S$70)*$AA$19</f>
        <v>0.12665359546702484</v>
      </c>
      <c r="AB104" s="97">
        <f>($V104*INPUT!$S$70)*$AB$19</f>
        <v>-2.0769920000000001E-2</v>
      </c>
    </row>
    <row r="105" spans="1:28" ht="13" thickBot="1" x14ac:dyDescent="0.3">
      <c r="A105" s="293" t="s">
        <v>510</v>
      </c>
      <c r="B105" s="330">
        <f t="shared" si="60"/>
        <v>8.3000000000000004E-2</v>
      </c>
      <c r="C105" s="179">
        <f t="shared" si="61"/>
        <v>14.34</v>
      </c>
      <c r="D105" s="179">
        <f t="shared" si="62"/>
        <v>14.59</v>
      </c>
      <c r="E105" s="179">
        <f t="shared" si="68"/>
        <v>0.12665359546702484</v>
      </c>
      <c r="F105" s="90">
        <f t="shared" si="69"/>
        <v>0.12334640453297574</v>
      </c>
      <c r="G105" s="292">
        <f t="shared" si="70"/>
        <v>8.6E-3</v>
      </c>
      <c r="H105" s="288">
        <f t="shared" si="63"/>
        <v>-4.0710882322734884E-2</v>
      </c>
      <c r="I105" s="288">
        <f t="shared" si="64"/>
        <v>0.63197732623504077</v>
      </c>
      <c r="J105" s="288">
        <f t="shared" si="71"/>
        <v>15.057920039379329</v>
      </c>
      <c r="K105" s="288">
        <f t="shared" si="65"/>
        <v>15.181266443912307</v>
      </c>
      <c r="L105" s="292">
        <f t="shared" si="72"/>
        <v>8.2000000000000007E-3</v>
      </c>
      <c r="M105" s="179">
        <f t="shared" si="73"/>
        <v>-2.0769920000000001E-2</v>
      </c>
      <c r="N105" s="90">
        <f t="shared" si="74"/>
        <v>15.160496523912308</v>
      </c>
      <c r="O105" s="91">
        <f t="shared" si="75"/>
        <v>6.7999999999999996E-3</v>
      </c>
      <c r="P105" s="29"/>
      <c r="Q105" s="29"/>
      <c r="R105" s="29">
        <v>472</v>
      </c>
      <c r="S105" s="111" t="s">
        <v>88</v>
      </c>
      <c r="T105" s="121">
        <f>VLOOKUP($R105,INPUT!$AB$9:$AF$130,3,FALSE)</f>
        <v>14.34</v>
      </c>
      <c r="U105" s="121">
        <f>VLOOKUP($R105,INPUT!$AB$9:$AF$130,4,FALSE)</f>
        <v>14.59</v>
      </c>
      <c r="V105" s="29">
        <f>VLOOKUP($R105,INPUT!$AB$9:$AF$130,5,FALSE)</f>
        <v>8.3000000000000004E-2</v>
      </c>
      <c r="W105" s="97">
        <f>($V105*INPUT!$S$70)*INPUT!$H$76</f>
        <v>-4.0710882322734884E-2</v>
      </c>
      <c r="X105" s="97">
        <f>($V105*INPUT!$S$70)*INPUT!$J$76</f>
        <v>0.63197732623504077</v>
      </c>
      <c r="Y105" s="98">
        <f t="shared" si="76"/>
        <v>14.931266443912307</v>
      </c>
      <c r="Z105" s="98">
        <f t="shared" si="77"/>
        <v>15.181266443912307</v>
      </c>
      <c r="AA105" s="97">
        <f>($V105*INPUT!$S$70)*$AA$19</f>
        <v>0.12665359546702484</v>
      </c>
      <c r="AB105" s="97">
        <f>($V105*INPUT!$S$70)*$AB$19</f>
        <v>-2.0769920000000001E-2</v>
      </c>
    </row>
    <row r="106" spans="1:28" ht="13" thickBot="1" x14ac:dyDescent="0.3">
      <c r="A106" s="293" t="s">
        <v>511</v>
      </c>
      <c r="B106" s="330">
        <f t="shared" si="60"/>
        <v>0.11700000000000001</v>
      </c>
      <c r="C106" s="179">
        <f t="shared" si="61"/>
        <v>10.87</v>
      </c>
      <c r="D106" s="179">
        <f t="shared" si="62"/>
        <v>11.06</v>
      </c>
      <c r="E106" s="179">
        <f t="shared" si="68"/>
        <v>0.17853579120050492</v>
      </c>
      <c r="F106" s="90">
        <f t="shared" si="69"/>
        <v>1.1464208799496944E-2</v>
      </c>
      <c r="G106" s="292">
        <f t="shared" si="70"/>
        <v>1.1000000000000001E-3</v>
      </c>
      <c r="H106" s="288">
        <f t="shared" si="63"/>
        <v>-5.738762929831303E-2</v>
      </c>
      <c r="I106" s="288">
        <f t="shared" si="64"/>
        <v>0.89085960445180457</v>
      </c>
      <c r="J106" s="288">
        <f t="shared" si="71"/>
        <v>11.882007766353995</v>
      </c>
      <c r="K106" s="288">
        <f t="shared" si="65"/>
        <v>11.893471975153492</v>
      </c>
      <c r="L106" s="292">
        <f t="shared" si="72"/>
        <v>1E-3</v>
      </c>
      <c r="M106" s="179">
        <f t="shared" si="73"/>
        <v>-2.9278080000000005E-2</v>
      </c>
      <c r="N106" s="90">
        <f t="shared" si="74"/>
        <v>11.864193895153493</v>
      </c>
      <c r="O106" s="91">
        <f t="shared" si="75"/>
        <v>-1.5E-3</v>
      </c>
      <c r="P106" s="29"/>
      <c r="Q106" s="29"/>
      <c r="R106" s="29">
        <v>463</v>
      </c>
      <c r="S106" s="111" t="s">
        <v>89</v>
      </c>
      <c r="T106" s="121">
        <f>VLOOKUP($R106,INPUT!$AB$9:$AF$130,3,FALSE)</f>
        <v>10.87</v>
      </c>
      <c r="U106" s="121">
        <f>VLOOKUP($R106,INPUT!$AB$9:$AF$130,4,FALSE)</f>
        <v>11.06</v>
      </c>
      <c r="V106" s="29">
        <f>VLOOKUP($R106,INPUT!$AB$9:$AF$130,5,FALSE)</f>
        <v>0.11700000000000001</v>
      </c>
      <c r="W106" s="97">
        <f>($V106*INPUT!$S$70)*INPUT!$H$76</f>
        <v>-5.738762929831303E-2</v>
      </c>
      <c r="X106" s="97">
        <f>($V106*INPUT!$S$70)*INPUT!$J$76</f>
        <v>0.89085960445180457</v>
      </c>
      <c r="Y106" s="98">
        <f t="shared" si="76"/>
        <v>11.703471975153491</v>
      </c>
      <c r="Z106" s="98">
        <f t="shared" si="77"/>
        <v>11.893471975153492</v>
      </c>
      <c r="AA106" s="97">
        <f>($V106*INPUT!$S$70)*$AA$19</f>
        <v>0.17853579120050492</v>
      </c>
      <c r="AB106" s="97">
        <f>($V106*INPUT!$S$70)*$AB$19</f>
        <v>-2.9278080000000005E-2</v>
      </c>
    </row>
    <row r="107" spans="1:28" ht="13" thickBot="1" x14ac:dyDescent="0.3">
      <c r="A107" s="293" t="s">
        <v>512</v>
      </c>
      <c r="B107" s="330">
        <f t="shared" si="60"/>
        <v>0.11700000000000001</v>
      </c>
      <c r="C107" s="179">
        <f t="shared" si="61"/>
        <v>14.9</v>
      </c>
      <c r="D107" s="179">
        <f t="shared" si="62"/>
        <v>15.16</v>
      </c>
      <c r="E107" s="179">
        <f t="shared" si="68"/>
        <v>0.17853579120050492</v>
      </c>
      <c r="F107" s="90">
        <f t="shared" si="69"/>
        <v>8.1464208799495452E-2</v>
      </c>
      <c r="G107" s="292">
        <f t="shared" si="70"/>
        <v>5.4999999999999997E-3</v>
      </c>
      <c r="H107" s="288">
        <f t="shared" si="63"/>
        <v>-5.738762929831303E-2</v>
      </c>
      <c r="I107" s="288">
        <f t="shared" si="64"/>
        <v>0.89085960445180457</v>
      </c>
      <c r="J107" s="288">
        <f t="shared" si="71"/>
        <v>15.912007766353996</v>
      </c>
      <c r="K107" s="288">
        <f t="shared" si="65"/>
        <v>15.993471975153492</v>
      </c>
      <c r="L107" s="292">
        <f t="shared" si="72"/>
        <v>5.1000000000000004E-3</v>
      </c>
      <c r="M107" s="179">
        <f t="shared" si="73"/>
        <v>-2.9278080000000005E-2</v>
      </c>
      <c r="N107" s="90">
        <f t="shared" si="74"/>
        <v>15.964193895153493</v>
      </c>
      <c r="O107" s="91">
        <f t="shared" si="75"/>
        <v>3.3E-3</v>
      </c>
      <c r="P107" s="29"/>
      <c r="Q107" s="29"/>
      <c r="R107" s="29">
        <v>473</v>
      </c>
      <c r="S107" s="111" t="s">
        <v>90</v>
      </c>
      <c r="T107" s="121">
        <f>VLOOKUP($R107,INPUT!$AB$9:$AF$130,3,FALSE)</f>
        <v>14.9</v>
      </c>
      <c r="U107" s="121">
        <f>VLOOKUP($R107,INPUT!$AB$9:$AF$130,4,FALSE)</f>
        <v>15.16</v>
      </c>
      <c r="V107" s="29">
        <f>VLOOKUP($R107,INPUT!$AB$9:$AF$130,5,FALSE)</f>
        <v>0.11700000000000001</v>
      </c>
      <c r="W107" s="97">
        <f>($V107*INPUT!$S$70)*INPUT!$H$76</f>
        <v>-5.738762929831303E-2</v>
      </c>
      <c r="X107" s="97">
        <f>($V107*INPUT!$S$70)*INPUT!$J$76</f>
        <v>0.89085960445180457</v>
      </c>
      <c r="Y107" s="98">
        <f t="shared" si="76"/>
        <v>15.733471975153492</v>
      </c>
      <c r="Z107" s="98">
        <f t="shared" si="77"/>
        <v>15.993471975153492</v>
      </c>
      <c r="AA107" s="97">
        <f>($V107*INPUT!$S$70)*$AA$19</f>
        <v>0.17853579120050492</v>
      </c>
      <c r="AB107" s="97">
        <f>($V107*INPUT!$S$70)*$AB$19</f>
        <v>-2.9278080000000005E-2</v>
      </c>
    </row>
    <row r="108" spans="1:28" ht="13" thickBot="1" x14ac:dyDescent="0.3">
      <c r="A108" s="293" t="s">
        <v>513</v>
      </c>
      <c r="B108" s="330">
        <f t="shared" si="60"/>
        <v>0.24199999999999999</v>
      </c>
      <c r="C108" s="179">
        <f t="shared" si="61"/>
        <v>16.86</v>
      </c>
      <c r="D108" s="179">
        <f t="shared" si="62"/>
        <v>17.149999999999999</v>
      </c>
      <c r="E108" s="179">
        <f t="shared" si="68"/>
        <v>0.36927915786771098</v>
      </c>
      <c r="F108" s="90">
        <f t="shared" si="69"/>
        <v>-7.9279157867713224E-2</v>
      </c>
      <c r="G108" s="292">
        <f t="shared" si="70"/>
        <v>-4.7000000000000002E-3</v>
      </c>
      <c r="H108" s="288">
        <f t="shared" si="63"/>
        <v>-0.11869919906146796</v>
      </c>
      <c r="I108" s="288">
        <f t="shared" si="64"/>
        <v>1.8426326861310827</v>
      </c>
      <c r="J108" s="288">
        <f t="shared" si="71"/>
        <v>18.953212644937327</v>
      </c>
      <c r="K108" s="288">
        <f t="shared" si="65"/>
        <v>18.873933487069614</v>
      </c>
      <c r="L108" s="292">
        <f t="shared" si="72"/>
        <v>-4.1999999999999997E-3</v>
      </c>
      <c r="M108" s="179">
        <f t="shared" si="73"/>
        <v>-6.055808E-2</v>
      </c>
      <c r="N108" s="90">
        <f t="shared" si="74"/>
        <v>18.813375407069614</v>
      </c>
      <c r="O108" s="91">
        <f t="shared" si="75"/>
        <v>-7.4000000000000003E-3</v>
      </c>
      <c r="P108" s="29"/>
      <c r="Q108" s="29"/>
      <c r="R108" s="29">
        <v>464</v>
      </c>
      <c r="S108" s="111" t="s">
        <v>91</v>
      </c>
      <c r="T108" s="121">
        <f>VLOOKUP($R108,INPUT!$AB$9:$AF$130,3,FALSE)</f>
        <v>16.86</v>
      </c>
      <c r="U108" s="121">
        <f>VLOOKUP($R108,INPUT!$AB$9:$AF$130,4,FALSE)</f>
        <v>17.149999999999999</v>
      </c>
      <c r="V108" s="29">
        <f>VLOOKUP($R108,INPUT!$AB$9:$AF$130,5,FALSE)</f>
        <v>0.24199999999999999</v>
      </c>
      <c r="W108" s="97">
        <f>($V108*INPUT!$S$70)*INPUT!$H$76</f>
        <v>-0.11869919906146796</v>
      </c>
      <c r="X108" s="97">
        <f>($V108*INPUT!$S$70)*INPUT!$J$76</f>
        <v>1.8426326861310827</v>
      </c>
      <c r="Y108" s="98">
        <f t="shared" si="76"/>
        <v>18.583933487069615</v>
      </c>
      <c r="Z108" s="98">
        <f t="shared" si="77"/>
        <v>18.873933487069614</v>
      </c>
      <c r="AA108" s="97">
        <f>($V108*INPUT!$S$70)*$AA$19</f>
        <v>0.36927915786771098</v>
      </c>
      <c r="AB108" s="97">
        <f>($V108*INPUT!$S$70)*$AB$19</f>
        <v>-6.055808E-2</v>
      </c>
    </row>
    <row r="109" spans="1:28" ht="13" thickBot="1" x14ac:dyDescent="0.3">
      <c r="A109" s="293" t="s">
        <v>514</v>
      </c>
      <c r="B109" s="330">
        <f t="shared" si="60"/>
        <v>0.24199999999999999</v>
      </c>
      <c r="C109" s="179">
        <f t="shared" si="61"/>
        <v>21.18</v>
      </c>
      <c r="D109" s="179">
        <f t="shared" si="62"/>
        <v>21.55</v>
      </c>
      <c r="E109" s="179">
        <f t="shared" si="68"/>
        <v>0.36927915786771098</v>
      </c>
      <c r="F109" s="90">
        <f t="shared" si="69"/>
        <v>7.2084213228862382E-4</v>
      </c>
      <c r="G109" s="292">
        <f t="shared" si="70"/>
        <v>0</v>
      </c>
      <c r="H109" s="288">
        <f t="shared" si="63"/>
        <v>-0.11869919906146796</v>
      </c>
      <c r="I109" s="288">
        <f t="shared" si="64"/>
        <v>1.8426326861310827</v>
      </c>
      <c r="J109" s="288">
        <f t="shared" si="71"/>
        <v>23.273212644937328</v>
      </c>
      <c r="K109" s="288">
        <f t="shared" si="65"/>
        <v>23.273933487069616</v>
      </c>
      <c r="L109" s="292">
        <f t="shared" si="72"/>
        <v>0</v>
      </c>
      <c r="M109" s="179">
        <f t="shared" si="73"/>
        <v>-6.055808E-2</v>
      </c>
      <c r="N109" s="90">
        <f t="shared" si="74"/>
        <v>23.213375407069616</v>
      </c>
      <c r="O109" s="91">
        <f t="shared" si="75"/>
        <v>-2.5999999999999999E-3</v>
      </c>
      <c r="P109" s="29"/>
      <c r="Q109" s="29"/>
      <c r="R109" s="29">
        <v>474</v>
      </c>
      <c r="S109" s="111" t="s">
        <v>92</v>
      </c>
      <c r="T109" s="121">
        <f>VLOOKUP($R109,INPUT!$AB$9:$AF$130,3,FALSE)</f>
        <v>21.18</v>
      </c>
      <c r="U109" s="121">
        <f>VLOOKUP($R109,INPUT!$AB$9:$AF$130,4,FALSE)</f>
        <v>21.55</v>
      </c>
      <c r="V109" s="29">
        <f>VLOOKUP($R109,INPUT!$AB$9:$AF$130,5,FALSE)</f>
        <v>0.24199999999999999</v>
      </c>
      <c r="W109" s="97">
        <f>($V109*INPUT!$S$70)*INPUT!$H$76</f>
        <v>-0.11869919906146796</v>
      </c>
      <c r="X109" s="97">
        <f>($V109*INPUT!$S$70)*INPUT!$J$76</f>
        <v>1.8426326861310827</v>
      </c>
      <c r="Y109" s="98">
        <f t="shared" si="76"/>
        <v>22.903933487069615</v>
      </c>
      <c r="Z109" s="98">
        <f t="shared" si="77"/>
        <v>23.273933487069616</v>
      </c>
      <c r="AA109" s="97">
        <f>($V109*INPUT!$S$70)*$AA$19</f>
        <v>0.36927915786771098</v>
      </c>
      <c r="AB109" s="97">
        <f>($V109*INPUT!$S$70)*$AB$19</f>
        <v>-6.055808E-2</v>
      </c>
    </row>
    <row r="110" spans="1:28" ht="13" thickBot="1" x14ac:dyDescent="0.3">
      <c r="A110" s="293" t="s">
        <v>515</v>
      </c>
      <c r="B110" s="330">
        <f t="shared" si="60"/>
        <v>0.47099999999999997</v>
      </c>
      <c r="C110" s="179">
        <f t="shared" si="61"/>
        <v>26.57</v>
      </c>
      <c r="D110" s="179">
        <f t="shared" si="62"/>
        <v>27.03</v>
      </c>
      <c r="E110" s="179">
        <f t="shared" si="68"/>
        <v>0.71872100560203256</v>
      </c>
      <c r="F110" s="90">
        <f t="shared" si="69"/>
        <v>-0.25872100560203037</v>
      </c>
      <c r="G110" s="292">
        <f t="shared" si="70"/>
        <v>-9.7000000000000003E-3</v>
      </c>
      <c r="H110" s="288">
        <f t="shared" si="63"/>
        <v>-0.23102199486756783</v>
      </c>
      <c r="I110" s="288">
        <f t="shared" si="64"/>
        <v>3.5862809717675206</v>
      </c>
      <c r="J110" s="288">
        <f t="shared" si="71"/>
        <v>30.643979982501985</v>
      </c>
      <c r="K110" s="288">
        <f t="shared" si="65"/>
        <v>30.385258976899955</v>
      </c>
      <c r="L110" s="292">
        <f t="shared" si="72"/>
        <v>-8.3999999999999995E-3</v>
      </c>
      <c r="M110" s="179">
        <f t="shared" si="73"/>
        <v>-0.11786304000000002</v>
      </c>
      <c r="N110" s="90">
        <f t="shared" si="74"/>
        <v>30.267395936899955</v>
      </c>
      <c r="O110" s="91">
        <f t="shared" si="75"/>
        <v>-1.23E-2</v>
      </c>
      <c r="P110" s="29"/>
      <c r="Q110" s="29"/>
      <c r="R110" s="29">
        <v>465</v>
      </c>
      <c r="S110" s="111" t="s">
        <v>93</v>
      </c>
      <c r="T110" s="121">
        <f>VLOOKUP($R110,INPUT!$AB$9:$AF$130,3,FALSE)</f>
        <v>26.57</v>
      </c>
      <c r="U110" s="121">
        <f>VLOOKUP($R110,INPUT!$AB$9:$AF$130,4,FALSE)</f>
        <v>27.03</v>
      </c>
      <c r="V110" s="29">
        <f>VLOOKUP($R110,INPUT!$AB$9:$AF$130,5,FALSE)</f>
        <v>0.47099999999999997</v>
      </c>
      <c r="W110" s="97">
        <f>($V110*INPUT!$S$70)*INPUT!$H$76</f>
        <v>-0.23102199486756783</v>
      </c>
      <c r="X110" s="97">
        <f>($V110*INPUT!$S$70)*INPUT!$J$76</f>
        <v>3.5862809717675206</v>
      </c>
      <c r="Y110" s="98">
        <f t="shared" si="76"/>
        <v>29.925258976899954</v>
      </c>
      <c r="Z110" s="98">
        <f t="shared" si="77"/>
        <v>30.385258976899955</v>
      </c>
      <c r="AA110" s="97">
        <f>($V110*INPUT!$S$70)*$AA$19</f>
        <v>0.71872100560203256</v>
      </c>
      <c r="AB110" s="97">
        <f>($V110*INPUT!$S$70)*$AB$19</f>
        <v>-0.11786304000000002</v>
      </c>
    </row>
    <row r="111" spans="1:28" ht="13" thickBot="1" x14ac:dyDescent="0.3">
      <c r="A111" s="293" t="s">
        <v>516</v>
      </c>
      <c r="B111" s="330">
        <f t="shared" si="60"/>
        <v>0.47099999999999997</v>
      </c>
      <c r="C111" s="179">
        <f t="shared" si="61"/>
        <v>29.45</v>
      </c>
      <c r="D111" s="179">
        <f t="shared" si="62"/>
        <v>29.97</v>
      </c>
      <c r="E111" s="179">
        <f t="shared" si="68"/>
        <v>0.71872100560203256</v>
      </c>
      <c r="F111" s="90">
        <f t="shared" si="69"/>
        <v>-0.19872100560203165</v>
      </c>
      <c r="G111" s="292">
        <f t="shared" si="70"/>
        <v>-6.7000000000000002E-3</v>
      </c>
      <c r="H111" s="288">
        <f t="shared" si="63"/>
        <v>-0.23102199486756783</v>
      </c>
      <c r="I111" s="288">
        <f t="shared" si="64"/>
        <v>3.5862809717675206</v>
      </c>
      <c r="J111" s="288">
        <f t="shared" si="71"/>
        <v>33.523979982501984</v>
      </c>
      <c r="K111" s="288">
        <f t="shared" si="65"/>
        <v>33.325258976899953</v>
      </c>
      <c r="L111" s="292">
        <f t="shared" si="72"/>
        <v>-5.8999999999999999E-3</v>
      </c>
      <c r="M111" s="179">
        <f t="shared" si="73"/>
        <v>-0.11786304000000002</v>
      </c>
      <c r="N111" s="90">
        <f t="shared" si="74"/>
        <v>33.20739593689995</v>
      </c>
      <c r="O111" s="91">
        <f t="shared" si="75"/>
        <v>-9.4000000000000004E-3</v>
      </c>
      <c r="P111" s="29"/>
      <c r="Q111" s="29"/>
      <c r="R111" s="29">
        <v>475</v>
      </c>
      <c r="S111" s="111" t="s">
        <v>94</v>
      </c>
      <c r="T111" s="121">
        <f>VLOOKUP($R111,INPUT!$AB$9:$AF$130,3,FALSE)</f>
        <v>29.45</v>
      </c>
      <c r="U111" s="121">
        <f>VLOOKUP($R111,INPUT!$AB$9:$AF$130,4,FALSE)</f>
        <v>29.97</v>
      </c>
      <c r="V111" s="29">
        <f>VLOOKUP($R111,INPUT!$AB$9:$AF$130,5,FALSE)</f>
        <v>0.47099999999999997</v>
      </c>
      <c r="W111" s="97">
        <f>($V111*INPUT!$S$70)*INPUT!$H$76</f>
        <v>-0.23102199486756783</v>
      </c>
      <c r="X111" s="97">
        <f>($V111*INPUT!$S$70)*INPUT!$J$76</f>
        <v>3.5862809717675206</v>
      </c>
      <c r="Y111" s="98">
        <f t="shared" si="76"/>
        <v>32.80525897689995</v>
      </c>
      <c r="Z111" s="98">
        <f t="shared" si="77"/>
        <v>33.325258976899953</v>
      </c>
      <c r="AA111" s="97">
        <f>($V111*INPUT!$S$70)*$AA$19</f>
        <v>0.71872100560203256</v>
      </c>
      <c r="AB111" s="97">
        <f>($V111*INPUT!$S$70)*$AB$19</f>
        <v>-0.11786304000000002</v>
      </c>
    </row>
    <row r="112" spans="1:28" ht="13" thickBot="1" x14ac:dyDescent="0.3">
      <c r="A112" s="291" t="s">
        <v>517</v>
      </c>
      <c r="B112" s="330">
        <f t="shared" si="60"/>
        <v>0.47099999999999997</v>
      </c>
      <c r="C112" s="179">
        <f t="shared" si="61"/>
        <v>14.58</v>
      </c>
      <c r="D112" s="179">
        <f t="shared" si="62"/>
        <v>14.84</v>
      </c>
      <c r="E112" s="179">
        <f t="shared" si="68"/>
        <v>0.71872100560203256</v>
      </c>
      <c r="F112" s="90">
        <f t="shared" si="69"/>
        <v>-0.45872100560203322</v>
      </c>
      <c r="G112" s="292">
        <f t="shared" si="70"/>
        <v>-3.15E-2</v>
      </c>
      <c r="H112" s="288">
        <f t="shared" si="63"/>
        <v>-0.23102199486756783</v>
      </c>
      <c r="I112" s="288">
        <f t="shared" si="64"/>
        <v>3.5862809717675206</v>
      </c>
      <c r="J112" s="288">
        <f t="shared" si="71"/>
        <v>18.653979982501987</v>
      </c>
      <c r="K112" s="288">
        <f t="shared" si="65"/>
        <v>18.195258976899954</v>
      </c>
      <c r="L112" s="292">
        <f t="shared" si="72"/>
        <v>-2.46E-2</v>
      </c>
      <c r="M112" s="179">
        <f t="shared" si="73"/>
        <v>-0.11786304000000002</v>
      </c>
      <c r="N112" s="90">
        <f t="shared" si="74"/>
        <v>18.077395936899954</v>
      </c>
      <c r="O112" s="91">
        <f t="shared" si="75"/>
        <v>-3.09E-2</v>
      </c>
      <c r="P112" s="29"/>
      <c r="Q112" s="29"/>
      <c r="R112" s="29">
        <v>409</v>
      </c>
      <c r="S112" s="119" t="s">
        <v>131</v>
      </c>
      <c r="T112" s="121">
        <f>VLOOKUP($R112,INPUT!$AB$9:$AF$130,3,FALSE)</f>
        <v>14.58</v>
      </c>
      <c r="U112" s="121">
        <f>VLOOKUP($R112,INPUT!$AB$9:$AF$130,4,FALSE)</f>
        <v>14.84</v>
      </c>
      <c r="V112" s="29">
        <f>VLOOKUP($R112,INPUT!$AB$9:$AF$130,5,FALSE)</f>
        <v>0.47099999999999997</v>
      </c>
      <c r="W112" s="97">
        <f>($V112*INPUT!$S$70)*INPUT!$H$76</f>
        <v>-0.23102199486756783</v>
      </c>
      <c r="X112" s="97">
        <f>($V112*INPUT!$S$70)*INPUT!$J$76</f>
        <v>3.5862809717675206</v>
      </c>
      <c r="Y112" s="98">
        <f t="shared" si="66"/>
        <v>17.935258976899952</v>
      </c>
      <c r="Z112" s="98">
        <f t="shared" si="67"/>
        <v>18.195258976899954</v>
      </c>
      <c r="AA112" s="97">
        <f>($V112*INPUT!$S$70)*$AA$19</f>
        <v>0.71872100560203256</v>
      </c>
      <c r="AB112" s="97">
        <f>($V112*INPUT!$S$70)*$AB$19</f>
        <v>-0.11786304000000002</v>
      </c>
    </row>
    <row r="113" spans="1:28" ht="13" thickBot="1" x14ac:dyDescent="0.3">
      <c r="A113" s="291" t="s">
        <v>518</v>
      </c>
      <c r="B113" s="330">
        <f t="shared" si="60"/>
        <v>8.3000000000000004E-2</v>
      </c>
      <c r="C113" s="179">
        <f t="shared" si="61"/>
        <v>9.16</v>
      </c>
      <c r="D113" s="179">
        <f t="shared" si="62"/>
        <v>9.32</v>
      </c>
      <c r="E113" s="179">
        <f t="shared" si="68"/>
        <v>0.12665359546702484</v>
      </c>
      <c r="F113" s="90">
        <f t="shared" si="69"/>
        <v>3.3346404532975882E-2</v>
      </c>
      <c r="G113" s="292">
        <f t="shared" si="70"/>
        <v>3.5999999999999999E-3</v>
      </c>
      <c r="H113" s="288">
        <f t="shared" si="63"/>
        <v>-4.0710882322734884E-2</v>
      </c>
      <c r="I113" s="288">
        <f t="shared" si="64"/>
        <v>0.63197732623504077</v>
      </c>
      <c r="J113" s="288">
        <f t="shared" si="71"/>
        <v>9.8779200393793296</v>
      </c>
      <c r="K113" s="288">
        <f t="shared" si="65"/>
        <v>9.9112664439123073</v>
      </c>
      <c r="L113" s="292">
        <f t="shared" si="72"/>
        <v>3.3999999999999998E-3</v>
      </c>
      <c r="M113" s="179">
        <f t="shared" si="73"/>
        <v>-2.0769920000000001E-2</v>
      </c>
      <c r="N113" s="90">
        <f t="shared" si="74"/>
        <v>9.8904965239123079</v>
      </c>
      <c r="O113" s="91">
        <f t="shared" si="75"/>
        <v>1.2999999999999999E-3</v>
      </c>
      <c r="P113" s="29"/>
      <c r="Q113" s="29"/>
      <c r="R113" s="29">
        <v>426</v>
      </c>
      <c r="S113" s="119" t="s">
        <v>132</v>
      </c>
      <c r="T113" s="121">
        <f>VLOOKUP($R113,INPUT!$AB$9:$AF$130,3,FALSE)</f>
        <v>9.16</v>
      </c>
      <c r="U113" s="121">
        <f>VLOOKUP($R113,INPUT!$AB$9:$AF$130,4,FALSE)</f>
        <v>9.32</v>
      </c>
      <c r="V113" s="29">
        <f>VLOOKUP($R113,INPUT!$AB$9:$AF$130,5,FALSE)</f>
        <v>8.3000000000000004E-2</v>
      </c>
      <c r="W113" s="97">
        <f>($V113*INPUT!$S$70)*INPUT!$H$76</f>
        <v>-4.0710882322734884E-2</v>
      </c>
      <c r="X113" s="97">
        <f>($V113*INPUT!$S$70)*INPUT!$J$76</f>
        <v>0.63197732623504077</v>
      </c>
      <c r="Y113" s="98">
        <f t="shared" si="66"/>
        <v>9.7512664439123071</v>
      </c>
      <c r="Z113" s="98">
        <f t="shared" si="67"/>
        <v>9.9112664439123073</v>
      </c>
      <c r="AA113" s="97">
        <f>($V113*INPUT!$S$70)*$AA$19</f>
        <v>0.12665359546702484</v>
      </c>
      <c r="AB113" s="97">
        <f>($V113*INPUT!$S$70)*$AB$19</f>
        <v>-2.0769920000000001E-2</v>
      </c>
    </row>
    <row r="114" spans="1:28" ht="13" thickBot="1" x14ac:dyDescent="0.3">
      <c r="A114" s="293" t="s">
        <v>519</v>
      </c>
      <c r="B114" s="330">
        <f t="shared" si="60"/>
        <v>0.11700000000000001</v>
      </c>
      <c r="C114" s="179">
        <f t="shared" si="61"/>
        <v>9.34</v>
      </c>
      <c r="D114" s="179">
        <f t="shared" si="62"/>
        <v>9.5</v>
      </c>
      <c r="E114" s="179">
        <f t="shared" si="68"/>
        <v>0.17853579120050492</v>
      </c>
      <c r="F114" s="90">
        <f t="shared" si="69"/>
        <v>-1.8535791200504192E-2</v>
      </c>
      <c r="G114" s="292">
        <f t="shared" si="70"/>
        <v>-2E-3</v>
      </c>
      <c r="H114" s="288">
        <f t="shared" si="63"/>
        <v>-5.738762929831303E-2</v>
      </c>
      <c r="I114" s="288">
        <f t="shared" si="64"/>
        <v>0.89085960445180457</v>
      </c>
      <c r="J114" s="288">
        <f t="shared" si="71"/>
        <v>10.352007766353996</v>
      </c>
      <c r="K114" s="288">
        <f t="shared" si="65"/>
        <v>10.333471975153492</v>
      </c>
      <c r="L114" s="292">
        <f t="shared" si="72"/>
        <v>-1.8E-3</v>
      </c>
      <c r="M114" s="179">
        <f t="shared" si="73"/>
        <v>-2.9278080000000005E-2</v>
      </c>
      <c r="N114" s="90">
        <f t="shared" si="74"/>
        <v>10.304193895153492</v>
      </c>
      <c r="O114" s="91">
        <f t="shared" si="75"/>
        <v>-4.5999999999999999E-3</v>
      </c>
      <c r="P114" s="29"/>
      <c r="Q114" s="29"/>
      <c r="R114" s="29">
        <v>428</v>
      </c>
      <c r="S114" s="111" t="s">
        <v>98</v>
      </c>
      <c r="T114" s="121">
        <f>VLOOKUP($R114,INPUT!$AB$9:$AF$130,3,FALSE)</f>
        <v>9.34</v>
      </c>
      <c r="U114" s="121">
        <f>VLOOKUP($R114,INPUT!$AB$9:$AF$130,4,FALSE)</f>
        <v>9.5</v>
      </c>
      <c r="V114" s="29">
        <f>VLOOKUP($R114,INPUT!$AB$9:$AF$130,5,FALSE)</f>
        <v>0.11700000000000001</v>
      </c>
      <c r="W114" s="97">
        <f>($V114*INPUT!$S$70)*INPUT!$H$76</f>
        <v>-5.738762929831303E-2</v>
      </c>
      <c r="X114" s="97">
        <f>($V114*INPUT!$S$70)*INPUT!$J$76</f>
        <v>0.89085960445180457</v>
      </c>
      <c r="Y114" s="98">
        <f>+T114+W114+X114</f>
        <v>10.173471975153491</v>
      </c>
      <c r="Z114" s="98">
        <f>+U114+W114+X114</f>
        <v>10.333471975153492</v>
      </c>
      <c r="AA114" s="97">
        <f>($V114*INPUT!$S$70)*$AA$19</f>
        <v>0.17853579120050492</v>
      </c>
      <c r="AB114" s="97">
        <f>($V114*INPUT!$S$70)*$AB$19</f>
        <v>-2.9278080000000005E-2</v>
      </c>
    </row>
    <row r="115" spans="1:28" ht="13" thickBot="1" x14ac:dyDescent="0.3">
      <c r="A115" s="293" t="s">
        <v>520</v>
      </c>
      <c r="B115" s="330">
        <f t="shared" si="60"/>
        <v>0.11700000000000001</v>
      </c>
      <c r="C115" s="179">
        <f t="shared" si="61"/>
        <v>10.71</v>
      </c>
      <c r="D115" s="179">
        <f t="shared" si="62"/>
        <v>10.9</v>
      </c>
      <c r="E115" s="179">
        <f t="shared" si="68"/>
        <v>0.17853579120050492</v>
      </c>
      <c r="F115" s="90">
        <f t="shared" si="69"/>
        <v>1.1464208799495168E-2</v>
      </c>
      <c r="G115" s="292">
        <f t="shared" si="70"/>
        <v>1.1000000000000001E-3</v>
      </c>
      <c r="H115" s="288">
        <f t="shared" si="63"/>
        <v>-5.738762929831303E-2</v>
      </c>
      <c r="I115" s="288">
        <f t="shared" si="64"/>
        <v>0.89085960445180457</v>
      </c>
      <c r="J115" s="288">
        <f t="shared" si="71"/>
        <v>11.722007766353997</v>
      </c>
      <c r="K115" s="288">
        <f t="shared" si="65"/>
        <v>11.733471975153492</v>
      </c>
      <c r="L115" s="292">
        <f t="shared" si="72"/>
        <v>1E-3</v>
      </c>
      <c r="M115" s="179">
        <f t="shared" si="73"/>
        <v>-2.9278080000000005E-2</v>
      </c>
      <c r="N115" s="90">
        <f t="shared" si="74"/>
        <v>11.704193895153493</v>
      </c>
      <c r="O115" s="91">
        <f t="shared" si="75"/>
        <v>-1.5E-3</v>
      </c>
      <c r="P115" s="29"/>
      <c r="Q115" s="29"/>
      <c r="R115" s="29">
        <v>487</v>
      </c>
      <c r="S115" s="111" t="s">
        <v>95</v>
      </c>
      <c r="T115" s="121">
        <f>VLOOKUP($R115,INPUT!$AB$9:$AF$130,3,FALSE)</f>
        <v>10.71</v>
      </c>
      <c r="U115" s="121">
        <f>VLOOKUP($R115,INPUT!$AB$9:$AF$130,4,FALSE)</f>
        <v>10.9</v>
      </c>
      <c r="V115" s="29">
        <f>VLOOKUP($R115,INPUT!$AB$9:$AF$130,5,FALSE)</f>
        <v>0.11700000000000001</v>
      </c>
      <c r="W115" s="97">
        <f>($V115*INPUT!$S$70)*INPUT!$H$76</f>
        <v>-5.738762929831303E-2</v>
      </c>
      <c r="X115" s="97">
        <f>($V115*INPUT!$S$70)*INPUT!$J$76</f>
        <v>0.89085960445180457</v>
      </c>
      <c r="Y115" s="98">
        <f t="shared" ref="Y115:Y117" si="78">+T115+W115+X115</f>
        <v>11.543471975153492</v>
      </c>
      <c r="Z115" s="98">
        <f t="shared" ref="Z115:Z117" si="79">+U115+W115+X115</f>
        <v>11.733471975153492</v>
      </c>
      <c r="AA115" s="97">
        <f>($V115*INPUT!$S$70)*$AA$19</f>
        <v>0.17853579120050492</v>
      </c>
      <c r="AB115" s="97">
        <f>($V115*INPUT!$S$70)*$AB$19</f>
        <v>-2.9278080000000005E-2</v>
      </c>
    </row>
    <row r="116" spans="1:28" ht="13" thickBot="1" x14ac:dyDescent="0.3">
      <c r="A116" s="293" t="s">
        <v>521</v>
      </c>
      <c r="B116" s="330">
        <f t="shared" si="60"/>
        <v>0.24199999999999999</v>
      </c>
      <c r="C116" s="179">
        <f t="shared" si="61"/>
        <v>16.190000000000001</v>
      </c>
      <c r="D116" s="179">
        <f t="shared" si="62"/>
        <v>16.47</v>
      </c>
      <c r="E116" s="179">
        <f t="shared" si="68"/>
        <v>0.36927915786771098</v>
      </c>
      <c r="F116" s="90">
        <f t="shared" si="69"/>
        <v>-8.9279157867714787E-2</v>
      </c>
      <c r="G116" s="292">
        <f t="shared" si="70"/>
        <v>-5.4999999999999997E-3</v>
      </c>
      <c r="H116" s="288">
        <f t="shared" si="63"/>
        <v>-0.11869919906146796</v>
      </c>
      <c r="I116" s="288">
        <f t="shared" si="64"/>
        <v>1.8426326861310827</v>
      </c>
      <c r="J116" s="288">
        <f t="shared" si="71"/>
        <v>18.283212644937329</v>
      </c>
      <c r="K116" s="288">
        <f t="shared" si="65"/>
        <v>18.193933487069614</v>
      </c>
      <c r="L116" s="292">
        <f t="shared" si="72"/>
        <v>-4.8999999999999998E-3</v>
      </c>
      <c r="M116" s="179">
        <f t="shared" si="73"/>
        <v>-6.055808E-2</v>
      </c>
      <c r="N116" s="90">
        <f t="shared" si="74"/>
        <v>18.133375407069614</v>
      </c>
      <c r="O116" s="91">
        <f t="shared" si="75"/>
        <v>-8.2000000000000007E-3</v>
      </c>
      <c r="P116" s="29"/>
      <c r="Q116" s="29"/>
      <c r="R116" s="29">
        <v>488</v>
      </c>
      <c r="S116" s="111" t="s">
        <v>96</v>
      </c>
      <c r="T116" s="121">
        <f>VLOOKUP($R116,INPUT!$AB$9:$AF$130,3,FALSE)</f>
        <v>16.190000000000001</v>
      </c>
      <c r="U116" s="121">
        <f>VLOOKUP($R116,INPUT!$AB$9:$AF$130,4,FALSE)</f>
        <v>16.47</v>
      </c>
      <c r="V116" s="29">
        <f>VLOOKUP($R116,INPUT!$AB$9:$AF$130,5,FALSE)</f>
        <v>0.24199999999999999</v>
      </c>
      <c r="W116" s="97">
        <f>($V116*INPUT!$S$70)*INPUT!$H$76</f>
        <v>-0.11869919906146796</v>
      </c>
      <c r="X116" s="97">
        <f>($V116*INPUT!$S$70)*INPUT!$J$76</f>
        <v>1.8426326861310827</v>
      </c>
      <c r="Y116" s="98">
        <f t="shared" si="78"/>
        <v>17.913933487069617</v>
      </c>
      <c r="Z116" s="98">
        <f t="shared" si="79"/>
        <v>18.193933487069614</v>
      </c>
      <c r="AA116" s="97">
        <f>($V116*INPUT!$S$70)*$AA$19</f>
        <v>0.36927915786771098</v>
      </c>
      <c r="AB116" s="97">
        <f>($V116*INPUT!$S$70)*$AB$19</f>
        <v>-6.055808E-2</v>
      </c>
    </row>
    <row r="117" spans="1:28" ht="13" thickBot="1" x14ac:dyDescent="0.3">
      <c r="A117" s="293" t="s">
        <v>522</v>
      </c>
      <c r="B117" s="330">
        <f t="shared" si="60"/>
        <v>0.47099999999999997</v>
      </c>
      <c r="C117" s="179">
        <f t="shared" si="61"/>
        <v>22.76</v>
      </c>
      <c r="D117" s="179">
        <f t="shared" si="62"/>
        <v>23.16</v>
      </c>
      <c r="E117" s="179">
        <f t="shared" si="68"/>
        <v>0.71872100560203256</v>
      </c>
      <c r="F117" s="90">
        <f t="shared" si="69"/>
        <v>-0.31872100560203265</v>
      </c>
      <c r="G117" s="292">
        <f t="shared" si="70"/>
        <v>-1.4E-2</v>
      </c>
      <c r="H117" s="288">
        <f t="shared" si="63"/>
        <v>-0.23102199486756783</v>
      </c>
      <c r="I117" s="288">
        <f t="shared" si="64"/>
        <v>3.5862809717675206</v>
      </c>
      <c r="J117" s="288">
        <f t="shared" si="71"/>
        <v>26.833979982501987</v>
      </c>
      <c r="K117" s="288">
        <f t="shared" si="65"/>
        <v>26.515258976899954</v>
      </c>
      <c r="L117" s="292">
        <f t="shared" si="72"/>
        <v>-1.1900000000000001E-2</v>
      </c>
      <c r="M117" s="179">
        <f t="shared" si="73"/>
        <v>-0.11786304000000002</v>
      </c>
      <c r="N117" s="90">
        <f t="shared" si="74"/>
        <v>26.397395936899954</v>
      </c>
      <c r="O117" s="91">
        <f t="shared" si="75"/>
        <v>-1.6299999999999999E-2</v>
      </c>
      <c r="P117" s="29"/>
      <c r="Q117" s="29"/>
      <c r="R117" s="29">
        <v>489</v>
      </c>
      <c r="S117" s="111" t="s">
        <v>97</v>
      </c>
      <c r="T117" s="121">
        <f>VLOOKUP($R117,INPUT!$AB$9:$AF$130,3,FALSE)</f>
        <v>22.76</v>
      </c>
      <c r="U117" s="121">
        <f>VLOOKUP($R117,INPUT!$AB$9:$AF$130,4,FALSE)</f>
        <v>23.16</v>
      </c>
      <c r="V117" s="29">
        <f>VLOOKUP($R117,INPUT!$AB$9:$AF$130,5,FALSE)</f>
        <v>0.47099999999999997</v>
      </c>
      <c r="W117" s="97">
        <f>($V117*INPUT!$S$70)*INPUT!$H$76</f>
        <v>-0.23102199486756783</v>
      </c>
      <c r="X117" s="97">
        <f>($V117*INPUT!$S$70)*INPUT!$J$76</f>
        <v>3.5862809717675206</v>
      </c>
      <c r="Y117" s="98">
        <f t="shared" si="78"/>
        <v>26.115258976899955</v>
      </c>
      <c r="Z117" s="98">
        <f t="shared" si="79"/>
        <v>26.515258976899954</v>
      </c>
      <c r="AA117" s="97">
        <f>($V117*INPUT!$S$70)*$AA$19</f>
        <v>0.71872100560203256</v>
      </c>
      <c r="AB117" s="97">
        <f>($V117*INPUT!$S$70)*$AB$19</f>
        <v>-0.11786304000000002</v>
      </c>
    </row>
    <row r="118" spans="1:28" ht="13" thickBot="1" x14ac:dyDescent="0.3">
      <c r="A118" s="291"/>
      <c r="B118" s="287"/>
      <c r="C118" s="288"/>
      <c r="D118" s="288"/>
      <c r="E118" s="179"/>
      <c r="F118" s="90"/>
      <c r="G118" s="292"/>
      <c r="H118" s="288"/>
      <c r="I118" s="288"/>
      <c r="J118" s="288"/>
      <c r="K118" s="288"/>
      <c r="L118" s="292"/>
      <c r="M118" s="179"/>
      <c r="N118" s="90"/>
      <c r="O118" s="91"/>
      <c r="P118" s="29"/>
      <c r="Q118" s="29"/>
      <c r="S118" s="316"/>
      <c r="T118" s="322"/>
      <c r="U118" s="234"/>
      <c r="W118" s="97"/>
      <c r="X118" s="97"/>
      <c r="Y118" s="98"/>
      <c r="Z118" s="98"/>
      <c r="AA118" s="97"/>
      <c r="AB118" s="97"/>
    </row>
    <row r="119" spans="1:28" ht="13.5" thickBot="1" x14ac:dyDescent="0.3">
      <c r="A119" s="290" t="s">
        <v>133</v>
      </c>
      <c r="B119" s="287"/>
      <c r="C119" s="288"/>
      <c r="D119" s="288"/>
      <c r="E119" s="179"/>
      <c r="F119" s="90"/>
      <c r="G119" s="292"/>
      <c r="H119" s="288"/>
      <c r="I119" s="288"/>
      <c r="J119" s="288"/>
      <c r="K119" s="288"/>
      <c r="L119" s="292"/>
      <c r="M119" s="179"/>
      <c r="N119" s="90"/>
      <c r="O119" s="91"/>
      <c r="P119" s="29"/>
      <c r="Q119" s="29"/>
      <c r="S119" s="312" t="s">
        <v>133</v>
      </c>
      <c r="T119" s="121"/>
      <c r="U119" s="122"/>
      <c r="W119" s="97"/>
      <c r="X119" s="97"/>
      <c r="AA119" s="97"/>
      <c r="AB119" s="97"/>
    </row>
    <row r="120" spans="1:28" ht="13" thickBot="1" x14ac:dyDescent="0.3">
      <c r="A120" s="293" t="s">
        <v>523</v>
      </c>
      <c r="B120" s="330">
        <f t="shared" ref="B120:B125" si="80">+V120</f>
        <v>0.15</v>
      </c>
      <c r="C120" s="179">
        <f t="shared" ref="C120:D125" si="81">T120</f>
        <v>17.100000000000001</v>
      </c>
      <c r="D120" s="179">
        <f t="shared" si="81"/>
        <v>17.399999999999999</v>
      </c>
      <c r="E120" s="179">
        <f t="shared" si="68"/>
        <v>0.22889204000064731</v>
      </c>
      <c r="F120" s="90">
        <f t="shared" si="69"/>
        <v>7.1107959999348935E-2</v>
      </c>
      <c r="G120" s="292">
        <f t="shared" si="70"/>
        <v>4.1999999999999997E-3</v>
      </c>
      <c r="H120" s="288">
        <f t="shared" ref="H120:I125" si="82">+W120</f>
        <v>-7.3573883715785923E-2</v>
      </c>
      <c r="I120" s="288">
        <f t="shared" si="82"/>
        <v>1.1421276980151338</v>
      </c>
      <c r="J120" s="288">
        <f t="shared" si="71"/>
        <v>18.397445854299999</v>
      </c>
      <c r="K120" s="288">
        <f t="shared" ref="K120:K125" si="83">+D120+H120+I120</f>
        <v>18.468553814299348</v>
      </c>
      <c r="L120" s="292">
        <f t="shared" si="72"/>
        <v>3.8999999999999998E-3</v>
      </c>
      <c r="M120" s="179">
        <f t="shared" si="73"/>
        <v>-3.7536E-2</v>
      </c>
      <c r="N120" s="90">
        <f t="shared" si="74"/>
        <v>18.431017814299349</v>
      </c>
      <c r="O120" s="91">
        <f t="shared" si="75"/>
        <v>1.8E-3</v>
      </c>
      <c r="P120" s="29"/>
      <c r="Q120" s="29"/>
      <c r="R120" s="29">
        <v>450</v>
      </c>
      <c r="S120" s="111" t="s">
        <v>100</v>
      </c>
      <c r="T120" s="121">
        <f>VLOOKUP($R120,INPUT!$AB$9:$AF$130,3,FALSE)</f>
        <v>17.100000000000001</v>
      </c>
      <c r="U120" s="121">
        <f>VLOOKUP($R120,INPUT!$AB$9:$AF$130,4,FALSE)</f>
        <v>17.399999999999999</v>
      </c>
      <c r="V120" s="29">
        <f>VLOOKUP($R120,INPUT!$AB$9:$AF$130,5,FALSE)</f>
        <v>0.15</v>
      </c>
      <c r="W120" s="97">
        <f>($V120*INPUT!$S$70)*INPUT!$H$76</f>
        <v>-7.3573883715785923E-2</v>
      </c>
      <c r="X120" s="97">
        <f>($V120*INPUT!$S$70)*INPUT!$J$76</f>
        <v>1.1421276980151338</v>
      </c>
      <c r="Y120" s="98">
        <f>+T120+W120+X120</f>
        <v>18.168553814299351</v>
      </c>
      <c r="Z120" s="98">
        <f>+U120+W120+X120</f>
        <v>18.468553814299348</v>
      </c>
      <c r="AA120" s="97">
        <f>($V120*INPUT!$S$70)*$AA$19</f>
        <v>0.22889204000064731</v>
      </c>
      <c r="AB120" s="97">
        <f>($V120*INPUT!$S$70)*$AB$19</f>
        <v>-3.7536E-2</v>
      </c>
    </row>
    <row r="121" spans="1:28" ht="13" thickBot="1" x14ac:dyDescent="0.3">
      <c r="A121" s="291" t="s">
        <v>524</v>
      </c>
      <c r="B121" s="330">
        <f t="shared" si="80"/>
        <v>0.15</v>
      </c>
      <c r="C121" s="179">
        <f t="shared" si="81"/>
        <v>22.05</v>
      </c>
      <c r="D121" s="179">
        <f t="shared" si="81"/>
        <v>22.44</v>
      </c>
      <c r="E121" s="179">
        <f t="shared" si="68"/>
        <v>0.22889204000064731</v>
      </c>
      <c r="F121" s="90">
        <f t="shared" si="69"/>
        <v>0.16110795999935235</v>
      </c>
      <c r="G121" s="292">
        <f t="shared" si="70"/>
        <v>7.3000000000000001E-3</v>
      </c>
      <c r="H121" s="288">
        <f t="shared" si="82"/>
        <v>-7.3573883715785923E-2</v>
      </c>
      <c r="I121" s="288">
        <f t="shared" si="82"/>
        <v>1.1421276980151338</v>
      </c>
      <c r="J121" s="288">
        <f t="shared" si="71"/>
        <v>23.347445854299998</v>
      </c>
      <c r="K121" s="288">
        <f t="shared" si="83"/>
        <v>23.508553814299351</v>
      </c>
      <c r="L121" s="292">
        <f t="shared" si="72"/>
        <v>6.8999999999999999E-3</v>
      </c>
      <c r="M121" s="179">
        <f t="shared" si="73"/>
        <v>-3.7536E-2</v>
      </c>
      <c r="N121" s="90">
        <f t="shared" si="74"/>
        <v>23.471017814299351</v>
      </c>
      <c r="O121" s="91">
        <f t="shared" si="75"/>
        <v>5.3E-3</v>
      </c>
      <c r="P121" s="29"/>
      <c r="Q121" s="29"/>
      <c r="R121" s="29">
        <v>454</v>
      </c>
      <c r="S121" s="111" t="s">
        <v>134</v>
      </c>
      <c r="T121" s="121">
        <f>VLOOKUP($R121,INPUT!$AB$9:$AF$130,3,FALSE)</f>
        <v>22.05</v>
      </c>
      <c r="U121" s="121">
        <f>VLOOKUP($R121,INPUT!$AB$9:$AF$130,4,FALSE)</f>
        <v>22.44</v>
      </c>
      <c r="V121" s="29">
        <f>VLOOKUP($R121,INPUT!$AB$9:$AF$130,5,FALSE)</f>
        <v>0.15</v>
      </c>
      <c r="W121" s="97">
        <f>($V121*INPUT!$S$70)*INPUT!$H$76</f>
        <v>-7.3573883715785923E-2</v>
      </c>
      <c r="X121" s="97">
        <f>($V121*INPUT!$S$70)*INPUT!$J$76</f>
        <v>1.1421276980151338</v>
      </c>
      <c r="Y121" s="98">
        <f t="shared" ref="Y121:Y124" si="84">+T121+W121+X121</f>
        <v>23.11855381429935</v>
      </c>
      <c r="Z121" s="98">
        <f t="shared" ref="Z121:Z124" si="85">+U121+W121+X121</f>
        <v>23.508553814299351</v>
      </c>
      <c r="AA121" s="97">
        <f>($V121*INPUT!$S$70)*$AA$19</f>
        <v>0.22889204000064731</v>
      </c>
      <c r="AB121" s="97">
        <f>($V121*INPUT!$S$70)*$AB$19</f>
        <v>-3.7536E-2</v>
      </c>
    </row>
    <row r="122" spans="1:28" ht="13" thickBot="1" x14ac:dyDescent="0.3">
      <c r="A122" s="291" t="s">
        <v>525</v>
      </c>
      <c r="B122" s="330">
        <f t="shared" si="80"/>
        <v>0.35</v>
      </c>
      <c r="C122" s="179">
        <f t="shared" si="81"/>
        <v>28.81</v>
      </c>
      <c r="D122" s="179">
        <f t="shared" si="81"/>
        <v>29.31</v>
      </c>
      <c r="E122" s="179">
        <f t="shared" si="68"/>
        <v>0.53408142666817704</v>
      </c>
      <c r="F122" s="90">
        <f t="shared" si="69"/>
        <v>-3.4081426668176817E-2</v>
      </c>
      <c r="G122" s="292">
        <f t="shared" si="70"/>
        <v>-1.1999999999999999E-3</v>
      </c>
      <c r="H122" s="288">
        <f t="shared" si="82"/>
        <v>-0.17167239533683382</v>
      </c>
      <c r="I122" s="288">
        <f t="shared" si="82"/>
        <v>2.6649646287019788</v>
      </c>
      <c r="J122" s="288">
        <f t="shared" si="71"/>
        <v>31.837373660033322</v>
      </c>
      <c r="K122" s="288">
        <f t="shared" si="83"/>
        <v>31.803292233365141</v>
      </c>
      <c r="L122" s="292">
        <f t="shared" si="72"/>
        <v>-1.1000000000000001E-3</v>
      </c>
      <c r="M122" s="179">
        <f t="shared" si="73"/>
        <v>-8.7583999999999995E-2</v>
      </c>
      <c r="N122" s="90">
        <f t="shared" si="74"/>
        <v>31.715708233365142</v>
      </c>
      <c r="O122" s="91">
        <f t="shared" si="75"/>
        <v>-3.8E-3</v>
      </c>
      <c r="P122" s="29"/>
      <c r="Q122" s="29"/>
      <c r="R122" s="29">
        <v>455</v>
      </c>
      <c r="S122" s="119" t="s">
        <v>135</v>
      </c>
      <c r="T122" s="121">
        <f>VLOOKUP($R122,INPUT!$AB$9:$AF$130,3,FALSE)</f>
        <v>28.81</v>
      </c>
      <c r="U122" s="121">
        <f>VLOOKUP($R122,INPUT!$AB$9:$AF$130,4,FALSE)</f>
        <v>29.31</v>
      </c>
      <c r="V122" s="29">
        <f>VLOOKUP($R122,INPUT!$AB$9:$AF$130,5,FALSE)</f>
        <v>0.35</v>
      </c>
      <c r="W122" s="97">
        <f>($V122*INPUT!$S$70)*INPUT!$H$76</f>
        <v>-0.17167239533683382</v>
      </c>
      <c r="X122" s="97">
        <f>($V122*INPUT!$S$70)*INPUT!$J$76</f>
        <v>2.6649646287019788</v>
      </c>
      <c r="Y122" s="98">
        <f t="shared" si="84"/>
        <v>31.303292233365141</v>
      </c>
      <c r="Z122" s="98">
        <f t="shared" si="85"/>
        <v>31.803292233365141</v>
      </c>
      <c r="AA122" s="97">
        <f>($V122*INPUT!$S$70)*$AA$19</f>
        <v>0.53408142666817704</v>
      </c>
      <c r="AB122" s="97">
        <f>($V122*INPUT!$S$70)*$AB$19</f>
        <v>-8.7583999999999995E-2</v>
      </c>
    </row>
    <row r="123" spans="1:28" ht="13" thickBot="1" x14ac:dyDescent="0.3">
      <c r="A123" s="293" t="s">
        <v>526</v>
      </c>
      <c r="B123" s="330">
        <f t="shared" si="80"/>
        <v>1.08</v>
      </c>
      <c r="C123" s="179">
        <f t="shared" si="81"/>
        <v>49.26</v>
      </c>
      <c r="D123" s="179">
        <f t="shared" si="81"/>
        <v>50.12</v>
      </c>
      <c r="E123" s="179">
        <f t="shared" si="68"/>
        <v>1.6480226880046609</v>
      </c>
      <c r="F123" s="90">
        <f t="shared" si="69"/>
        <v>-0.78802268800465924</v>
      </c>
      <c r="G123" s="292">
        <f t="shared" si="70"/>
        <v>-1.6E-2</v>
      </c>
      <c r="H123" s="288">
        <f t="shared" si="82"/>
        <v>-0.52973196275365875</v>
      </c>
      <c r="I123" s="288">
        <f t="shared" si="82"/>
        <v>8.223319425708965</v>
      </c>
      <c r="J123" s="288">
        <f t="shared" si="71"/>
        <v>58.601610150959964</v>
      </c>
      <c r="K123" s="288">
        <f t="shared" si="83"/>
        <v>57.813587462955304</v>
      </c>
      <c r="L123" s="292">
        <f t="shared" si="72"/>
        <v>-1.34E-2</v>
      </c>
      <c r="M123" s="179">
        <f t="shared" si="73"/>
        <v>-0.27025920000000003</v>
      </c>
      <c r="N123" s="90">
        <f t="shared" si="74"/>
        <v>57.543328262955306</v>
      </c>
      <c r="O123" s="91">
        <f t="shared" si="75"/>
        <v>-1.8100000000000002E-2</v>
      </c>
      <c r="P123" s="29"/>
      <c r="Q123" s="29"/>
      <c r="R123" s="29">
        <v>452</v>
      </c>
      <c r="S123" s="111" t="s">
        <v>102</v>
      </c>
      <c r="T123" s="121">
        <f>VLOOKUP($R123,INPUT!$AB$9:$AF$130,3,FALSE)</f>
        <v>49.26</v>
      </c>
      <c r="U123" s="121">
        <f>VLOOKUP($R123,INPUT!$AB$9:$AF$130,4,FALSE)</f>
        <v>50.12</v>
      </c>
      <c r="V123" s="29">
        <f>VLOOKUP($R123,INPUT!$AB$9:$AF$130,5,FALSE)</f>
        <v>1.08</v>
      </c>
      <c r="W123" s="97">
        <f>($V123*INPUT!$S$70)*INPUT!$H$76</f>
        <v>-0.52973196275365875</v>
      </c>
      <c r="X123" s="97">
        <f>($V123*INPUT!$S$70)*INPUT!$J$76</f>
        <v>8.223319425708965</v>
      </c>
      <c r="Y123" s="98">
        <f>+T123+W123+X123</f>
        <v>56.953587462955305</v>
      </c>
      <c r="Z123" s="98">
        <f>+U123+W123+X123</f>
        <v>57.813587462955304</v>
      </c>
      <c r="AA123" s="97">
        <f>($V123*INPUT!$S$70)*$AA$19</f>
        <v>1.6480226880046609</v>
      </c>
      <c r="AB123" s="97">
        <f>($V123*INPUT!$S$70)*$AB$19</f>
        <v>-0.27025920000000003</v>
      </c>
    </row>
    <row r="124" spans="1:28" ht="13" thickBot="1" x14ac:dyDescent="0.3">
      <c r="A124" s="291" t="s">
        <v>527</v>
      </c>
      <c r="B124" s="330">
        <f t="shared" si="80"/>
        <v>1.08</v>
      </c>
      <c r="C124" s="179">
        <f t="shared" si="81"/>
        <v>54.2</v>
      </c>
      <c r="D124" s="179">
        <f t="shared" si="81"/>
        <v>55.15</v>
      </c>
      <c r="E124" s="179">
        <f t="shared" si="68"/>
        <v>1.6480226880046609</v>
      </c>
      <c r="F124" s="90">
        <f t="shared" si="69"/>
        <v>-0.69802268800466294</v>
      </c>
      <c r="G124" s="292">
        <f t="shared" si="70"/>
        <v>-1.29E-2</v>
      </c>
      <c r="H124" s="288">
        <f t="shared" si="82"/>
        <v>-0.52973196275365875</v>
      </c>
      <c r="I124" s="288">
        <f t="shared" si="82"/>
        <v>8.223319425708965</v>
      </c>
      <c r="J124" s="288">
        <f t="shared" si="71"/>
        <v>63.541610150959968</v>
      </c>
      <c r="K124" s="288">
        <f t="shared" si="83"/>
        <v>62.843587462955306</v>
      </c>
      <c r="L124" s="292">
        <f t="shared" si="72"/>
        <v>-1.0999999999999999E-2</v>
      </c>
      <c r="M124" s="179">
        <f t="shared" si="73"/>
        <v>-0.27025920000000003</v>
      </c>
      <c r="N124" s="90">
        <f t="shared" si="74"/>
        <v>62.573328262955307</v>
      </c>
      <c r="O124" s="91">
        <f t="shared" si="75"/>
        <v>-1.52E-2</v>
      </c>
      <c r="P124" s="29"/>
      <c r="Q124" s="29"/>
      <c r="R124" s="29">
        <v>459</v>
      </c>
      <c r="S124" s="119" t="s">
        <v>136</v>
      </c>
      <c r="T124" s="121">
        <f>VLOOKUP($R124,INPUT!$AB$9:$AF$130,3,FALSE)</f>
        <v>54.2</v>
      </c>
      <c r="U124" s="121">
        <f>VLOOKUP($R124,INPUT!$AB$9:$AF$130,4,FALSE)</f>
        <v>55.15</v>
      </c>
      <c r="V124" s="29">
        <f>VLOOKUP($R124,INPUT!$AB$9:$AF$130,5,FALSE)</f>
        <v>1.08</v>
      </c>
      <c r="W124" s="97">
        <f>($V124*INPUT!$S$70)*INPUT!$H$76</f>
        <v>-0.52973196275365875</v>
      </c>
      <c r="X124" s="97">
        <f>($V124*INPUT!$S$70)*INPUT!$J$76</f>
        <v>8.223319425708965</v>
      </c>
      <c r="Y124" s="98">
        <f t="shared" si="84"/>
        <v>61.89358746295531</v>
      </c>
      <c r="Z124" s="98">
        <f t="shared" si="85"/>
        <v>62.843587462955306</v>
      </c>
      <c r="AA124" s="97">
        <f>($V124*INPUT!$S$70)*$AA$19</f>
        <v>1.6480226880046609</v>
      </c>
      <c r="AB124" s="97">
        <f>($V124*INPUT!$S$70)*$AB$19</f>
        <v>-0.27025920000000003</v>
      </c>
    </row>
    <row r="125" spans="1:28" ht="13" thickBot="1" x14ac:dyDescent="0.3">
      <c r="A125" s="293" t="s">
        <v>528</v>
      </c>
      <c r="B125" s="330">
        <f t="shared" si="80"/>
        <v>0.35</v>
      </c>
      <c r="C125" s="179">
        <f t="shared" si="81"/>
        <v>23.86</v>
      </c>
      <c r="D125" s="179">
        <f t="shared" si="81"/>
        <v>24.28</v>
      </c>
      <c r="E125" s="179">
        <f t="shared" si="68"/>
        <v>0.53408142666817704</v>
      </c>
      <c r="F125" s="90">
        <f t="shared" si="69"/>
        <v>-0.11408142666817511</v>
      </c>
      <c r="G125" s="292">
        <f t="shared" si="70"/>
        <v>-4.7999999999999996E-3</v>
      </c>
      <c r="H125" s="288">
        <f t="shared" si="82"/>
        <v>-0.17167239533683382</v>
      </c>
      <c r="I125" s="288">
        <f t="shared" si="82"/>
        <v>2.6649646287019788</v>
      </c>
      <c r="J125" s="288">
        <f t="shared" si="71"/>
        <v>26.887373660033319</v>
      </c>
      <c r="K125" s="288">
        <f t="shared" si="83"/>
        <v>26.773292233365147</v>
      </c>
      <c r="L125" s="292">
        <f t="shared" si="72"/>
        <v>-4.1999999999999997E-3</v>
      </c>
      <c r="M125" s="179">
        <f t="shared" si="73"/>
        <v>-8.7583999999999995E-2</v>
      </c>
      <c r="N125" s="90">
        <f t="shared" si="74"/>
        <v>26.685708233365148</v>
      </c>
      <c r="O125" s="91">
        <f t="shared" si="75"/>
        <v>-7.4999999999999997E-3</v>
      </c>
      <c r="P125" s="29"/>
      <c r="Q125" s="29"/>
      <c r="R125" s="29">
        <v>451</v>
      </c>
      <c r="S125" s="111" t="s">
        <v>101</v>
      </c>
      <c r="T125" s="121">
        <f>VLOOKUP($R125,INPUT!$AB$9:$AF$130,3,FALSE)</f>
        <v>23.86</v>
      </c>
      <c r="U125" s="121">
        <f>VLOOKUP($R125,INPUT!$AB$9:$AF$130,4,FALSE)</f>
        <v>24.28</v>
      </c>
      <c r="V125" s="29">
        <f>VLOOKUP($R125,INPUT!$AB$9:$AF$130,5,FALSE)</f>
        <v>0.35</v>
      </c>
      <c r="W125" s="97">
        <f>($V125*INPUT!$S$70)*INPUT!$H$76</f>
        <v>-0.17167239533683382</v>
      </c>
      <c r="X125" s="97">
        <f>($V125*INPUT!$S$70)*INPUT!$J$76</f>
        <v>2.6649646287019788</v>
      </c>
      <c r="Y125" s="98">
        <f>+T125+W125+X125</f>
        <v>26.353292233365146</v>
      </c>
      <c r="Z125" s="98">
        <f>+U125+W125+X125</f>
        <v>26.773292233365147</v>
      </c>
      <c r="AA125" s="97">
        <f>($V125*INPUT!$S$70)*$AA$19</f>
        <v>0.53408142666817704</v>
      </c>
      <c r="AB125" s="97">
        <f>($V125*INPUT!$S$70)*$AB$19</f>
        <v>-8.7583999999999995E-2</v>
      </c>
    </row>
    <row r="126" spans="1:28" ht="13" thickBot="1" x14ac:dyDescent="0.3">
      <c r="A126" s="291"/>
      <c r="B126" s="287"/>
      <c r="C126" s="288"/>
      <c r="D126" s="288"/>
      <c r="E126" s="179"/>
      <c r="F126" s="90"/>
      <c r="G126" s="292"/>
      <c r="H126" s="288"/>
      <c r="I126" s="288"/>
      <c r="J126" s="288"/>
      <c r="K126" s="288"/>
      <c r="L126" s="292"/>
      <c r="M126" s="179"/>
      <c r="N126" s="90"/>
      <c r="O126" s="91"/>
      <c r="P126" s="29"/>
      <c r="Q126" s="29"/>
      <c r="S126" s="316"/>
      <c r="T126" s="317"/>
      <c r="U126" s="318"/>
      <c r="W126" s="97"/>
      <c r="X126" s="97"/>
      <c r="Y126" s="98"/>
      <c r="Z126" s="98"/>
      <c r="AA126" s="97"/>
      <c r="AB126" s="97"/>
    </row>
    <row r="127" spans="1:28" ht="13.5" thickBot="1" x14ac:dyDescent="0.3">
      <c r="A127" s="291" t="s">
        <v>216</v>
      </c>
      <c r="B127" s="287"/>
      <c r="C127" s="288"/>
      <c r="D127" s="288"/>
      <c r="E127" s="179"/>
      <c r="F127" s="90"/>
      <c r="G127" s="292"/>
      <c r="H127" s="288"/>
      <c r="I127" s="288"/>
      <c r="J127" s="288"/>
      <c r="K127" s="288"/>
      <c r="L127" s="292"/>
      <c r="M127" s="179"/>
      <c r="N127" s="90"/>
      <c r="O127" s="91"/>
      <c r="P127" s="29"/>
      <c r="Q127" s="29"/>
      <c r="S127" s="320" t="s">
        <v>216</v>
      </c>
      <c r="T127" s="321"/>
      <c r="U127" s="102"/>
      <c r="W127" s="97"/>
      <c r="X127" s="97"/>
      <c r="AA127" s="97"/>
      <c r="AB127" s="97"/>
    </row>
    <row r="128" spans="1:28" ht="13" thickBot="1" x14ac:dyDescent="0.3">
      <c r="A128" s="291" t="s">
        <v>529</v>
      </c>
      <c r="B128" s="330">
        <f t="shared" ref="B128:B134" si="86">+V128</f>
        <v>0.20699999999999999</v>
      </c>
      <c r="C128" s="179">
        <f t="shared" ref="C128:D134" si="87">T128</f>
        <v>11.61</v>
      </c>
      <c r="D128" s="179">
        <f t="shared" si="87"/>
        <v>11.81</v>
      </c>
      <c r="E128" s="179">
        <f t="shared" si="68"/>
        <v>0.31587101520089328</v>
      </c>
      <c r="F128" s="90">
        <f t="shared" si="69"/>
        <v>-0.11587101520089149</v>
      </c>
      <c r="G128" s="292">
        <f t="shared" si="70"/>
        <v>-0.01</v>
      </c>
      <c r="H128" s="288">
        <f t="shared" ref="H128:I134" si="88">+W128</f>
        <v>-0.10153195952778458</v>
      </c>
      <c r="I128" s="288">
        <f t="shared" si="88"/>
        <v>1.5761362232608849</v>
      </c>
      <c r="J128" s="288">
        <f t="shared" si="71"/>
        <v>13.400475278933992</v>
      </c>
      <c r="K128" s="288">
        <f t="shared" ref="K128:K134" si="89">+D128+H128+I128</f>
        <v>13.284604263733101</v>
      </c>
      <c r="L128" s="292">
        <f t="shared" si="72"/>
        <v>-8.6E-3</v>
      </c>
      <c r="M128" s="179">
        <f t="shared" si="73"/>
        <v>-5.1799680000000008E-2</v>
      </c>
      <c r="N128" s="90">
        <f t="shared" si="74"/>
        <v>13.232804583733101</v>
      </c>
      <c r="O128" s="91">
        <f t="shared" si="75"/>
        <v>-1.2500000000000001E-2</v>
      </c>
      <c r="P128" s="29"/>
      <c r="Q128" s="29"/>
      <c r="R128" s="29">
        <v>446</v>
      </c>
      <c r="S128" s="118" t="s">
        <v>137</v>
      </c>
      <c r="T128" s="121">
        <f>VLOOKUP($R128,INPUT!$AB$9:$AF$130,3,FALSE)</f>
        <v>11.61</v>
      </c>
      <c r="U128" s="121">
        <f>VLOOKUP($R128,INPUT!$AB$9:$AF$130,4,FALSE)</f>
        <v>11.81</v>
      </c>
      <c r="V128" s="29">
        <f>VLOOKUP($R128,INPUT!$AB$9:$AF$130,5,FALSE)</f>
        <v>0.20699999999999999</v>
      </c>
      <c r="W128" s="97">
        <f>($V128*INPUT!$S$70)*INPUT!$H$76</f>
        <v>-0.10153195952778458</v>
      </c>
      <c r="X128" s="97">
        <f>($V128*INPUT!$S$70)*INPUT!$J$76</f>
        <v>1.5761362232608849</v>
      </c>
      <c r="Y128" s="98">
        <f t="shared" ref="Y128:Y134" si="90">+T128+W128+X128</f>
        <v>13.0846042637331</v>
      </c>
      <c r="Z128" s="98">
        <f t="shared" ref="Z128:Z134" si="91">+U128+W128+X128</f>
        <v>13.284604263733101</v>
      </c>
      <c r="AA128" s="97">
        <f>($V128*INPUT!$S$70)*$AA$19</f>
        <v>0.31587101520089328</v>
      </c>
      <c r="AB128" s="97">
        <f>($V128*INPUT!$S$70)*$AB$19</f>
        <v>-5.1799680000000008E-2</v>
      </c>
    </row>
    <row r="129" spans="1:28" ht="13" thickBot="1" x14ac:dyDescent="0.3">
      <c r="A129" s="291" t="s">
        <v>530</v>
      </c>
      <c r="B129" s="330">
        <f t="shared" si="86"/>
        <v>0.20699999999999999</v>
      </c>
      <c r="C129" s="179">
        <f t="shared" si="87"/>
        <v>13.87</v>
      </c>
      <c r="D129" s="179">
        <f t="shared" si="87"/>
        <v>14.11</v>
      </c>
      <c r="E129" s="179">
        <f t="shared" si="68"/>
        <v>0.31587101520089328</v>
      </c>
      <c r="F129" s="90">
        <f t="shared" si="69"/>
        <v>-7.5871015200892344E-2</v>
      </c>
      <c r="G129" s="292">
        <f t="shared" si="70"/>
        <v>-5.4999999999999997E-3</v>
      </c>
      <c r="H129" s="288">
        <f t="shared" si="88"/>
        <v>-0.10153195952778458</v>
      </c>
      <c r="I129" s="288">
        <f t="shared" si="88"/>
        <v>1.5761362232608849</v>
      </c>
      <c r="J129" s="288">
        <f t="shared" si="71"/>
        <v>15.660475278933992</v>
      </c>
      <c r="K129" s="288">
        <f t="shared" si="89"/>
        <v>15.5846042637331</v>
      </c>
      <c r="L129" s="292">
        <f t="shared" si="72"/>
        <v>-4.7999999999999996E-3</v>
      </c>
      <c r="M129" s="179">
        <f t="shared" si="73"/>
        <v>-5.1799680000000008E-2</v>
      </c>
      <c r="N129" s="90">
        <f t="shared" si="74"/>
        <v>15.5328045837331</v>
      </c>
      <c r="O129" s="91">
        <f t="shared" si="75"/>
        <v>-8.2000000000000007E-3</v>
      </c>
      <c r="P129" s="29"/>
      <c r="Q129" s="29"/>
      <c r="R129" s="29">
        <v>456</v>
      </c>
      <c r="S129" s="119" t="s">
        <v>138</v>
      </c>
      <c r="T129" s="121">
        <f>VLOOKUP($R129,INPUT!$AB$9:$AF$130,3,FALSE)</f>
        <v>13.87</v>
      </c>
      <c r="U129" s="121">
        <f>VLOOKUP($R129,INPUT!$AB$9:$AF$130,4,FALSE)</f>
        <v>14.11</v>
      </c>
      <c r="V129" s="29">
        <f>VLOOKUP($R129,INPUT!$AB$9:$AF$130,5,FALSE)</f>
        <v>0.20699999999999999</v>
      </c>
      <c r="W129" s="97">
        <f>($V129*INPUT!$S$70)*INPUT!$H$76</f>
        <v>-0.10153195952778458</v>
      </c>
      <c r="X129" s="97">
        <f>($V129*INPUT!$S$70)*INPUT!$J$76</f>
        <v>1.5761362232608849</v>
      </c>
      <c r="Y129" s="98">
        <f t="shared" si="90"/>
        <v>15.3446042637331</v>
      </c>
      <c r="Z129" s="98">
        <f t="shared" si="91"/>
        <v>15.5846042637331</v>
      </c>
      <c r="AA129" s="97">
        <f>($V129*INPUT!$S$70)*$AA$19</f>
        <v>0.31587101520089328</v>
      </c>
      <c r="AB129" s="97">
        <f>($V129*INPUT!$S$70)*$AB$19</f>
        <v>-5.1799680000000008E-2</v>
      </c>
    </row>
    <row r="130" spans="1:28" ht="13" thickBot="1" x14ac:dyDescent="0.3">
      <c r="A130" s="291" t="s">
        <v>531</v>
      </c>
      <c r="B130" s="330">
        <f t="shared" si="86"/>
        <v>0.29399999999999998</v>
      </c>
      <c r="C130" s="179">
        <f t="shared" si="87"/>
        <v>13.69</v>
      </c>
      <c r="D130" s="179">
        <f t="shared" si="87"/>
        <v>13.93</v>
      </c>
      <c r="E130" s="179">
        <f t="shared" si="68"/>
        <v>0.44862839840126872</v>
      </c>
      <c r="F130" s="90">
        <f t="shared" si="69"/>
        <v>-0.20862839840126846</v>
      </c>
      <c r="G130" s="292">
        <f t="shared" si="70"/>
        <v>-1.52E-2</v>
      </c>
      <c r="H130" s="288">
        <f t="shared" si="88"/>
        <v>-0.14420481208294042</v>
      </c>
      <c r="I130" s="288">
        <f t="shared" si="88"/>
        <v>2.2385702881096625</v>
      </c>
      <c r="J130" s="288">
        <f t="shared" si="71"/>
        <v>16.23299387442799</v>
      </c>
      <c r="K130" s="288">
        <f t="shared" si="89"/>
        <v>16.024365476026723</v>
      </c>
      <c r="L130" s="292">
        <f t="shared" si="72"/>
        <v>-1.29E-2</v>
      </c>
      <c r="M130" s="179">
        <f t="shared" si="73"/>
        <v>-7.3570560000000007E-2</v>
      </c>
      <c r="N130" s="90">
        <f t="shared" si="74"/>
        <v>15.950794916026723</v>
      </c>
      <c r="O130" s="91">
        <f t="shared" si="75"/>
        <v>-1.7399999999999999E-2</v>
      </c>
      <c r="P130" s="29"/>
      <c r="Q130" s="29"/>
      <c r="R130" s="29">
        <v>447</v>
      </c>
      <c r="S130" s="119" t="s">
        <v>139</v>
      </c>
      <c r="T130" s="121">
        <f>VLOOKUP($R130,INPUT!$AB$9:$AF$130,3,FALSE)</f>
        <v>13.69</v>
      </c>
      <c r="U130" s="121">
        <f>VLOOKUP($R130,INPUT!$AB$9:$AF$130,4,FALSE)</f>
        <v>13.93</v>
      </c>
      <c r="V130" s="29">
        <f>VLOOKUP($R130,INPUT!$AB$9:$AF$130,5,FALSE)</f>
        <v>0.29399999999999998</v>
      </c>
      <c r="W130" s="97">
        <f>($V130*INPUT!$S$70)*INPUT!$H$76</f>
        <v>-0.14420481208294042</v>
      </c>
      <c r="X130" s="97">
        <f>($V130*INPUT!$S$70)*INPUT!$J$76</f>
        <v>2.2385702881096625</v>
      </c>
      <c r="Y130" s="98">
        <f t="shared" si="90"/>
        <v>15.784365476026721</v>
      </c>
      <c r="Z130" s="98">
        <f t="shared" si="91"/>
        <v>16.024365476026723</v>
      </c>
      <c r="AA130" s="97">
        <f>($V130*INPUT!$S$70)*$AA$19</f>
        <v>0.44862839840126872</v>
      </c>
      <c r="AB130" s="97">
        <f>($V130*INPUT!$S$70)*$AB$19</f>
        <v>-7.3570560000000007E-2</v>
      </c>
    </row>
    <row r="131" spans="1:28" ht="13" thickBot="1" x14ac:dyDescent="0.3">
      <c r="A131" s="291" t="s">
        <v>532</v>
      </c>
      <c r="B131" s="330">
        <f t="shared" si="86"/>
        <v>0.29399999999999998</v>
      </c>
      <c r="C131" s="179">
        <f t="shared" si="87"/>
        <v>15.6</v>
      </c>
      <c r="D131" s="179">
        <f t="shared" si="87"/>
        <v>15.87</v>
      </c>
      <c r="E131" s="179">
        <f t="shared" si="68"/>
        <v>0.44862839840126872</v>
      </c>
      <c r="F131" s="90">
        <f t="shared" si="69"/>
        <v>-0.17862839840127087</v>
      </c>
      <c r="G131" s="292">
        <f t="shared" si="70"/>
        <v>-1.15E-2</v>
      </c>
      <c r="H131" s="288">
        <f t="shared" si="88"/>
        <v>-0.14420481208294042</v>
      </c>
      <c r="I131" s="288">
        <f t="shared" si="88"/>
        <v>2.2385702881096625</v>
      </c>
      <c r="J131" s="288">
        <f t="shared" si="71"/>
        <v>18.142993874427994</v>
      </c>
      <c r="K131" s="288">
        <f t="shared" si="89"/>
        <v>17.964365476026721</v>
      </c>
      <c r="L131" s="292">
        <f t="shared" si="72"/>
        <v>-9.7999999999999997E-3</v>
      </c>
      <c r="M131" s="179">
        <f t="shared" si="73"/>
        <v>-7.3570560000000007E-2</v>
      </c>
      <c r="N131" s="90">
        <f t="shared" si="74"/>
        <v>17.890794916026721</v>
      </c>
      <c r="O131" s="91">
        <f t="shared" si="75"/>
        <v>-1.3899999999999999E-2</v>
      </c>
      <c r="P131" s="29"/>
      <c r="Q131" s="29"/>
      <c r="R131" s="29">
        <v>457</v>
      </c>
      <c r="S131" s="119" t="s">
        <v>140</v>
      </c>
      <c r="T131" s="121">
        <f>VLOOKUP($R131,INPUT!$AB$9:$AF$130,3,FALSE)</f>
        <v>15.6</v>
      </c>
      <c r="U131" s="121">
        <f>VLOOKUP($R131,INPUT!$AB$9:$AF$130,4,FALSE)</f>
        <v>15.87</v>
      </c>
      <c r="V131" s="29">
        <f>VLOOKUP($R131,INPUT!$AB$9:$AF$130,5,FALSE)</f>
        <v>0.29399999999999998</v>
      </c>
      <c r="W131" s="97">
        <f>($V131*INPUT!$S$70)*INPUT!$H$76</f>
        <v>-0.14420481208294042</v>
      </c>
      <c r="X131" s="97">
        <f>($V131*INPUT!$S$70)*INPUT!$J$76</f>
        <v>2.2385702881096625</v>
      </c>
      <c r="Y131" s="98">
        <f t="shared" si="90"/>
        <v>17.694365476026721</v>
      </c>
      <c r="Z131" s="98">
        <f t="shared" si="91"/>
        <v>17.964365476026721</v>
      </c>
      <c r="AA131" s="97">
        <f>($V131*INPUT!$S$70)*$AA$19</f>
        <v>0.44862839840126872</v>
      </c>
      <c r="AB131" s="97">
        <f>($V131*INPUT!$S$70)*$AB$19</f>
        <v>-7.3570560000000007E-2</v>
      </c>
    </row>
    <row r="132" spans="1:28" ht="13" thickBot="1" x14ac:dyDescent="0.3">
      <c r="A132" s="291" t="s">
        <v>533</v>
      </c>
      <c r="B132" s="330">
        <f t="shared" si="86"/>
        <v>0.45300000000000001</v>
      </c>
      <c r="C132" s="179">
        <f t="shared" si="87"/>
        <v>14.88</v>
      </c>
      <c r="D132" s="179">
        <f t="shared" si="87"/>
        <v>15.14</v>
      </c>
      <c r="E132" s="179">
        <f t="shared" si="68"/>
        <v>0.69125396080195489</v>
      </c>
      <c r="F132" s="90">
        <f t="shared" si="69"/>
        <v>-0.43125396080195522</v>
      </c>
      <c r="G132" s="292">
        <f t="shared" si="70"/>
        <v>-2.9000000000000001E-2</v>
      </c>
      <c r="H132" s="288">
        <f t="shared" si="88"/>
        <v>-0.22219312882167352</v>
      </c>
      <c r="I132" s="288">
        <f t="shared" si="88"/>
        <v>3.4492256480057049</v>
      </c>
      <c r="J132" s="288">
        <f t="shared" si="71"/>
        <v>18.798286479985986</v>
      </c>
      <c r="K132" s="288">
        <f t="shared" si="89"/>
        <v>18.367032519184033</v>
      </c>
      <c r="L132" s="292">
        <f t="shared" si="72"/>
        <v>-2.29E-2</v>
      </c>
      <c r="M132" s="179">
        <f t="shared" si="73"/>
        <v>-0.11335872000000001</v>
      </c>
      <c r="N132" s="90">
        <f t="shared" si="74"/>
        <v>18.253673799184032</v>
      </c>
      <c r="O132" s="91">
        <f t="shared" si="75"/>
        <v>-2.9000000000000001E-2</v>
      </c>
      <c r="P132" s="29"/>
      <c r="Q132" s="29"/>
      <c r="R132" s="29">
        <v>448</v>
      </c>
      <c r="S132" s="119" t="s">
        <v>141</v>
      </c>
      <c r="T132" s="121">
        <f>VLOOKUP($R132,INPUT!$AB$9:$AF$130,3,FALSE)</f>
        <v>14.88</v>
      </c>
      <c r="U132" s="121">
        <f>VLOOKUP($R132,INPUT!$AB$9:$AF$130,4,FALSE)</f>
        <v>15.14</v>
      </c>
      <c r="V132" s="29">
        <f>VLOOKUP($R132,INPUT!$AB$9:$AF$130,5,FALSE)</f>
        <v>0.45300000000000001</v>
      </c>
      <c r="W132" s="97">
        <f>($V132*INPUT!$S$70)*INPUT!$H$76</f>
        <v>-0.22219312882167352</v>
      </c>
      <c r="X132" s="97">
        <f>($V132*INPUT!$S$70)*INPUT!$J$76</f>
        <v>3.4492256480057049</v>
      </c>
      <c r="Y132" s="98">
        <f t="shared" si="90"/>
        <v>18.107032519184031</v>
      </c>
      <c r="Z132" s="98">
        <f t="shared" si="91"/>
        <v>18.367032519184033</v>
      </c>
      <c r="AA132" s="97">
        <f>($V132*INPUT!$S$70)*$AA$19</f>
        <v>0.69125396080195489</v>
      </c>
      <c r="AB132" s="97">
        <f>($V132*INPUT!$S$70)*$AB$19</f>
        <v>-0.11335872000000001</v>
      </c>
    </row>
    <row r="133" spans="1:28" ht="13" thickBot="1" x14ac:dyDescent="0.3">
      <c r="A133" s="291" t="s">
        <v>534</v>
      </c>
      <c r="B133" s="330">
        <f t="shared" si="86"/>
        <v>0.45300000000000001</v>
      </c>
      <c r="C133" s="179">
        <f t="shared" si="87"/>
        <v>17.45</v>
      </c>
      <c r="D133" s="179">
        <f t="shared" si="87"/>
        <v>17.760000000000002</v>
      </c>
      <c r="E133" s="179">
        <f t="shared" si="68"/>
        <v>0.69125396080195489</v>
      </c>
      <c r="F133" s="90">
        <f t="shared" si="69"/>
        <v>-0.38125396080195273</v>
      </c>
      <c r="G133" s="292">
        <f t="shared" si="70"/>
        <v>-2.18E-2</v>
      </c>
      <c r="H133" s="288">
        <f t="shared" si="88"/>
        <v>-0.22219312882167352</v>
      </c>
      <c r="I133" s="288">
        <f t="shared" si="88"/>
        <v>3.4492256480057049</v>
      </c>
      <c r="J133" s="288">
        <f t="shared" si="71"/>
        <v>21.368286479985986</v>
      </c>
      <c r="K133" s="288">
        <f t="shared" si="89"/>
        <v>20.987032519184034</v>
      </c>
      <c r="L133" s="292">
        <f t="shared" si="72"/>
        <v>-1.78E-2</v>
      </c>
      <c r="M133" s="179">
        <f t="shared" si="73"/>
        <v>-0.11335872000000001</v>
      </c>
      <c r="N133" s="90">
        <f t="shared" si="74"/>
        <v>20.873673799184033</v>
      </c>
      <c r="O133" s="91">
        <f t="shared" si="75"/>
        <v>-2.3099999999999999E-2</v>
      </c>
      <c r="P133" s="29"/>
      <c r="Q133" s="29"/>
      <c r="R133" s="29">
        <v>458</v>
      </c>
      <c r="S133" s="119" t="s">
        <v>142</v>
      </c>
      <c r="T133" s="121">
        <f>VLOOKUP($R133,INPUT!$AB$9:$AF$130,3,FALSE)</f>
        <v>17.45</v>
      </c>
      <c r="U133" s="121">
        <f>VLOOKUP($R133,INPUT!$AB$9:$AF$130,4,FALSE)</f>
        <v>17.760000000000002</v>
      </c>
      <c r="V133" s="29">
        <f>VLOOKUP($R133,INPUT!$AB$9:$AF$130,5,FALSE)</f>
        <v>0.45300000000000001</v>
      </c>
      <c r="W133" s="97">
        <f>($V133*INPUT!$S$70)*INPUT!$H$76</f>
        <v>-0.22219312882167352</v>
      </c>
      <c r="X133" s="97">
        <f>($V133*INPUT!$S$70)*INPUT!$J$76</f>
        <v>3.4492256480057049</v>
      </c>
      <c r="Y133" s="98">
        <f t="shared" si="90"/>
        <v>20.677032519184031</v>
      </c>
      <c r="Z133" s="98">
        <f t="shared" si="91"/>
        <v>20.987032519184034</v>
      </c>
      <c r="AA133" s="97">
        <f>($V133*INPUT!$S$70)*$AA$19</f>
        <v>0.69125396080195489</v>
      </c>
      <c r="AB133" s="97">
        <f>($V133*INPUT!$S$70)*$AB$19</f>
        <v>-0.11335872000000001</v>
      </c>
    </row>
    <row r="134" spans="1:28" ht="13" thickBot="1" x14ac:dyDescent="0.3">
      <c r="A134" s="291" t="s">
        <v>535</v>
      </c>
      <c r="B134" s="330">
        <f t="shared" si="86"/>
        <v>0.20699999999999999</v>
      </c>
      <c r="C134" s="179">
        <f t="shared" si="87"/>
        <v>12.34</v>
      </c>
      <c r="D134" s="179">
        <f t="shared" si="87"/>
        <v>12.56</v>
      </c>
      <c r="E134" s="179">
        <f t="shared" si="68"/>
        <v>0.31587101520089328</v>
      </c>
      <c r="F134" s="90">
        <f t="shared" si="69"/>
        <v>-9.5871015200891918E-2</v>
      </c>
      <c r="G134" s="292">
        <f t="shared" si="70"/>
        <v>-7.7999999999999996E-3</v>
      </c>
      <c r="H134" s="288">
        <f t="shared" si="88"/>
        <v>-0.10153195952778458</v>
      </c>
      <c r="I134" s="288">
        <f t="shared" si="88"/>
        <v>1.5761362232608849</v>
      </c>
      <c r="J134" s="288">
        <f>+C134+E134+H134+I134</f>
        <v>14.130475278933993</v>
      </c>
      <c r="K134" s="288">
        <f t="shared" si="89"/>
        <v>14.034604263733101</v>
      </c>
      <c r="L134" s="292">
        <f t="shared" si="72"/>
        <v>-6.7999999999999996E-3</v>
      </c>
      <c r="M134" s="179">
        <f t="shared" si="73"/>
        <v>-5.1799680000000008E-2</v>
      </c>
      <c r="N134" s="90">
        <f t="shared" si="74"/>
        <v>13.982804583733101</v>
      </c>
      <c r="O134" s="91">
        <f t="shared" si="75"/>
        <v>-1.0500000000000001E-2</v>
      </c>
      <c r="P134" s="29"/>
      <c r="Q134" s="29"/>
      <c r="R134" s="29">
        <v>404</v>
      </c>
      <c r="S134" s="115" t="s">
        <v>143</v>
      </c>
      <c r="T134" s="121">
        <f>VLOOKUP($R134,INPUT!$AB$9:$AF$130,3,FALSE)</f>
        <v>12.34</v>
      </c>
      <c r="U134" s="121">
        <f>VLOOKUP($R134,INPUT!$AB$9:$AF$130,4,FALSE)</f>
        <v>12.56</v>
      </c>
      <c r="V134" s="29">
        <f>VLOOKUP($R134,INPUT!$AB$9:$AF$130,5,FALSE)</f>
        <v>0.20699999999999999</v>
      </c>
      <c r="W134" s="97">
        <f>($V134*INPUT!$S$70)*INPUT!$H$76</f>
        <v>-0.10153195952778458</v>
      </c>
      <c r="X134" s="97">
        <f>($V134*INPUT!$S$70)*INPUT!$J$76</f>
        <v>1.5761362232608849</v>
      </c>
      <c r="Y134" s="98">
        <f t="shared" si="90"/>
        <v>13.8146042637331</v>
      </c>
      <c r="Z134" s="98">
        <f t="shared" si="91"/>
        <v>14.034604263733101</v>
      </c>
      <c r="AA134" s="97">
        <f>($V134*INPUT!$S$70)*$AA$19</f>
        <v>0.31587101520089328</v>
      </c>
      <c r="AB134" s="97">
        <f>($V134*INPUT!$S$70)*$AB$19</f>
        <v>-5.1799680000000008E-2</v>
      </c>
    </row>
    <row r="135" spans="1:28" x14ac:dyDescent="0.25">
      <c r="A135" s="291"/>
      <c r="B135" s="287"/>
      <c r="C135" s="288"/>
      <c r="D135" s="288"/>
      <c r="E135" s="288"/>
      <c r="F135" s="289"/>
      <c r="G135" s="288"/>
      <c r="H135" s="288"/>
      <c r="I135" s="288"/>
      <c r="J135" s="288"/>
      <c r="K135" s="289"/>
      <c r="O135" s="127"/>
      <c r="P135" s="125"/>
      <c r="Q135" s="109"/>
      <c r="S135" s="97"/>
      <c r="T135" s="97"/>
      <c r="U135" s="98"/>
      <c r="V135" s="98"/>
    </row>
    <row r="136" spans="1:28" x14ac:dyDescent="0.25">
      <c r="A136" s="87" t="s">
        <v>301</v>
      </c>
      <c r="B136" s="287"/>
      <c r="C136" s="288"/>
      <c r="D136" s="288"/>
      <c r="E136" s="288"/>
      <c r="F136" s="289"/>
      <c r="G136" s="288"/>
      <c r="H136" s="288"/>
      <c r="I136" s="288"/>
      <c r="J136" s="288"/>
      <c r="K136" s="289"/>
      <c r="O136" s="127"/>
      <c r="P136" s="125"/>
      <c r="Q136" s="109"/>
      <c r="S136" s="97"/>
      <c r="T136" s="97"/>
      <c r="U136" s="98"/>
      <c r="V136" s="98"/>
    </row>
    <row r="137" spans="1:28" x14ac:dyDescent="0.25">
      <c r="A137" s="294" t="s">
        <v>305</v>
      </c>
      <c r="B137" s="287"/>
      <c r="C137" s="288"/>
      <c r="D137" s="288"/>
      <c r="E137" s="288"/>
      <c r="F137" s="289"/>
      <c r="G137" s="288"/>
      <c r="H137" s="288"/>
      <c r="I137" s="288"/>
      <c r="J137" s="288"/>
      <c r="K137" s="289"/>
      <c r="O137" s="127"/>
      <c r="P137" s="125"/>
      <c r="Q137" s="109"/>
      <c r="S137" s="97"/>
      <c r="T137" s="97"/>
      <c r="U137" s="98"/>
      <c r="V137" s="98"/>
    </row>
    <row r="138" spans="1:28" x14ac:dyDescent="0.25">
      <c r="A138" s="294" t="str">
        <f>+'Rate Case Constants'!$C$26</f>
        <v>Calculations may vary from other schedules due to rounding</v>
      </c>
      <c r="B138" s="287"/>
      <c r="C138" s="288"/>
      <c r="D138" s="288"/>
      <c r="E138" s="288"/>
      <c r="F138" s="289"/>
      <c r="G138" s="288"/>
      <c r="H138" s="288"/>
      <c r="I138" s="288"/>
      <c r="J138" s="288"/>
      <c r="K138" s="289"/>
      <c r="O138" s="127"/>
      <c r="P138" s="125"/>
      <c r="Q138" s="109"/>
      <c r="S138" s="97"/>
      <c r="T138" s="97"/>
      <c r="U138" s="98"/>
      <c r="V138" s="98"/>
    </row>
    <row r="139" spans="1:28" ht="13" x14ac:dyDescent="0.25">
      <c r="A139" s="415" t="str">
        <f>+$A$1</f>
        <v>KENTUCKY UTILITIES COMPANY</v>
      </c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125"/>
      <c r="Q139" s="109"/>
      <c r="S139" s="97"/>
      <c r="T139" s="97"/>
    </row>
    <row r="140" spans="1:28" ht="13" x14ac:dyDescent="0.25">
      <c r="A140" s="415" t="str">
        <f>+$A$2</f>
        <v>CASE NO. 2020-00349</v>
      </c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125"/>
      <c r="Q140" s="109"/>
      <c r="S140" s="97"/>
      <c r="T140" s="97"/>
    </row>
    <row r="141" spans="1:28" ht="13" x14ac:dyDescent="0.25">
      <c r="A141" s="416" t="str">
        <f>+$A$3</f>
        <v>Typical Bill Comparison under Current &amp; Proposed Rates</v>
      </c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125"/>
      <c r="Q141" s="109"/>
      <c r="S141" s="97"/>
      <c r="T141" s="97"/>
    </row>
    <row r="142" spans="1:28" ht="13" x14ac:dyDescent="0.25">
      <c r="A142" s="415" t="str">
        <f>+$A$4</f>
        <v>FORECAST PERIOD FOR THE 12 MONTHS ENDED JUNE 30, 2022</v>
      </c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125"/>
      <c r="Q142" s="109"/>
      <c r="S142" s="97"/>
      <c r="T142" s="97"/>
    </row>
    <row r="143" spans="1:28" ht="13" x14ac:dyDescent="0.25">
      <c r="A143" s="383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125"/>
      <c r="Q143" s="109"/>
      <c r="S143" s="97"/>
      <c r="T143" s="97"/>
    </row>
    <row r="144" spans="1:28" ht="13" x14ac:dyDescent="0.3">
      <c r="A144" s="295"/>
      <c r="B144" s="85"/>
      <c r="C144" s="296"/>
      <c r="D144" s="296"/>
      <c r="E144" s="296"/>
      <c r="F144" s="297"/>
      <c r="G144" s="296"/>
      <c r="H144" s="296"/>
      <c r="I144" s="296"/>
      <c r="J144" s="296"/>
      <c r="L144" s="2"/>
      <c r="P144" s="125"/>
      <c r="Q144" s="109"/>
      <c r="S144" s="97"/>
      <c r="T144" s="97"/>
    </row>
    <row r="145" spans="1:28" ht="13" x14ac:dyDescent="0.3">
      <c r="A145" s="295" t="str">
        <f>+$A$7</f>
        <v>DATA: ____BASE PERIOD__X___FORECASTED PERIOD</v>
      </c>
      <c r="B145" s="85"/>
      <c r="C145" s="296"/>
      <c r="D145" s="296"/>
      <c r="E145" s="296"/>
      <c r="F145" s="297"/>
      <c r="G145" s="296"/>
      <c r="H145" s="296"/>
      <c r="I145" s="296"/>
      <c r="J145" s="296"/>
      <c r="L145" s="2"/>
      <c r="O145" s="198" t="str">
        <f>+$O$7</f>
        <v>SCHEDULE N</v>
      </c>
      <c r="P145" s="125"/>
      <c r="Q145" s="109"/>
      <c r="S145" s="97"/>
      <c r="T145" s="97"/>
    </row>
    <row r="146" spans="1:28" ht="13" x14ac:dyDescent="0.3">
      <c r="A146" s="295" t="str">
        <f>+$A$8</f>
        <v>TYPE OF FILING: __X__ ORIGINAL  _____ UPDATED  _____ REVISED</v>
      </c>
      <c r="B146" s="85"/>
      <c r="C146" s="296"/>
      <c r="D146" s="296"/>
      <c r="E146" s="296"/>
      <c r="F146" s="297"/>
      <c r="G146" s="296"/>
      <c r="H146" s="296"/>
      <c r="I146" s="296"/>
      <c r="J146" s="296"/>
      <c r="L146" s="205"/>
      <c r="O146" s="197" t="str">
        <f>+'Rate Case Constants'!L25</f>
        <v>PAGE 18 of 24</v>
      </c>
      <c r="P146" s="125"/>
      <c r="Q146" s="109"/>
      <c r="S146" s="97"/>
      <c r="T146" s="97"/>
    </row>
    <row r="147" spans="1:28" ht="13" x14ac:dyDescent="0.3">
      <c r="A147" s="295" t="str">
        <f>+$A$9</f>
        <v>WORKPAPER REFERENCE NO(S):________</v>
      </c>
      <c r="B147" s="242"/>
      <c r="C147" s="298"/>
      <c r="D147" s="298"/>
      <c r="E147" s="298"/>
      <c r="F147" s="299"/>
      <c r="G147" s="298"/>
      <c r="H147" s="298"/>
      <c r="I147" s="298"/>
      <c r="J147" s="298"/>
      <c r="K147" s="203"/>
      <c r="L147" s="190"/>
      <c r="O147" s="203" t="str">
        <f>+$O$9</f>
        <v>WITNESS:   R. M. CONROY</v>
      </c>
      <c r="P147" s="125"/>
      <c r="Q147" s="109"/>
      <c r="S147" s="97"/>
      <c r="T147" s="97"/>
    </row>
    <row r="148" spans="1:28" ht="13" x14ac:dyDescent="0.3">
      <c r="A148" s="295"/>
      <c r="B148" s="242"/>
      <c r="C148" s="298"/>
      <c r="D148" s="298"/>
      <c r="E148" s="298"/>
      <c r="F148" s="299"/>
      <c r="G148" s="298"/>
      <c r="H148" s="298"/>
      <c r="I148" s="298"/>
      <c r="J148" s="298"/>
      <c r="K148" s="203"/>
      <c r="L148" s="190"/>
      <c r="O148" s="203"/>
      <c r="P148" s="125"/>
      <c r="Q148" s="109"/>
      <c r="S148" s="97"/>
      <c r="T148" s="97"/>
    </row>
    <row r="149" spans="1:28" ht="13" x14ac:dyDescent="0.3">
      <c r="A149" s="87"/>
      <c r="B149" s="346" t="s">
        <v>291</v>
      </c>
      <c r="C149" s="347" t="s">
        <v>292</v>
      </c>
      <c r="D149" s="347" t="s">
        <v>293</v>
      </c>
      <c r="E149" s="346" t="s">
        <v>294</v>
      </c>
      <c r="F149" s="346" t="s">
        <v>295</v>
      </c>
      <c r="G149" s="346" t="s">
        <v>296</v>
      </c>
      <c r="H149" s="347" t="s">
        <v>297</v>
      </c>
      <c r="I149" s="346" t="s">
        <v>298</v>
      </c>
      <c r="J149" s="346" t="s">
        <v>299</v>
      </c>
      <c r="K149" s="346" t="s">
        <v>300</v>
      </c>
      <c r="L149" s="346" t="s">
        <v>444</v>
      </c>
      <c r="M149" s="346" t="s">
        <v>440</v>
      </c>
      <c r="N149" s="346" t="s">
        <v>441</v>
      </c>
      <c r="O149" s="346" t="s">
        <v>442</v>
      </c>
      <c r="P149" s="190"/>
      <c r="Q149" s="29"/>
      <c r="S149" s="128"/>
      <c r="T149" s="125"/>
      <c r="U149" s="109"/>
      <c r="W149" s="97"/>
      <c r="X149" s="97"/>
    </row>
    <row r="150" spans="1:28" ht="13" x14ac:dyDescent="0.3">
      <c r="A150" s="300" t="s">
        <v>148</v>
      </c>
      <c r="B150" s="287"/>
      <c r="C150" s="195" t="s">
        <v>313</v>
      </c>
      <c r="D150" s="195" t="s">
        <v>313</v>
      </c>
      <c r="E150" s="195" t="s">
        <v>69</v>
      </c>
      <c r="F150" s="87"/>
      <c r="G150" s="87"/>
      <c r="H150" s="87"/>
      <c r="I150" s="87"/>
      <c r="J150" s="85" t="s">
        <v>5</v>
      </c>
      <c r="K150" s="85" t="s">
        <v>5</v>
      </c>
      <c r="L150" s="87"/>
      <c r="M150" s="85" t="s">
        <v>592</v>
      </c>
      <c r="N150" s="85" t="s">
        <v>5</v>
      </c>
      <c r="O150" s="17"/>
      <c r="P150" s="190"/>
      <c r="Q150" s="29"/>
      <c r="S150" s="128"/>
      <c r="T150" s="125"/>
      <c r="U150" s="109"/>
      <c r="W150" s="97"/>
      <c r="X150" s="97"/>
    </row>
    <row r="151" spans="1:28" ht="13" x14ac:dyDescent="0.3">
      <c r="A151" s="293"/>
      <c r="B151" s="85" t="s">
        <v>214</v>
      </c>
      <c r="C151" s="85" t="s">
        <v>1</v>
      </c>
      <c r="D151" s="85" t="s">
        <v>71</v>
      </c>
      <c r="E151" s="85" t="s">
        <v>470</v>
      </c>
      <c r="F151" s="85"/>
      <c r="G151" s="85"/>
      <c r="H151" s="407" t="s">
        <v>245</v>
      </c>
      <c r="I151" s="407"/>
      <c r="J151" s="85" t="s">
        <v>1</v>
      </c>
      <c r="K151" s="85" t="s">
        <v>71</v>
      </c>
      <c r="L151" s="85"/>
      <c r="M151" s="85" t="s">
        <v>593</v>
      </c>
      <c r="N151" s="85" t="s">
        <v>71</v>
      </c>
      <c r="O151" s="85"/>
      <c r="P151" s="190"/>
      <c r="Q151" s="29"/>
      <c r="S151" s="128"/>
      <c r="T151" s="125"/>
      <c r="U151" s="109"/>
      <c r="W151" s="97"/>
      <c r="X151" s="97"/>
    </row>
    <row r="152" spans="1:28" ht="13" x14ac:dyDescent="0.3">
      <c r="A152" s="293"/>
      <c r="B152" s="85" t="s">
        <v>17</v>
      </c>
      <c r="C152" s="85" t="s">
        <v>4</v>
      </c>
      <c r="D152" s="85" t="s">
        <v>4</v>
      </c>
      <c r="E152" s="85" t="s">
        <v>471</v>
      </c>
      <c r="F152" s="85" t="s">
        <v>72</v>
      </c>
      <c r="G152" s="85" t="s">
        <v>72</v>
      </c>
      <c r="H152" s="85" t="s">
        <v>320</v>
      </c>
      <c r="I152" s="301" t="s">
        <v>69</v>
      </c>
      <c r="J152" s="85" t="s">
        <v>4</v>
      </c>
      <c r="K152" s="85" t="s">
        <v>4</v>
      </c>
      <c r="L152" s="85" t="s">
        <v>72</v>
      </c>
      <c r="M152" s="85" t="s">
        <v>439</v>
      </c>
      <c r="N152" s="85" t="s">
        <v>443</v>
      </c>
      <c r="O152" s="85" t="s">
        <v>72</v>
      </c>
      <c r="P152" s="190"/>
      <c r="Q152" s="29"/>
      <c r="S152" s="128"/>
      <c r="T152" s="125"/>
      <c r="U152" s="109"/>
      <c r="W152" s="97"/>
      <c r="X152" s="97"/>
    </row>
    <row r="153" spans="1:28" ht="13" x14ac:dyDescent="0.3">
      <c r="A153" s="293"/>
      <c r="B153" s="302"/>
      <c r="C153" s="242"/>
      <c r="D153" s="242"/>
      <c r="E153" s="85"/>
      <c r="F153" s="242" t="s">
        <v>66</v>
      </c>
      <c r="G153" s="303" t="s">
        <v>67</v>
      </c>
      <c r="H153" s="207"/>
      <c r="I153" s="208"/>
      <c r="J153" s="242" t="s">
        <v>66</v>
      </c>
      <c r="K153" s="242" t="s">
        <v>66</v>
      </c>
      <c r="L153" s="303" t="s">
        <v>67</v>
      </c>
      <c r="M153" s="86"/>
      <c r="N153" s="86" t="s">
        <v>439</v>
      </c>
      <c r="O153" s="86" t="s">
        <v>67</v>
      </c>
      <c r="P153" s="190"/>
      <c r="Q153" s="29"/>
      <c r="S153" s="128"/>
      <c r="T153" s="125"/>
      <c r="U153" s="109"/>
      <c r="W153" s="97"/>
      <c r="X153" s="97"/>
    </row>
    <row r="154" spans="1:28" ht="13" x14ac:dyDescent="0.3">
      <c r="A154" s="304"/>
      <c r="B154" s="305"/>
      <c r="C154" s="268"/>
      <c r="D154" s="268"/>
      <c r="E154" s="349"/>
      <c r="F154" s="345" t="str">
        <f>("[ "&amp;D149&amp;" - ("&amp;E149&amp;" + "&amp;C149&amp;") ]")</f>
        <v>[ C - (D + B) ]</v>
      </c>
      <c r="G154" s="345" t="str">
        <f>("[ "&amp;F149&amp;" / "&amp;C149&amp;" ]")</f>
        <v>[ E / B ]</v>
      </c>
      <c r="H154" s="200"/>
      <c r="I154" s="200"/>
      <c r="J154" s="345" t="str">
        <f>("["&amp;C149&amp;"+"&amp;E149&amp;"+"&amp;$H$12&amp;"+"&amp;$I$12&amp;"]")</f>
        <v>[B+D+G+H]</v>
      </c>
      <c r="K154" s="345" t="str">
        <f>("["&amp;D149&amp;"+"&amp;$H$12&amp;"+"&amp;$I$12&amp;"]")</f>
        <v>[C+G+H]</v>
      </c>
      <c r="L154" s="345" t="str">
        <f>("[("&amp;K149&amp;" - "&amp;J149&amp;")/"&amp;J149&amp;"]")</f>
        <v>[(J - I)/I]</v>
      </c>
      <c r="M154" s="344"/>
      <c r="N154" s="344" t="str">
        <f>("["&amp;K149&amp;" + "&amp;M149&amp;"]")</f>
        <v>[J + L]</v>
      </c>
      <c r="O154" s="345" t="str">
        <f>("[("&amp;N149&amp;" - "&amp;J149&amp;")/"&amp;J149&amp;"]")</f>
        <v>[(M - I)/I]</v>
      </c>
      <c r="P154" s="190"/>
      <c r="Q154" s="29"/>
      <c r="S154" s="128"/>
      <c r="T154" s="125"/>
      <c r="U154" s="109"/>
      <c r="W154" s="97"/>
      <c r="X154" s="97"/>
      <c r="AA154" s="39" t="s">
        <v>69</v>
      </c>
      <c r="AB154" s="39"/>
    </row>
    <row r="155" spans="1:28" ht="13" x14ac:dyDescent="0.3">
      <c r="A155" s="293"/>
      <c r="B155" s="302"/>
      <c r="C155" s="242"/>
      <c r="D155" s="242"/>
      <c r="E155" s="206"/>
      <c r="F155" s="218"/>
      <c r="G155" s="218"/>
      <c r="H155" s="207"/>
      <c r="I155" s="207"/>
      <c r="J155" s="218"/>
      <c r="K155" s="218"/>
      <c r="L155" s="218"/>
      <c r="M155" s="85"/>
      <c r="N155" s="85"/>
      <c r="O155" s="85"/>
      <c r="P155" s="190"/>
      <c r="Q155" s="29"/>
      <c r="S155" s="128"/>
      <c r="T155" s="125"/>
      <c r="U155" s="109"/>
      <c r="W155" s="97"/>
      <c r="X155" s="97"/>
      <c r="AA155" s="157" t="s">
        <v>471</v>
      </c>
      <c r="AB155" s="39" t="s">
        <v>439</v>
      </c>
    </row>
    <row r="156" spans="1:28" ht="13.5" thickBot="1" x14ac:dyDescent="0.35">
      <c r="A156" s="286" t="s">
        <v>85</v>
      </c>
      <c r="B156" s="302"/>
      <c r="C156" s="242"/>
      <c r="D156" s="242"/>
      <c r="F156" s="218"/>
      <c r="G156" s="218"/>
      <c r="H156" s="207"/>
      <c r="I156" s="207"/>
      <c r="J156" s="218"/>
      <c r="K156" s="218"/>
      <c r="L156" s="218"/>
      <c r="M156" s="28"/>
      <c r="N156" s="90"/>
      <c r="O156" s="91"/>
      <c r="P156" s="190"/>
      <c r="Q156" s="29"/>
      <c r="S156" s="128"/>
      <c r="T156" s="125"/>
      <c r="U156" s="109"/>
      <c r="W156" s="97"/>
      <c r="X156" s="97"/>
      <c r="AA156" s="39">
        <f>AA19</f>
        <v>4.1465949275479586E-3</v>
      </c>
      <c r="AB156" s="39">
        <f>AB19</f>
        <v>-6.8000000000000005E-4</v>
      </c>
    </row>
    <row r="157" spans="1:28" ht="13.5" thickBot="1" x14ac:dyDescent="0.35">
      <c r="A157" s="286" t="s">
        <v>217</v>
      </c>
      <c r="B157" s="302"/>
      <c r="C157" s="242"/>
      <c r="D157" s="242"/>
      <c r="E157" s="179"/>
      <c r="F157" s="87"/>
      <c r="G157" s="287"/>
      <c r="H157" s="87"/>
      <c r="I157" s="87"/>
      <c r="J157" s="87"/>
      <c r="K157" s="87"/>
      <c r="L157" s="87"/>
      <c r="M157" s="28"/>
      <c r="N157" s="90"/>
      <c r="O157" s="91"/>
      <c r="P157" s="29"/>
      <c r="Q157" s="29"/>
      <c r="S157" s="309" t="s">
        <v>217</v>
      </c>
      <c r="T157" s="310"/>
      <c r="U157" s="311"/>
      <c r="W157" s="97"/>
      <c r="X157" s="97"/>
      <c r="AA157" s="39" t="s">
        <v>11</v>
      </c>
      <c r="AB157" s="39" t="s">
        <v>11</v>
      </c>
    </row>
    <row r="158" spans="1:28" ht="13" thickBot="1" x14ac:dyDescent="0.3">
      <c r="A158" s="291" t="s">
        <v>536</v>
      </c>
      <c r="B158" s="330">
        <f t="shared" ref="B158:B161" si="92">+V158</f>
        <v>0.10199999999999999</v>
      </c>
      <c r="C158" s="179">
        <f t="shared" ref="C158:C161" si="93">T158</f>
        <v>3.96</v>
      </c>
      <c r="D158" s="179">
        <f t="shared" ref="D158:D161" si="94">U158</f>
        <v>4.03</v>
      </c>
      <c r="E158" s="179">
        <f>AA158</f>
        <v>0.15564658720044014</v>
      </c>
      <c r="F158" s="90">
        <f>+D158-(E158+C158)</f>
        <v>-8.5646587200439939E-2</v>
      </c>
      <c r="G158" s="292">
        <f>ROUND(+F158/C158,4)</f>
        <v>-2.1600000000000001E-2</v>
      </c>
      <c r="H158" s="288">
        <f t="shared" ref="H158:H161" si="95">+W158</f>
        <v>-5.0030240926734422E-2</v>
      </c>
      <c r="I158" s="288">
        <f t="shared" ref="I158:I161" si="96">+X158</f>
        <v>0.77664683465029094</v>
      </c>
      <c r="J158" s="288">
        <f>+C158+E158+H158+I158</f>
        <v>4.8422631809239967</v>
      </c>
      <c r="K158" s="288">
        <f>+D158+H158+I158</f>
        <v>4.7566165937235567</v>
      </c>
      <c r="L158" s="292">
        <f>ROUND((K158-J158)/J158,4)</f>
        <v>-1.77E-2</v>
      </c>
      <c r="M158" s="179">
        <f>AB158</f>
        <v>-2.5524479999999999E-2</v>
      </c>
      <c r="N158" s="90">
        <f>K158+M158</f>
        <v>4.7310921137235571</v>
      </c>
      <c r="O158" s="91">
        <f>ROUND((N158-J158)/J158,4)</f>
        <v>-2.3E-2</v>
      </c>
      <c r="P158" s="29"/>
      <c r="Q158" s="29"/>
      <c r="R158" s="29">
        <v>421</v>
      </c>
      <c r="S158" s="118" t="s">
        <v>144</v>
      </c>
      <c r="T158" s="121">
        <f>VLOOKUP($R158,INPUT!$AB$9:$AF$130,3,FALSE)</f>
        <v>3.96</v>
      </c>
      <c r="U158" s="121">
        <f>VLOOKUP($R158,INPUT!$AB$9:$AF$130,4,FALSE)</f>
        <v>4.03</v>
      </c>
      <c r="V158" s="29">
        <f>VLOOKUP($R158,INPUT!$AB$9:$AF$130,5,FALSE)</f>
        <v>0.10199999999999999</v>
      </c>
      <c r="W158" s="97">
        <f>($V158*INPUT!$S$70)*INPUT!$H$76</f>
        <v>-5.0030240926734422E-2</v>
      </c>
      <c r="X158" s="97">
        <f>($V158*INPUT!$S$70)*INPUT!$J$76</f>
        <v>0.77664683465029094</v>
      </c>
      <c r="Y158" s="98">
        <f t="shared" ref="Y158:Y161" si="97">+T158+W158+X158</f>
        <v>4.6866165937235564</v>
      </c>
      <c r="Z158" s="98">
        <f t="shared" ref="Z158:Z161" si="98">+U158+W158+X158</f>
        <v>4.7566165937235567</v>
      </c>
      <c r="AA158" s="97">
        <f>($V158*INPUT!$S$70)*$AA$19</f>
        <v>0.15564658720044014</v>
      </c>
      <c r="AB158" s="97">
        <f>($V158*INPUT!$S$70)*$AB$19</f>
        <v>-2.5524479999999999E-2</v>
      </c>
    </row>
    <row r="159" spans="1:28" ht="13" thickBot="1" x14ac:dyDescent="0.3">
      <c r="A159" s="291" t="s">
        <v>537</v>
      </c>
      <c r="B159" s="330">
        <f t="shared" si="92"/>
        <v>0.20100000000000001</v>
      </c>
      <c r="C159" s="179">
        <f t="shared" si="93"/>
        <v>5.13</v>
      </c>
      <c r="D159" s="179">
        <f t="shared" si="94"/>
        <v>5.22</v>
      </c>
      <c r="E159" s="179">
        <f t="shared" ref="E159:E196" si="99">AA159</f>
        <v>0.30671533360086739</v>
      </c>
      <c r="F159" s="90">
        <f t="shared" ref="F159:F195" si="100">+D159-(E159+C159)</f>
        <v>-0.21671533360086759</v>
      </c>
      <c r="G159" s="292">
        <f t="shared" ref="G159:G196" si="101">ROUND(+F159/C159,4)</f>
        <v>-4.2200000000000001E-2</v>
      </c>
      <c r="H159" s="288">
        <f t="shared" si="95"/>
        <v>-9.8589004179153145E-2</v>
      </c>
      <c r="I159" s="288">
        <f t="shared" si="96"/>
        <v>1.5304511153402796</v>
      </c>
      <c r="J159" s="288">
        <f t="shared" ref="J159:J195" si="102">+C159+E159+H159+I159</f>
        <v>6.8685774447619936</v>
      </c>
      <c r="K159" s="288">
        <f>+D159+H159+I159</f>
        <v>6.651862111161126</v>
      </c>
      <c r="L159" s="292">
        <f t="shared" ref="L159:L196" si="103">ROUND((K159-J159)/J159,4)</f>
        <v>-3.1600000000000003E-2</v>
      </c>
      <c r="M159" s="179">
        <f t="shared" ref="M159:M196" si="104">AB159</f>
        <v>-5.0298240000000008E-2</v>
      </c>
      <c r="N159" s="90">
        <f t="shared" ref="N159:N196" si="105">K159+M159</f>
        <v>6.601563871161126</v>
      </c>
      <c r="O159" s="91">
        <f t="shared" ref="O159:O196" si="106">ROUND((N159-J159)/J159,4)</f>
        <v>-3.8899999999999997E-2</v>
      </c>
      <c r="P159" s="29"/>
      <c r="Q159" s="29"/>
      <c r="R159" s="29">
        <v>422</v>
      </c>
      <c r="S159" s="119" t="s">
        <v>145</v>
      </c>
      <c r="T159" s="121">
        <f>VLOOKUP($R159,INPUT!$AB$9:$AF$130,3,FALSE)</f>
        <v>5.13</v>
      </c>
      <c r="U159" s="121">
        <f>VLOOKUP($R159,INPUT!$AB$9:$AF$130,4,FALSE)</f>
        <v>5.22</v>
      </c>
      <c r="V159" s="29">
        <f>VLOOKUP($R159,INPUT!$AB$9:$AF$130,5,FALSE)</f>
        <v>0.20100000000000001</v>
      </c>
      <c r="W159" s="97">
        <f>($V159*INPUT!$S$70)*INPUT!$H$76</f>
        <v>-9.8589004179153145E-2</v>
      </c>
      <c r="X159" s="97">
        <f>($V159*INPUT!$S$70)*INPUT!$J$76</f>
        <v>1.5304511153402796</v>
      </c>
      <c r="Y159" s="98">
        <f t="shared" si="97"/>
        <v>6.5618621111611262</v>
      </c>
      <c r="Z159" s="98">
        <f t="shared" si="98"/>
        <v>6.651862111161126</v>
      </c>
      <c r="AA159" s="97">
        <f>($V159*INPUT!$S$70)*$AA$19</f>
        <v>0.30671533360086739</v>
      </c>
      <c r="AB159" s="97">
        <f>($V159*INPUT!$S$70)*$AB$19</f>
        <v>-5.0298240000000008E-2</v>
      </c>
    </row>
    <row r="160" spans="1:28" ht="13" thickBot="1" x14ac:dyDescent="0.3">
      <c r="A160" s="291" t="s">
        <v>538</v>
      </c>
      <c r="B160" s="330">
        <f t="shared" si="92"/>
        <v>0.32700000000000001</v>
      </c>
      <c r="C160" s="179">
        <f t="shared" si="93"/>
        <v>7.82</v>
      </c>
      <c r="D160" s="179">
        <f t="shared" si="94"/>
        <v>7.96</v>
      </c>
      <c r="E160" s="179">
        <f t="shared" si="99"/>
        <v>0.49898464720141111</v>
      </c>
      <c r="F160" s="90">
        <f t="shared" si="100"/>
        <v>-0.3589846472014111</v>
      </c>
      <c r="G160" s="292">
        <f t="shared" si="101"/>
        <v>-4.5900000000000003E-2</v>
      </c>
      <c r="H160" s="288">
        <f t="shared" si="95"/>
        <v>-0.16039106650041332</v>
      </c>
      <c r="I160" s="288">
        <f t="shared" si="96"/>
        <v>2.4898383816729921</v>
      </c>
      <c r="J160" s="288">
        <f t="shared" si="102"/>
        <v>10.648431962373991</v>
      </c>
      <c r="K160" s="288">
        <f>+D160+H160+I160</f>
        <v>10.289447315172579</v>
      </c>
      <c r="L160" s="292">
        <f t="shared" si="103"/>
        <v>-3.3700000000000001E-2</v>
      </c>
      <c r="M160" s="179">
        <f t="shared" si="104"/>
        <v>-8.1828480000000009E-2</v>
      </c>
      <c r="N160" s="90">
        <f t="shared" si="105"/>
        <v>10.207618835172578</v>
      </c>
      <c r="O160" s="91">
        <f t="shared" si="106"/>
        <v>-4.1399999999999999E-2</v>
      </c>
      <c r="P160" s="29"/>
      <c r="Q160" s="29"/>
      <c r="R160" s="29">
        <v>424</v>
      </c>
      <c r="S160" s="119" t="s">
        <v>146</v>
      </c>
      <c r="T160" s="121">
        <f>VLOOKUP($R160,INPUT!$AB$9:$AF$130,3,FALSE)</f>
        <v>7.82</v>
      </c>
      <c r="U160" s="121">
        <f>VLOOKUP($R160,INPUT!$AB$9:$AF$130,4,FALSE)</f>
        <v>7.96</v>
      </c>
      <c r="V160" s="29">
        <f>VLOOKUP($R160,INPUT!$AB$9:$AF$130,5,FALSE)</f>
        <v>0.32700000000000001</v>
      </c>
      <c r="W160" s="97">
        <f>($V160*INPUT!$S$70)*INPUT!$H$76</f>
        <v>-0.16039106650041332</v>
      </c>
      <c r="X160" s="97">
        <f>($V160*INPUT!$S$70)*INPUT!$J$76</f>
        <v>2.4898383816729921</v>
      </c>
      <c r="Y160" s="98">
        <f t="shared" si="97"/>
        <v>10.14944731517258</v>
      </c>
      <c r="Z160" s="98">
        <f t="shared" si="98"/>
        <v>10.289447315172579</v>
      </c>
      <c r="AA160" s="97">
        <f>($V160*INPUT!$S$70)*$AA$19</f>
        <v>0.49898464720141111</v>
      </c>
      <c r="AB160" s="97">
        <f>($V160*INPUT!$S$70)*$AB$19</f>
        <v>-8.1828480000000009E-2</v>
      </c>
    </row>
    <row r="161" spans="1:28" ht="13" thickBot="1" x14ac:dyDescent="0.3">
      <c r="A161" s="291" t="s">
        <v>539</v>
      </c>
      <c r="B161" s="330">
        <f t="shared" si="92"/>
        <v>0.44700000000000001</v>
      </c>
      <c r="C161" s="179">
        <f t="shared" si="93"/>
        <v>10.18</v>
      </c>
      <c r="D161" s="179">
        <f t="shared" si="94"/>
        <v>10.36</v>
      </c>
      <c r="E161" s="179">
        <f t="shared" si="99"/>
        <v>0.682098279201929</v>
      </c>
      <c r="F161" s="90">
        <f t="shared" si="100"/>
        <v>-0.50209827920192929</v>
      </c>
      <c r="G161" s="292">
        <f t="shared" si="101"/>
        <v>-4.9299999999999997E-2</v>
      </c>
      <c r="H161" s="288">
        <f t="shared" si="95"/>
        <v>-0.21925017347304207</v>
      </c>
      <c r="I161" s="288">
        <f t="shared" si="96"/>
        <v>3.4035405400850993</v>
      </c>
      <c r="J161" s="288">
        <f t="shared" si="102"/>
        <v>14.046388645813986</v>
      </c>
      <c r="K161" s="288">
        <f>+D161+H161+I161</f>
        <v>13.544290366612056</v>
      </c>
      <c r="L161" s="292">
        <f t="shared" si="103"/>
        <v>-3.5700000000000003E-2</v>
      </c>
      <c r="M161" s="179">
        <f t="shared" si="104"/>
        <v>-0.11185728000000002</v>
      </c>
      <c r="N161" s="90">
        <f t="shared" si="105"/>
        <v>13.432433086612056</v>
      </c>
      <c r="O161" s="91">
        <f t="shared" si="106"/>
        <v>-4.3700000000000003E-2</v>
      </c>
      <c r="P161" s="29"/>
      <c r="Q161" s="29"/>
      <c r="R161" s="29">
        <v>425</v>
      </c>
      <c r="S161" s="119" t="s">
        <v>147</v>
      </c>
      <c r="T161" s="121">
        <f>VLOOKUP($R161,INPUT!$AB$9:$AF$130,3,FALSE)</f>
        <v>10.18</v>
      </c>
      <c r="U161" s="121">
        <f>VLOOKUP($R161,INPUT!$AB$9:$AF$130,4,FALSE)</f>
        <v>10.36</v>
      </c>
      <c r="V161" s="29">
        <f>VLOOKUP($R161,INPUT!$AB$9:$AF$130,5,FALSE)</f>
        <v>0.44700000000000001</v>
      </c>
      <c r="W161" s="97">
        <f>($V161*INPUT!$S$70)*INPUT!$H$76</f>
        <v>-0.21925017347304207</v>
      </c>
      <c r="X161" s="97">
        <f>($V161*INPUT!$S$70)*INPUT!$J$76</f>
        <v>3.4035405400850993</v>
      </c>
      <c r="Y161" s="98">
        <f t="shared" si="97"/>
        <v>13.364290366612057</v>
      </c>
      <c r="Z161" s="98">
        <f t="shared" si="98"/>
        <v>13.544290366612056</v>
      </c>
      <c r="AA161" s="97">
        <f>($V161*INPUT!$S$70)*$AA$19</f>
        <v>0.682098279201929</v>
      </c>
      <c r="AB161" s="97">
        <f>($V161*INPUT!$S$70)*$AB$19</f>
        <v>-0.11185728000000002</v>
      </c>
    </row>
    <row r="162" spans="1:28" ht="13" thickBot="1" x14ac:dyDescent="0.3">
      <c r="A162" s="306"/>
      <c r="B162" s="287"/>
      <c r="C162" s="288"/>
      <c r="D162" s="288"/>
      <c r="E162" s="179"/>
      <c r="F162" s="90"/>
      <c r="G162" s="292"/>
      <c r="H162" s="288"/>
      <c r="I162" s="288"/>
      <c r="J162" s="288"/>
      <c r="K162" s="288"/>
      <c r="L162" s="292"/>
      <c r="M162" s="179"/>
      <c r="N162" s="90"/>
      <c r="O162" s="91"/>
      <c r="P162" s="29"/>
      <c r="Q162" s="29"/>
      <c r="S162" s="313"/>
      <c r="T162" s="314"/>
      <c r="U162" s="315"/>
      <c r="W162" s="97"/>
      <c r="X162" s="97"/>
      <c r="AA162" s="97"/>
      <c r="AB162" s="97"/>
    </row>
    <row r="163" spans="1:28" ht="13.5" thickBot="1" x14ac:dyDescent="0.3">
      <c r="A163" s="286" t="s">
        <v>103</v>
      </c>
      <c r="B163" s="287"/>
      <c r="C163" s="288"/>
      <c r="D163" s="288"/>
      <c r="E163" s="179"/>
      <c r="F163" s="90"/>
      <c r="G163" s="292"/>
      <c r="H163" s="288"/>
      <c r="I163" s="288"/>
      <c r="J163" s="288"/>
      <c r="K163" s="288"/>
      <c r="L163" s="292"/>
      <c r="M163" s="179"/>
      <c r="N163" s="90"/>
      <c r="O163" s="91"/>
      <c r="P163" s="29"/>
      <c r="Q163" s="29"/>
      <c r="S163" s="116" t="s">
        <v>103</v>
      </c>
      <c r="T163" s="114"/>
      <c r="U163" s="123"/>
      <c r="W163" s="97"/>
      <c r="X163" s="97"/>
      <c r="AA163" s="97"/>
      <c r="AB163" s="97"/>
    </row>
    <row r="164" spans="1:28" ht="13.5" thickBot="1" x14ac:dyDescent="0.3">
      <c r="A164" s="290" t="s">
        <v>133</v>
      </c>
      <c r="B164" s="287"/>
      <c r="C164" s="288"/>
      <c r="D164" s="288"/>
      <c r="E164" s="179"/>
      <c r="F164" s="90"/>
      <c r="G164" s="292"/>
      <c r="H164" s="288"/>
      <c r="I164" s="288"/>
      <c r="J164" s="288"/>
      <c r="K164" s="288"/>
      <c r="L164" s="292"/>
      <c r="M164" s="179"/>
      <c r="N164" s="90"/>
      <c r="O164" s="91"/>
      <c r="P164" s="29"/>
      <c r="Q164" s="29"/>
      <c r="S164" s="117" t="s">
        <v>133</v>
      </c>
      <c r="T164" s="121"/>
      <c r="U164" s="122"/>
      <c r="W164" s="97"/>
      <c r="X164" s="97"/>
      <c r="AA164" s="97"/>
      <c r="AB164" s="97"/>
    </row>
    <row r="165" spans="1:28" ht="13" thickBot="1" x14ac:dyDescent="0.3">
      <c r="A165" s="291" t="s">
        <v>540</v>
      </c>
      <c r="B165" s="330">
        <f t="shared" ref="B165:B167" si="107">+V165</f>
        <v>0.15</v>
      </c>
      <c r="C165" s="179">
        <f t="shared" ref="C165:C173" si="108">T165</f>
        <v>32.79</v>
      </c>
      <c r="D165" s="179">
        <f t="shared" ref="D165:D173" si="109">U165</f>
        <v>33.36</v>
      </c>
      <c r="E165" s="179">
        <f t="shared" si="99"/>
        <v>0.22889204000064731</v>
      </c>
      <c r="F165" s="90">
        <f t="shared" si="100"/>
        <v>0.34110795999935561</v>
      </c>
      <c r="G165" s="292">
        <f t="shared" si="101"/>
        <v>1.04E-2</v>
      </c>
      <c r="H165" s="288">
        <f t="shared" ref="H165:H167" si="110">+W165</f>
        <v>-7.3573883715785923E-2</v>
      </c>
      <c r="I165" s="288">
        <f t="shared" ref="I165:I167" si="111">+X165</f>
        <v>1.1421276980151338</v>
      </c>
      <c r="J165" s="288">
        <f t="shared" si="102"/>
        <v>34.087445854299986</v>
      </c>
      <c r="K165" s="288">
        <f t="shared" ref="K165:K173" si="112">+D165+H165+I165</f>
        <v>34.428553814299342</v>
      </c>
      <c r="L165" s="292">
        <f t="shared" si="103"/>
        <v>0.01</v>
      </c>
      <c r="M165" s="179">
        <f t="shared" si="104"/>
        <v>-3.7536E-2</v>
      </c>
      <c r="N165" s="90">
        <f t="shared" si="105"/>
        <v>34.391017814299339</v>
      </c>
      <c r="O165" s="91">
        <f t="shared" si="106"/>
        <v>8.8999999999999999E-3</v>
      </c>
      <c r="P165" s="29"/>
      <c r="Q165" s="29"/>
      <c r="R165" s="29">
        <v>460</v>
      </c>
      <c r="S165" s="118" t="s">
        <v>150</v>
      </c>
      <c r="T165" s="121">
        <f>VLOOKUP($R165,INPUT!$AB$9:$AF$130,3,FALSE)</f>
        <v>32.79</v>
      </c>
      <c r="U165" s="121">
        <f>VLOOKUP($R165,INPUT!$AB$9:$AF$130,4,FALSE)</f>
        <v>33.36</v>
      </c>
      <c r="V165" s="29">
        <f>VLOOKUP($R165,INPUT!$AB$9:$AF$130,5,FALSE)</f>
        <v>0.15</v>
      </c>
      <c r="W165" s="97">
        <f>($V165*INPUT!$S$70)*INPUT!$H$76</f>
        <v>-7.3573883715785923E-2</v>
      </c>
      <c r="X165" s="97">
        <f>($V165*INPUT!$S$70)*INPUT!$J$76</f>
        <v>1.1421276980151338</v>
      </c>
      <c r="Y165" s="98">
        <f t="shared" ref="Y165:Y167" si="113">+T165+W165+X165</f>
        <v>33.858553814299341</v>
      </c>
      <c r="Z165" s="98">
        <f t="shared" ref="Z165:Z167" si="114">+U165+W165+X165</f>
        <v>34.428553814299342</v>
      </c>
      <c r="AA165" s="97">
        <f>($V165*INPUT!$S$70)*$AA$19</f>
        <v>0.22889204000064731</v>
      </c>
      <c r="AB165" s="97">
        <f>($V165*INPUT!$S$70)*$AB$19</f>
        <v>-3.7536E-2</v>
      </c>
    </row>
    <row r="166" spans="1:28" ht="13" thickBot="1" x14ac:dyDescent="0.3">
      <c r="A166" s="291" t="s">
        <v>541</v>
      </c>
      <c r="B166" s="330">
        <f t="shared" si="107"/>
        <v>0.35</v>
      </c>
      <c r="C166" s="179">
        <f t="shared" si="108"/>
        <v>38.61</v>
      </c>
      <c r="D166" s="179">
        <f t="shared" si="109"/>
        <v>39.29</v>
      </c>
      <c r="E166" s="179">
        <f t="shared" si="99"/>
        <v>0.53408142666817704</v>
      </c>
      <c r="F166" s="90">
        <f t="shared" si="100"/>
        <v>0.14591857333181935</v>
      </c>
      <c r="G166" s="292">
        <f t="shared" si="101"/>
        <v>3.8E-3</v>
      </c>
      <c r="H166" s="288">
        <f t="shared" si="110"/>
        <v>-0.17167239533683382</v>
      </c>
      <c r="I166" s="288">
        <f t="shared" si="111"/>
        <v>2.6649646287019788</v>
      </c>
      <c r="J166" s="288">
        <f t="shared" si="102"/>
        <v>41.637373660033326</v>
      </c>
      <c r="K166" s="288">
        <f t="shared" si="112"/>
        <v>41.783292233365145</v>
      </c>
      <c r="L166" s="292">
        <f t="shared" si="103"/>
        <v>3.5000000000000001E-3</v>
      </c>
      <c r="M166" s="179">
        <f t="shared" si="104"/>
        <v>-8.7583999999999995E-2</v>
      </c>
      <c r="N166" s="90">
        <f t="shared" si="105"/>
        <v>41.695708233365146</v>
      </c>
      <c r="O166" s="91">
        <f t="shared" si="106"/>
        <v>1.4E-3</v>
      </c>
      <c r="P166" s="29"/>
      <c r="Q166" s="29"/>
      <c r="R166" s="29">
        <v>469</v>
      </c>
      <c r="S166" s="119" t="s">
        <v>151</v>
      </c>
      <c r="T166" s="121">
        <f>VLOOKUP($R166,INPUT!$AB$9:$AF$130,3,FALSE)</f>
        <v>38.61</v>
      </c>
      <c r="U166" s="121">
        <f>VLOOKUP($R166,INPUT!$AB$9:$AF$130,4,FALSE)</f>
        <v>39.29</v>
      </c>
      <c r="V166" s="29">
        <f>VLOOKUP($R166,INPUT!$AB$9:$AF$130,5,FALSE)</f>
        <v>0.35</v>
      </c>
      <c r="W166" s="97">
        <f>($V166*INPUT!$S$70)*INPUT!$H$76</f>
        <v>-0.17167239533683382</v>
      </c>
      <c r="X166" s="97">
        <f>($V166*INPUT!$S$70)*INPUT!$J$76</f>
        <v>2.6649646287019788</v>
      </c>
      <c r="Y166" s="98">
        <f t="shared" si="113"/>
        <v>41.103292233365146</v>
      </c>
      <c r="Z166" s="98">
        <f t="shared" si="114"/>
        <v>41.783292233365145</v>
      </c>
      <c r="AA166" s="97">
        <f>($V166*INPUT!$S$70)*$AA$19</f>
        <v>0.53408142666817704</v>
      </c>
      <c r="AB166" s="97">
        <f>($V166*INPUT!$S$70)*$AB$19</f>
        <v>-8.7583999999999995E-2</v>
      </c>
    </row>
    <row r="167" spans="1:28" ht="13.5" thickBot="1" x14ac:dyDescent="0.3">
      <c r="A167" s="291" t="s">
        <v>542</v>
      </c>
      <c r="B167" s="330">
        <f t="shared" si="107"/>
        <v>1.08</v>
      </c>
      <c r="C167" s="179">
        <f t="shared" si="108"/>
        <v>63.76</v>
      </c>
      <c r="D167" s="179">
        <f t="shared" si="109"/>
        <v>64.88</v>
      </c>
      <c r="E167" s="179">
        <f t="shared" si="99"/>
        <v>1.6480226880046609</v>
      </c>
      <c r="F167" s="90">
        <f t="shared" si="100"/>
        <v>-0.52802268800466834</v>
      </c>
      <c r="G167" s="292">
        <f t="shared" si="101"/>
        <v>-8.3000000000000001E-3</v>
      </c>
      <c r="H167" s="288">
        <f t="shared" si="110"/>
        <v>-0.52973196275365875</v>
      </c>
      <c r="I167" s="288">
        <f t="shared" si="111"/>
        <v>8.223319425708965</v>
      </c>
      <c r="J167" s="288">
        <f t="shared" si="102"/>
        <v>73.101610150959971</v>
      </c>
      <c r="K167" s="288">
        <f t="shared" si="112"/>
        <v>72.573587462955302</v>
      </c>
      <c r="L167" s="292">
        <f t="shared" si="103"/>
        <v>-7.1999999999999998E-3</v>
      </c>
      <c r="M167" s="179">
        <f t="shared" si="104"/>
        <v>-0.27025920000000003</v>
      </c>
      <c r="N167" s="90">
        <f t="shared" si="105"/>
        <v>72.303328262955304</v>
      </c>
      <c r="O167" s="91">
        <f t="shared" si="106"/>
        <v>-1.09E-2</v>
      </c>
      <c r="P167" s="18"/>
      <c r="Q167" s="29"/>
      <c r="R167" s="29">
        <v>470</v>
      </c>
      <c r="S167" s="119" t="s">
        <v>152</v>
      </c>
      <c r="T167" s="121">
        <f>VLOOKUP($R167,INPUT!$AB$9:$AF$130,3,FALSE)</f>
        <v>63.76</v>
      </c>
      <c r="U167" s="121">
        <f>VLOOKUP($R167,INPUT!$AB$9:$AF$130,4,FALSE)</f>
        <v>64.88</v>
      </c>
      <c r="V167" s="29">
        <f>VLOOKUP($R167,INPUT!$AB$9:$AF$130,5,FALSE)</f>
        <v>1.08</v>
      </c>
      <c r="W167" s="97">
        <f>($V167*INPUT!$S$70)*INPUT!$H$76</f>
        <v>-0.52973196275365875</v>
      </c>
      <c r="X167" s="97">
        <f>($V167*INPUT!$S$70)*INPUT!$J$76</f>
        <v>8.223319425708965</v>
      </c>
      <c r="Y167" s="98">
        <f t="shared" si="113"/>
        <v>71.453587462955312</v>
      </c>
      <c r="Z167" s="98">
        <f t="shared" si="114"/>
        <v>72.573587462955302</v>
      </c>
      <c r="AA167" s="97">
        <f>($V167*INPUT!$S$70)*$AA$19</f>
        <v>1.6480226880046609</v>
      </c>
      <c r="AB167" s="97">
        <f>($V167*INPUT!$S$70)*$AB$19</f>
        <v>-0.27025920000000003</v>
      </c>
    </row>
    <row r="168" spans="1:28" ht="13" thickBot="1" x14ac:dyDescent="0.3">
      <c r="A168" s="293" t="s">
        <v>543</v>
      </c>
      <c r="B168" s="330">
        <f>+V168</f>
        <v>0.15</v>
      </c>
      <c r="C168" s="179">
        <f t="shared" si="108"/>
        <v>18.48</v>
      </c>
      <c r="D168" s="179">
        <f t="shared" si="109"/>
        <v>18.8</v>
      </c>
      <c r="E168" s="179">
        <f t="shared" si="99"/>
        <v>0.22889204000064731</v>
      </c>
      <c r="F168" s="90">
        <f t="shared" si="100"/>
        <v>9.1107959999352062E-2</v>
      </c>
      <c r="G168" s="292">
        <f t="shared" si="101"/>
        <v>4.8999999999999998E-3</v>
      </c>
      <c r="H168" s="288">
        <f>+W168</f>
        <v>-7.3573883715785923E-2</v>
      </c>
      <c r="I168" s="288">
        <f>+X168</f>
        <v>1.1421276980151338</v>
      </c>
      <c r="J168" s="288">
        <f t="shared" si="102"/>
        <v>19.777445854299998</v>
      </c>
      <c r="K168" s="288">
        <f t="shared" si="112"/>
        <v>19.86855381429935</v>
      </c>
      <c r="L168" s="292">
        <f t="shared" si="103"/>
        <v>4.5999999999999999E-3</v>
      </c>
      <c r="M168" s="179">
        <f t="shared" si="104"/>
        <v>-3.7536E-2</v>
      </c>
      <c r="N168" s="90">
        <f t="shared" si="105"/>
        <v>19.831017814299351</v>
      </c>
      <c r="O168" s="91">
        <f t="shared" si="106"/>
        <v>2.7000000000000001E-3</v>
      </c>
      <c r="P168" s="29"/>
      <c r="Q168" s="29"/>
      <c r="R168" s="29">
        <v>490</v>
      </c>
      <c r="S168" s="119" t="s">
        <v>122</v>
      </c>
      <c r="T168" s="121">
        <f>VLOOKUP($R168,INPUT!$AB$9:$AF$130,3,FALSE)</f>
        <v>18.48</v>
      </c>
      <c r="U168" s="121">
        <f>VLOOKUP($R168,INPUT!$AB$9:$AF$130,4,FALSE)</f>
        <v>18.8</v>
      </c>
      <c r="V168" s="29">
        <f>VLOOKUP($R168,INPUT!$AB$9:$AF$130,5,FALSE)</f>
        <v>0.15</v>
      </c>
      <c r="W168" s="97">
        <f>($V168*INPUT!$S$70)*INPUT!$H$76</f>
        <v>-7.3573883715785923E-2</v>
      </c>
      <c r="X168" s="97">
        <f>($V168*INPUT!$S$70)*INPUT!$J$76</f>
        <v>1.1421276980151338</v>
      </c>
      <c r="Y168" s="98">
        <f t="shared" ref="Y168" si="115">+T168+W168+X168</f>
        <v>19.54855381429935</v>
      </c>
      <c r="Z168" s="98">
        <f t="shared" ref="Z168" si="116">+U168+W168+X168</f>
        <v>19.86855381429935</v>
      </c>
      <c r="AA168" s="97">
        <f>($V168*INPUT!$S$70)*$AA$19</f>
        <v>0.22889204000064731</v>
      </c>
      <c r="AB168" s="97">
        <f>($V168*INPUT!$S$70)*$AB$19</f>
        <v>-3.7536E-2</v>
      </c>
    </row>
    <row r="169" spans="1:28" ht="13" thickBot="1" x14ac:dyDescent="0.3">
      <c r="A169" s="293" t="s">
        <v>544</v>
      </c>
      <c r="B169" s="330">
        <f t="shared" ref="B169:B172" si="117">+V169</f>
        <v>0.35</v>
      </c>
      <c r="C169" s="179">
        <f t="shared" si="108"/>
        <v>25.81</v>
      </c>
      <c r="D169" s="179">
        <f t="shared" si="109"/>
        <v>26.26</v>
      </c>
      <c r="E169" s="179">
        <f t="shared" si="99"/>
        <v>0.53408142666817704</v>
      </c>
      <c r="F169" s="90">
        <f t="shared" si="100"/>
        <v>-8.4081426668173975E-2</v>
      </c>
      <c r="G169" s="292">
        <f t="shared" si="101"/>
        <v>-3.3E-3</v>
      </c>
      <c r="H169" s="288">
        <f t="shared" ref="H169:H172" si="118">+W169</f>
        <v>-0.17167239533683382</v>
      </c>
      <c r="I169" s="288">
        <f t="shared" ref="I169:I172" si="119">+X169</f>
        <v>2.6649646287019788</v>
      </c>
      <c r="J169" s="288">
        <f t="shared" si="102"/>
        <v>28.837373660033322</v>
      </c>
      <c r="K169" s="288">
        <f t="shared" si="112"/>
        <v>28.753292233365144</v>
      </c>
      <c r="L169" s="292">
        <f t="shared" si="103"/>
        <v>-2.8999999999999998E-3</v>
      </c>
      <c r="M169" s="179">
        <f t="shared" si="104"/>
        <v>-8.7583999999999995E-2</v>
      </c>
      <c r="N169" s="90">
        <f t="shared" si="105"/>
        <v>28.665708233365145</v>
      </c>
      <c r="O169" s="91">
        <f t="shared" si="106"/>
        <v>-6.0000000000000001E-3</v>
      </c>
      <c r="P169" s="29"/>
      <c r="Q169" s="29"/>
      <c r="R169" s="29">
        <v>491</v>
      </c>
      <c r="S169" s="111" t="s">
        <v>124</v>
      </c>
      <c r="T169" s="121">
        <f>VLOOKUP($R169,INPUT!$AB$9:$AF$130,3,FALSE)</f>
        <v>25.81</v>
      </c>
      <c r="U169" s="121">
        <f>VLOOKUP($R169,INPUT!$AB$9:$AF$130,4,FALSE)</f>
        <v>26.26</v>
      </c>
      <c r="V169" s="29">
        <f>VLOOKUP($R169,INPUT!$AB$9:$AF$130,5,FALSE)</f>
        <v>0.35</v>
      </c>
      <c r="W169" s="97">
        <f>($V169*INPUT!$S$70)*INPUT!$H$76</f>
        <v>-0.17167239533683382</v>
      </c>
      <c r="X169" s="97">
        <f>($V169*INPUT!$S$70)*INPUT!$J$76</f>
        <v>2.6649646287019788</v>
      </c>
      <c r="Y169" s="98">
        <f t="shared" ref="Y169:Y172" si="120">+T169+W169+X169</f>
        <v>28.303292233365141</v>
      </c>
      <c r="Z169" s="98">
        <f t="shared" ref="Z169:Z172" si="121">+U169+W169+X169</f>
        <v>28.753292233365144</v>
      </c>
      <c r="AA169" s="97">
        <f>($V169*INPUT!$S$70)*$AA$19</f>
        <v>0.53408142666817704</v>
      </c>
      <c r="AB169" s="97">
        <f>($V169*INPUT!$S$70)*$AB$19</f>
        <v>-8.7583999999999995E-2</v>
      </c>
    </row>
    <row r="170" spans="1:28" ht="13" thickBot="1" x14ac:dyDescent="0.3">
      <c r="A170" s="293" t="s">
        <v>545</v>
      </c>
      <c r="B170" s="330">
        <f>+V170</f>
        <v>1.08</v>
      </c>
      <c r="C170" s="179">
        <f t="shared" si="108"/>
        <v>53.03</v>
      </c>
      <c r="D170" s="179">
        <f t="shared" si="109"/>
        <v>53.96</v>
      </c>
      <c r="E170" s="179">
        <f t="shared" si="99"/>
        <v>1.6480226880046609</v>
      </c>
      <c r="F170" s="90">
        <f t="shared" si="100"/>
        <v>-0.71802268800465896</v>
      </c>
      <c r="G170" s="292">
        <f t="shared" si="101"/>
        <v>-1.35E-2</v>
      </c>
      <c r="H170" s="288">
        <f>+W170</f>
        <v>-0.52973196275365875</v>
      </c>
      <c r="I170" s="288">
        <f>+X170</f>
        <v>8.223319425708965</v>
      </c>
      <c r="J170" s="288">
        <f t="shared" si="102"/>
        <v>62.371610150959967</v>
      </c>
      <c r="K170" s="288">
        <f t="shared" si="112"/>
        <v>61.653587462955308</v>
      </c>
      <c r="L170" s="292">
        <f t="shared" si="103"/>
        <v>-1.15E-2</v>
      </c>
      <c r="M170" s="179">
        <f t="shared" si="104"/>
        <v>-0.27025920000000003</v>
      </c>
      <c r="N170" s="90">
        <f t="shared" si="105"/>
        <v>61.38332826295531</v>
      </c>
      <c r="O170" s="91">
        <f t="shared" si="106"/>
        <v>-1.5800000000000002E-2</v>
      </c>
      <c r="P170" s="29"/>
      <c r="Q170" s="29"/>
      <c r="R170" s="29">
        <v>493</v>
      </c>
      <c r="S170" s="100" t="s">
        <v>126</v>
      </c>
      <c r="T170" s="121">
        <f>VLOOKUP($R170,INPUT!$AB$9:$AF$130,3,FALSE)</f>
        <v>53.03</v>
      </c>
      <c r="U170" s="121">
        <f>VLOOKUP($R170,INPUT!$AB$9:$AF$130,4,FALSE)</f>
        <v>53.96</v>
      </c>
      <c r="V170" s="29">
        <f>VLOOKUP($R170,INPUT!$AB$9:$AF$130,5,FALSE)</f>
        <v>1.08</v>
      </c>
      <c r="W170" s="97">
        <f>($V170*INPUT!$S$70)*INPUT!$H$76</f>
        <v>-0.52973196275365875</v>
      </c>
      <c r="X170" s="97">
        <f>($V170*INPUT!$S$70)*INPUT!$J$76</f>
        <v>8.223319425708965</v>
      </c>
      <c r="Y170" s="98">
        <f>+T170+W170+X170</f>
        <v>60.723587462955308</v>
      </c>
      <c r="Z170" s="98">
        <f>+U170+W170+X170</f>
        <v>61.653587462955308</v>
      </c>
      <c r="AA170" s="97">
        <f>($V170*INPUT!$S$70)*$AA$19</f>
        <v>1.6480226880046609</v>
      </c>
      <c r="AB170" s="97">
        <f>($V170*INPUT!$S$70)*$AB$19</f>
        <v>-0.27025920000000003</v>
      </c>
    </row>
    <row r="171" spans="1:28" ht="13" thickBot="1" x14ac:dyDescent="0.3">
      <c r="A171" s="293" t="s">
        <v>546</v>
      </c>
      <c r="B171" s="330">
        <f>+V171</f>
        <v>0.15</v>
      </c>
      <c r="C171" s="179">
        <f t="shared" si="108"/>
        <v>32.99</v>
      </c>
      <c r="D171" s="179">
        <f t="shared" si="109"/>
        <v>33.57</v>
      </c>
      <c r="E171" s="179">
        <f t="shared" si="99"/>
        <v>0.22889204000064731</v>
      </c>
      <c r="F171" s="90">
        <f t="shared" si="100"/>
        <v>0.35110795999935362</v>
      </c>
      <c r="G171" s="292">
        <f t="shared" si="101"/>
        <v>1.06E-2</v>
      </c>
      <c r="H171" s="288">
        <f>+W171</f>
        <v>-7.3573883715785923E-2</v>
      </c>
      <c r="I171" s="288">
        <f>+X171</f>
        <v>1.1421276980151338</v>
      </c>
      <c r="J171" s="288">
        <f t="shared" si="102"/>
        <v>34.287445854299989</v>
      </c>
      <c r="K171" s="288">
        <f t="shared" si="112"/>
        <v>34.638553814299343</v>
      </c>
      <c r="L171" s="292">
        <f t="shared" si="103"/>
        <v>1.0200000000000001E-2</v>
      </c>
      <c r="M171" s="179">
        <f t="shared" si="104"/>
        <v>-3.7536E-2</v>
      </c>
      <c r="N171" s="90">
        <f t="shared" si="105"/>
        <v>34.60101781429934</v>
      </c>
      <c r="O171" s="91">
        <f t="shared" si="106"/>
        <v>9.1000000000000004E-3</v>
      </c>
      <c r="P171" s="29"/>
      <c r="Q171" s="29"/>
      <c r="R171" s="29">
        <v>494</v>
      </c>
      <c r="S171" s="111" t="s">
        <v>123</v>
      </c>
      <c r="T171" s="121">
        <f>VLOOKUP($R171,INPUT!$AB$9:$AF$130,3,FALSE)</f>
        <v>32.99</v>
      </c>
      <c r="U171" s="121">
        <f>VLOOKUP($R171,INPUT!$AB$9:$AF$130,4,FALSE)</f>
        <v>33.57</v>
      </c>
      <c r="V171" s="29">
        <f>VLOOKUP($R171,INPUT!$AB$9:$AF$130,5,FALSE)</f>
        <v>0.15</v>
      </c>
      <c r="W171" s="97">
        <f>($V171*INPUT!$S$70)*INPUT!$H$76</f>
        <v>-7.3573883715785923E-2</v>
      </c>
      <c r="X171" s="97">
        <f>($V171*INPUT!$S$70)*INPUT!$J$76</f>
        <v>1.1421276980151338</v>
      </c>
      <c r="Y171" s="98">
        <f>+T171+W171+X171</f>
        <v>34.058553814299344</v>
      </c>
      <c r="Z171" s="98">
        <f>+U171+W171+X171</f>
        <v>34.638553814299343</v>
      </c>
      <c r="AA171" s="97">
        <f>($V171*INPUT!$S$70)*$AA$19</f>
        <v>0.22889204000064731</v>
      </c>
      <c r="AB171" s="97">
        <f>($V171*INPUT!$S$70)*$AB$19</f>
        <v>-3.7536E-2</v>
      </c>
    </row>
    <row r="172" spans="1:28" ht="13" thickBot="1" x14ac:dyDescent="0.3">
      <c r="A172" s="293" t="s">
        <v>547</v>
      </c>
      <c r="B172" s="330">
        <f t="shared" si="117"/>
        <v>0.35</v>
      </c>
      <c r="C172" s="179">
        <f t="shared" si="108"/>
        <v>40.549999999999997</v>
      </c>
      <c r="D172" s="179">
        <f t="shared" si="109"/>
        <v>41.26</v>
      </c>
      <c r="E172" s="179">
        <f t="shared" si="99"/>
        <v>0.53408142666817704</v>
      </c>
      <c r="F172" s="90">
        <f t="shared" si="100"/>
        <v>0.17591857333182048</v>
      </c>
      <c r="G172" s="292">
        <f t="shared" si="101"/>
        <v>4.3E-3</v>
      </c>
      <c r="H172" s="288">
        <f t="shared" si="118"/>
        <v>-0.17167239533683382</v>
      </c>
      <c r="I172" s="288">
        <f t="shared" si="119"/>
        <v>2.6649646287019788</v>
      </c>
      <c r="J172" s="288">
        <f t="shared" si="102"/>
        <v>43.577373660033324</v>
      </c>
      <c r="K172" s="288">
        <f t="shared" si="112"/>
        <v>43.753292233365144</v>
      </c>
      <c r="L172" s="292">
        <f t="shared" si="103"/>
        <v>4.0000000000000001E-3</v>
      </c>
      <c r="M172" s="179">
        <f t="shared" si="104"/>
        <v>-8.7583999999999995E-2</v>
      </c>
      <c r="N172" s="90">
        <f t="shared" si="105"/>
        <v>43.665708233365145</v>
      </c>
      <c r="O172" s="91">
        <f t="shared" si="106"/>
        <v>2E-3</v>
      </c>
      <c r="P172" s="29"/>
      <c r="Q172" s="29"/>
      <c r="R172" s="29">
        <v>495</v>
      </c>
      <c r="S172" s="119" t="s">
        <v>125</v>
      </c>
      <c r="T172" s="121">
        <f>VLOOKUP($R172,INPUT!$AB$9:$AF$130,3,FALSE)</f>
        <v>40.549999999999997</v>
      </c>
      <c r="U172" s="121">
        <f>VLOOKUP($R172,INPUT!$AB$9:$AF$130,4,FALSE)</f>
        <v>41.26</v>
      </c>
      <c r="V172" s="29">
        <f>VLOOKUP($R172,INPUT!$AB$9:$AF$130,5,FALSE)</f>
        <v>0.35</v>
      </c>
      <c r="W172" s="97">
        <f>($V172*INPUT!$S$70)*INPUT!$H$76</f>
        <v>-0.17167239533683382</v>
      </c>
      <c r="X172" s="97">
        <f>($V172*INPUT!$S$70)*INPUT!$J$76</f>
        <v>2.6649646287019788</v>
      </c>
      <c r="Y172" s="98">
        <f t="shared" si="120"/>
        <v>43.043292233365143</v>
      </c>
      <c r="Z172" s="98">
        <f t="shared" si="121"/>
        <v>43.753292233365144</v>
      </c>
      <c r="AA172" s="97">
        <f>($V172*INPUT!$S$70)*$AA$19</f>
        <v>0.53408142666817704</v>
      </c>
      <c r="AB172" s="97">
        <f>($V172*INPUT!$S$70)*$AB$19</f>
        <v>-8.7583999999999995E-2</v>
      </c>
    </row>
    <row r="173" spans="1:28" ht="13" thickBot="1" x14ac:dyDescent="0.3">
      <c r="A173" s="293" t="s">
        <v>548</v>
      </c>
      <c r="B173" s="330">
        <f>+V173</f>
        <v>1.08</v>
      </c>
      <c r="C173" s="179">
        <f t="shared" si="108"/>
        <v>67.53</v>
      </c>
      <c r="D173" s="179">
        <f t="shared" si="109"/>
        <v>68.709999999999994</v>
      </c>
      <c r="E173" s="179">
        <f t="shared" si="99"/>
        <v>1.6480226880046609</v>
      </c>
      <c r="F173" s="90">
        <f t="shared" si="100"/>
        <v>-0.46802268800466607</v>
      </c>
      <c r="G173" s="292">
        <f t="shared" si="101"/>
        <v>-6.8999999999999999E-3</v>
      </c>
      <c r="H173" s="288">
        <f>+W173</f>
        <v>-0.52973196275365875</v>
      </c>
      <c r="I173" s="288">
        <f>+X173</f>
        <v>8.223319425708965</v>
      </c>
      <c r="J173" s="288">
        <f t="shared" si="102"/>
        <v>76.871610150959967</v>
      </c>
      <c r="K173" s="288">
        <f t="shared" si="112"/>
        <v>76.403587462955301</v>
      </c>
      <c r="L173" s="292">
        <f t="shared" si="103"/>
        <v>-6.1000000000000004E-3</v>
      </c>
      <c r="M173" s="179">
        <f t="shared" si="104"/>
        <v>-0.27025920000000003</v>
      </c>
      <c r="N173" s="90">
        <f t="shared" si="105"/>
        <v>76.133328262955303</v>
      </c>
      <c r="O173" s="91">
        <f t="shared" si="106"/>
        <v>-9.5999999999999992E-3</v>
      </c>
      <c r="P173" s="29"/>
      <c r="Q173" s="29"/>
      <c r="R173" s="29">
        <v>496</v>
      </c>
      <c r="S173" s="119" t="s">
        <v>127</v>
      </c>
      <c r="T173" s="121">
        <f>VLOOKUP($R173,INPUT!$AB$9:$AF$130,3,FALSE)</f>
        <v>67.53</v>
      </c>
      <c r="U173" s="121">
        <f>VLOOKUP($R173,INPUT!$AB$9:$AF$130,4,FALSE)</f>
        <v>68.709999999999994</v>
      </c>
      <c r="V173" s="29">
        <f>VLOOKUP($R173,INPUT!$AB$9:$AF$130,5,FALSE)</f>
        <v>1.08</v>
      </c>
      <c r="W173" s="97">
        <f>($V173*INPUT!$S$70)*INPUT!$H$76</f>
        <v>-0.52973196275365875</v>
      </c>
      <c r="X173" s="97">
        <f>($V173*INPUT!$S$70)*INPUT!$J$76</f>
        <v>8.223319425708965</v>
      </c>
      <c r="Y173" s="98">
        <f>+T173+W173+X173</f>
        <v>75.223587462955308</v>
      </c>
      <c r="Z173" s="98">
        <f>+U173+W173+X173</f>
        <v>76.403587462955301</v>
      </c>
      <c r="AA173" s="97">
        <f>($V173*INPUT!$S$70)*$AA$19</f>
        <v>1.6480226880046609</v>
      </c>
      <c r="AB173" s="97">
        <f>($V173*INPUT!$S$70)*$AB$19</f>
        <v>-0.27025920000000003</v>
      </c>
    </row>
    <row r="174" spans="1:28" ht="13" thickBot="1" x14ac:dyDescent="0.3">
      <c r="A174" s="87"/>
      <c r="B174" s="87"/>
      <c r="C174" s="87"/>
      <c r="D174" s="87"/>
      <c r="E174" s="179"/>
      <c r="F174" s="90"/>
      <c r="G174" s="292"/>
      <c r="H174" s="87"/>
      <c r="I174" s="87"/>
      <c r="J174" s="288"/>
      <c r="K174" s="87"/>
      <c r="L174" s="292"/>
      <c r="M174" s="179"/>
      <c r="N174" s="90"/>
      <c r="O174" s="91"/>
      <c r="P174" s="29"/>
      <c r="Q174" s="29"/>
      <c r="AA174" s="97"/>
      <c r="AB174" s="97"/>
    </row>
    <row r="175" spans="1:28" ht="13.5" thickBot="1" x14ac:dyDescent="0.3">
      <c r="A175" s="290" t="s">
        <v>128</v>
      </c>
      <c r="B175" s="287"/>
      <c r="C175" s="288"/>
      <c r="D175" s="288"/>
      <c r="E175" s="179"/>
      <c r="F175" s="90"/>
      <c r="G175" s="292"/>
      <c r="H175" s="288"/>
      <c r="I175" s="288"/>
      <c r="J175" s="288"/>
      <c r="K175" s="288"/>
      <c r="L175" s="292"/>
      <c r="M175" s="179"/>
      <c r="N175" s="90"/>
      <c r="O175" s="91"/>
      <c r="P175" s="29"/>
      <c r="Q175" s="29"/>
      <c r="S175" s="312" t="s">
        <v>128</v>
      </c>
      <c r="T175" s="121"/>
      <c r="U175" s="122"/>
      <c r="W175" s="97"/>
      <c r="X175" s="97"/>
      <c r="AA175" s="97"/>
      <c r="AB175" s="97"/>
    </row>
    <row r="176" spans="1:28" ht="13" thickBot="1" x14ac:dyDescent="0.3">
      <c r="A176" s="291" t="s">
        <v>549</v>
      </c>
      <c r="B176" s="330">
        <f t="shared" ref="B176:B177" si="122">+V176</f>
        <v>0.06</v>
      </c>
      <c r="C176" s="179">
        <f t="shared" ref="C176:C196" si="123">T176</f>
        <v>17.03</v>
      </c>
      <c r="D176" s="179">
        <f t="shared" ref="D176:D196" si="124">U176</f>
        <v>17.329999999999998</v>
      </c>
      <c r="E176" s="179">
        <f t="shared" si="99"/>
        <v>9.1556816000258917E-2</v>
      </c>
      <c r="F176" s="90">
        <f t="shared" si="100"/>
        <v>0.20844318399973716</v>
      </c>
      <c r="G176" s="292">
        <f t="shared" si="101"/>
        <v>1.2200000000000001E-2</v>
      </c>
      <c r="H176" s="288">
        <f t="shared" ref="H176:H177" si="125">+W176</f>
        <v>-2.9429553486314368E-2</v>
      </c>
      <c r="I176" s="288">
        <f t="shared" ref="I176:I177" si="126">+X176</f>
        <v>0.45685107920605356</v>
      </c>
      <c r="J176" s="288">
        <f t="shared" si="102"/>
        <v>17.548978341720002</v>
      </c>
      <c r="K176" s="288">
        <f t="shared" ref="K176:K196" si="127">+D176+H176+I176</f>
        <v>17.757421525719739</v>
      </c>
      <c r="L176" s="292">
        <f t="shared" si="103"/>
        <v>1.1900000000000001E-2</v>
      </c>
      <c r="M176" s="179">
        <f t="shared" si="104"/>
        <v>-1.5014400000000001E-2</v>
      </c>
      <c r="N176" s="90">
        <f t="shared" si="105"/>
        <v>17.74240712571974</v>
      </c>
      <c r="O176" s="91">
        <f t="shared" si="106"/>
        <v>1.0999999999999999E-2</v>
      </c>
      <c r="P176" s="29"/>
      <c r="Q176" s="29"/>
      <c r="R176" s="29">
        <v>440</v>
      </c>
      <c r="S176" s="118" t="s">
        <v>153</v>
      </c>
      <c r="T176" s="121">
        <f>VLOOKUP($R176,INPUT!$AB$9:$AF$130,3,FALSE)</f>
        <v>17.03</v>
      </c>
      <c r="U176" s="121">
        <f>VLOOKUP($R176,INPUT!$AB$9:$AF$130,4,FALSE)</f>
        <v>17.329999999999998</v>
      </c>
      <c r="V176" s="29">
        <f>VLOOKUP($R176,INPUT!$AB$9:$AF$130,5,FALSE)</f>
        <v>0.06</v>
      </c>
      <c r="W176" s="97">
        <f>($V176*INPUT!$S$70)*INPUT!$H$76</f>
        <v>-2.9429553486314368E-2</v>
      </c>
      <c r="X176" s="97">
        <f>($V176*INPUT!$S$70)*INPUT!$J$76</f>
        <v>0.45685107920605356</v>
      </c>
      <c r="Y176" s="98">
        <f t="shared" ref="Y176:Y177" si="128">+T176+W176+X176</f>
        <v>17.457421525719742</v>
      </c>
      <c r="Z176" s="98">
        <f t="shared" ref="Z176:Z177" si="129">+U176+W176+X176</f>
        <v>17.757421525719739</v>
      </c>
      <c r="AA176" s="97">
        <f>($V176*INPUT!$S$70)*$AA$19</f>
        <v>9.1556816000258917E-2</v>
      </c>
      <c r="AB176" s="97">
        <f>($V176*INPUT!$S$70)*$AB$19</f>
        <v>-1.5014400000000001E-2</v>
      </c>
    </row>
    <row r="177" spans="1:28" ht="13" thickBot="1" x14ac:dyDescent="0.3">
      <c r="A177" s="291" t="s">
        <v>550</v>
      </c>
      <c r="B177" s="330">
        <f t="shared" si="122"/>
        <v>0.06</v>
      </c>
      <c r="C177" s="179">
        <f t="shared" si="123"/>
        <v>24.27</v>
      </c>
      <c r="D177" s="179">
        <f t="shared" si="124"/>
        <v>24.69</v>
      </c>
      <c r="E177" s="179">
        <f t="shared" si="99"/>
        <v>9.1556816000258917E-2</v>
      </c>
      <c r="F177" s="90">
        <f t="shared" si="100"/>
        <v>0.32844318399974171</v>
      </c>
      <c r="G177" s="292">
        <f t="shared" si="101"/>
        <v>1.35E-2</v>
      </c>
      <c r="H177" s="288">
        <f t="shared" si="125"/>
        <v>-2.9429553486314368E-2</v>
      </c>
      <c r="I177" s="288">
        <f t="shared" si="126"/>
        <v>0.45685107920605356</v>
      </c>
      <c r="J177" s="288">
        <f t="shared" si="102"/>
        <v>24.78897834172</v>
      </c>
      <c r="K177" s="288">
        <f t="shared" si="127"/>
        <v>25.117421525719742</v>
      </c>
      <c r="L177" s="292">
        <f t="shared" si="103"/>
        <v>1.32E-2</v>
      </c>
      <c r="M177" s="179">
        <f t="shared" si="104"/>
        <v>-1.5014400000000001E-2</v>
      </c>
      <c r="N177" s="90">
        <f t="shared" si="105"/>
        <v>25.102407125719743</v>
      </c>
      <c r="O177" s="91">
        <f t="shared" si="106"/>
        <v>1.26E-2</v>
      </c>
      <c r="P177" s="29"/>
      <c r="Q177" s="29"/>
      <c r="R177" s="29">
        <v>410</v>
      </c>
      <c r="S177" s="119" t="s">
        <v>154</v>
      </c>
      <c r="T177" s="121">
        <f>VLOOKUP($R177,INPUT!$AB$9:$AF$130,3,FALSE)</f>
        <v>24.27</v>
      </c>
      <c r="U177" s="121">
        <f>VLOOKUP($R177,INPUT!$AB$9:$AF$130,4,FALSE)</f>
        <v>24.69</v>
      </c>
      <c r="V177" s="29">
        <f>VLOOKUP($R177,INPUT!$AB$9:$AF$130,5,FALSE)</f>
        <v>0.06</v>
      </c>
      <c r="W177" s="97">
        <f>($V177*INPUT!$S$70)*INPUT!$H$76</f>
        <v>-2.9429553486314368E-2</v>
      </c>
      <c r="X177" s="97">
        <f>($V177*INPUT!$S$70)*INPUT!$J$76</f>
        <v>0.45685107920605356</v>
      </c>
      <c r="Y177" s="98">
        <f t="shared" si="128"/>
        <v>24.69742152571974</v>
      </c>
      <c r="Z177" s="98">
        <f t="shared" si="129"/>
        <v>25.117421525719742</v>
      </c>
      <c r="AA177" s="97">
        <f>($V177*INPUT!$S$70)*$AA$19</f>
        <v>9.1556816000258917E-2</v>
      </c>
      <c r="AB177" s="97">
        <f>($V177*INPUT!$S$70)*$AB$19</f>
        <v>-1.5014400000000001E-2</v>
      </c>
    </row>
    <row r="178" spans="1:28" ht="13" thickBot="1" x14ac:dyDescent="0.3">
      <c r="A178" s="293" t="s">
        <v>551</v>
      </c>
      <c r="B178" s="330">
        <f t="shared" ref="B178:B198" si="130">+V178</f>
        <v>8.3000000000000004E-2</v>
      </c>
      <c r="C178" s="179">
        <f t="shared" si="123"/>
        <v>18.14</v>
      </c>
      <c r="D178" s="179">
        <f t="shared" si="124"/>
        <v>18.45</v>
      </c>
      <c r="E178" s="179">
        <f t="shared" si="99"/>
        <v>0.12665359546702484</v>
      </c>
      <c r="F178" s="90">
        <f t="shared" si="100"/>
        <v>0.18334640453297268</v>
      </c>
      <c r="G178" s="292">
        <f t="shared" si="101"/>
        <v>1.01E-2</v>
      </c>
      <c r="H178" s="288">
        <f t="shared" ref="H178:H196" si="131">+W178</f>
        <v>-4.0710882322734884E-2</v>
      </c>
      <c r="I178" s="288">
        <f t="shared" ref="I178:I196" si="132">+X178</f>
        <v>0.63197732623504077</v>
      </c>
      <c r="J178" s="288">
        <f t="shared" si="102"/>
        <v>18.857920039379334</v>
      </c>
      <c r="K178" s="288">
        <f t="shared" si="127"/>
        <v>19.041266443912306</v>
      </c>
      <c r="L178" s="292">
        <f t="shared" si="103"/>
        <v>9.7000000000000003E-3</v>
      </c>
      <c r="M178" s="179">
        <f t="shared" si="104"/>
        <v>-2.0769920000000001E-2</v>
      </c>
      <c r="N178" s="90">
        <f t="shared" si="105"/>
        <v>19.020496523912307</v>
      </c>
      <c r="O178" s="91">
        <f t="shared" si="106"/>
        <v>8.6E-3</v>
      </c>
      <c r="P178" s="29"/>
      <c r="Q178" s="29"/>
      <c r="R178" s="29">
        <v>401</v>
      </c>
      <c r="S178" s="111" t="s">
        <v>106</v>
      </c>
      <c r="T178" s="121">
        <f>VLOOKUP($R178,INPUT!$AB$9:$AF$130,3,FALSE)</f>
        <v>18.14</v>
      </c>
      <c r="U178" s="121">
        <f>VLOOKUP($R178,INPUT!$AB$9:$AF$130,4,FALSE)</f>
        <v>18.45</v>
      </c>
      <c r="V178" s="29">
        <f>VLOOKUP($R178,INPUT!$AB$9:$AF$130,5,FALSE)</f>
        <v>8.3000000000000004E-2</v>
      </c>
      <c r="W178" s="97">
        <f>($V178*INPUT!$S$70)*INPUT!$H$76</f>
        <v>-4.0710882322734884E-2</v>
      </c>
      <c r="X178" s="97">
        <f>($V178*INPUT!$S$70)*INPUT!$J$76</f>
        <v>0.63197732623504077</v>
      </c>
      <c r="Y178" s="98">
        <f t="shared" ref="Y178:Y184" si="133">+T178+W178+X178</f>
        <v>18.731266443912308</v>
      </c>
      <c r="Z178" s="98">
        <f t="shared" ref="Z178:Z184" si="134">+U178+W178+X178</f>
        <v>19.041266443912306</v>
      </c>
      <c r="AA178" s="97">
        <f>($V178*INPUT!$S$70)*$AA$19</f>
        <v>0.12665359546702484</v>
      </c>
      <c r="AB178" s="97">
        <f>($V178*INPUT!$S$70)*$AB$19</f>
        <v>-2.0769920000000001E-2</v>
      </c>
    </row>
    <row r="179" spans="1:28" ht="13" thickBot="1" x14ac:dyDescent="0.3">
      <c r="A179" s="293" t="s">
        <v>552</v>
      </c>
      <c r="B179" s="330">
        <f t="shared" si="130"/>
        <v>8.3000000000000004E-2</v>
      </c>
      <c r="C179" s="179">
        <f t="shared" si="123"/>
        <v>25.76</v>
      </c>
      <c r="D179" s="179">
        <f t="shared" si="124"/>
        <v>26.21</v>
      </c>
      <c r="E179" s="179">
        <f t="shared" si="99"/>
        <v>0.12665359546702484</v>
      </c>
      <c r="F179" s="90">
        <f t="shared" si="100"/>
        <v>0.32334640453297325</v>
      </c>
      <c r="G179" s="292">
        <f t="shared" si="101"/>
        <v>1.26E-2</v>
      </c>
      <c r="H179" s="288">
        <f t="shared" si="131"/>
        <v>-4.0710882322734884E-2</v>
      </c>
      <c r="I179" s="288">
        <f t="shared" si="132"/>
        <v>0.63197732623504077</v>
      </c>
      <c r="J179" s="288">
        <f t="shared" si="102"/>
        <v>26.477920039379335</v>
      </c>
      <c r="K179" s="288">
        <f t="shared" si="127"/>
        <v>26.801266443912308</v>
      </c>
      <c r="L179" s="292">
        <f t="shared" si="103"/>
        <v>1.2200000000000001E-2</v>
      </c>
      <c r="M179" s="179">
        <f t="shared" si="104"/>
        <v>-2.0769920000000001E-2</v>
      </c>
      <c r="N179" s="90">
        <f t="shared" si="105"/>
        <v>26.780496523912309</v>
      </c>
      <c r="O179" s="91">
        <f t="shared" si="106"/>
        <v>1.14E-2</v>
      </c>
      <c r="P179" s="29"/>
      <c r="Q179" s="29"/>
      <c r="R179" s="29">
        <v>411</v>
      </c>
      <c r="S179" s="111" t="s">
        <v>107</v>
      </c>
      <c r="T179" s="121">
        <f>VLOOKUP($R179,INPUT!$AB$9:$AF$130,3,FALSE)</f>
        <v>25.76</v>
      </c>
      <c r="U179" s="121">
        <f>VLOOKUP($R179,INPUT!$AB$9:$AF$130,4,FALSE)</f>
        <v>26.21</v>
      </c>
      <c r="V179" s="29">
        <f>VLOOKUP($R179,INPUT!$AB$9:$AF$130,5,FALSE)</f>
        <v>8.3000000000000004E-2</v>
      </c>
      <c r="W179" s="97">
        <f>($V179*INPUT!$S$70)*INPUT!$H$76</f>
        <v>-4.0710882322734884E-2</v>
      </c>
      <c r="X179" s="97">
        <f>($V179*INPUT!$S$70)*INPUT!$J$76</f>
        <v>0.63197732623504077</v>
      </c>
      <c r="Y179" s="98">
        <f t="shared" si="133"/>
        <v>26.351266443912309</v>
      </c>
      <c r="Z179" s="98">
        <f t="shared" si="134"/>
        <v>26.801266443912308</v>
      </c>
      <c r="AA179" s="97">
        <f>($V179*INPUT!$S$70)*$AA$19</f>
        <v>0.12665359546702484</v>
      </c>
      <c r="AB179" s="97">
        <f>($V179*INPUT!$S$70)*$AB$19</f>
        <v>-2.0769920000000001E-2</v>
      </c>
    </row>
    <row r="180" spans="1:28" ht="13" thickBot="1" x14ac:dyDescent="0.3">
      <c r="A180" s="293" t="s">
        <v>553</v>
      </c>
      <c r="B180" s="330">
        <f t="shared" si="130"/>
        <v>0.11700000000000001</v>
      </c>
      <c r="C180" s="179">
        <f t="shared" si="123"/>
        <v>18.46</v>
      </c>
      <c r="D180" s="179">
        <f t="shared" si="124"/>
        <v>18.78</v>
      </c>
      <c r="E180" s="179">
        <f t="shared" si="99"/>
        <v>0.17853579120050492</v>
      </c>
      <c r="F180" s="90">
        <f t="shared" si="100"/>
        <v>0.14146420879949417</v>
      </c>
      <c r="G180" s="292">
        <f t="shared" si="101"/>
        <v>7.7000000000000002E-3</v>
      </c>
      <c r="H180" s="288">
        <f t="shared" si="131"/>
        <v>-5.738762929831303E-2</v>
      </c>
      <c r="I180" s="288">
        <f t="shared" si="132"/>
        <v>0.89085960445180457</v>
      </c>
      <c r="J180" s="288">
        <f t="shared" si="102"/>
        <v>19.472007766354</v>
      </c>
      <c r="K180" s="288">
        <f t="shared" si="127"/>
        <v>19.613471975153494</v>
      </c>
      <c r="L180" s="292">
        <f t="shared" si="103"/>
        <v>7.3000000000000001E-3</v>
      </c>
      <c r="M180" s="179">
        <f t="shared" si="104"/>
        <v>-2.9278080000000005E-2</v>
      </c>
      <c r="N180" s="90">
        <f t="shared" si="105"/>
        <v>19.584193895153494</v>
      </c>
      <c r="O180" s="91">
        <f t="shared" si="106"/>
        <v>5.7999999999999996E-3</v>
      </c>
      <c r="P180" s="29"/>
      <c r="Q180" s="29"/>
      <c r="R180" s="29">
        <v>420</v>
      </c>
      <c r="S180" s="100" t="s">
        <v>108</v>
      </c>
      <c r="T180" s="121">
        <f>VLOOKUP($R180,INPUT!$AB$9:$AF$130,3,FALSE)</f>
        <v>18.46</v>
      </c>
      <c r="U180" s="121">
        <f>VLOOKUP($R180,INPUT!$AB$9:$AF$130,4,FALSE)</f>
        <v>18.78</v>
      </c>
      <c r="V180" s="29">
        <f>VLOOKUP($R180,INPUT!$AB$9:$AF$130,5,FALSE)</f>
        <v>0.11700000000000001</v>
      </c>
      <c r="W180" s="97">
        <f>($V180*INPUT!$S$70)*INPUT!$H$76</f>
        <v>-5.738762929831303E-2</v>
      </c>
      <c r="X180" s="97">
        <f>($V180*INPUT!$S$70)*INPUT!$J$76</f>
        <v>0.89085960445180457</v>
      </c>
      <c r="Y180" s="98">
        <f t="shared" si="133"/>
        <v>19.293471975153494</v>
      </c>
      <c r="Z180" s="98">
        <f t="shared" si="134"/>
        <v>19.613471975153494</v>
      </c>
      <c r="AA180" s="97">
        <f>($V180*INPUT!$S$70)*$AA$19</f>
        <v>0.17853579120050492</v>
      </c>
      <c r="AB180" s="97">
        <f>($V180*INPUT!$S$70)*$AB$19</f>
        <v>-2.9278080000000005E-2</v>
      </c>
    </row>
    <row r="181" spans="1:28" ht="13" thickBot="1" x14ac:dyDescent="0.3">
      <c r="A181" s="293" t="s">
        <v>554</v>
      </c>
      <c r="B181" s="330">
        <f t="shared" si="130"/>
        <v>0.11700000000000001</v>
      </c>
      <c r="C181" s="179">
        <f t="shared" si="123"/>
        <v>26.21</v>
      </c>
      <c r="D181" s="179">
        <f t="shared" si="124"/>
        <v>26.67</v>
      </c>
      <c r="E181" s="179">
        <f t="shared" si="99"/>
        <v>0.17853579120050492</v>
      </c>
      <c r="F181" s="90">
        <f t="shared" si="100"/>
        <v>0.28146420879949474</v>
      </c>
      <c r="G181" s="292">
        <f t="shared" si="101"/>
        <v>1.0699999999999999E-2</v>
      </c>
      <c r="H181" s="288">
        <f t="shared" si="131"/>
        <v>-5.738762929831303E-2</v>
      </c>
      <c r="I181" s="288">
        <f t="shared" si="132"/>
        <v>0.89085960445180457</v>
      </c>
      <c r="J181" s="288">
        <f t="shared" si="102"/>
        <v>27.222007766354</v>
      </c>
      <c r="K181" s="288">
        <f t="shared" si="127"/>
        <v>27.503471975153495</v>
      </c>
      <c r="L181" s="292">
        <f t="shared" si="103"/>
        <v>1.03E-2</v>
      </c>
      <c r="M181" s="179">
        <f t="shared" si="104"/>
        <v>-2.9278080000000005E-2</v>
      </c>
      <c r="N181" s="90">
        <f t="shared" si="105"/>
        <v>27.474193895153494</v>
      </c>
      <c r="O181" s="91">
        <f t="shared" si="106"/>
        <v>9.2999999999999992E-3</v>
      </c>
      <c r="P181" s="29"/>
      <c r="Q181" s="29"/>
      <c r="R181" s="29">
        <v>430</v>
      </c>
      <c r="S181" s="110" t="s">
        <v>109</v>
      </c>
      <c r="T181" s="121">
        <f>VLOOKUP($R181,INPUT!$AB$9:$AF$130,3,FALSE)</f>
        <v>26.21</v>
      </c>
      <c r="U181" s="121">
        <f>VLOOKUP($R181,INPUT!$AB$9:$AF$130,4,FALSE)</f>
        <v>26.67</v>
      </c>
      <c r="V181" s="29">
        <f>VLOOKUP($R181,INPUT!$AB$9:$AF$130,5,FALSE)</f>
        <v>0.11700000000000001</v>
      </c>
      <c r="W181" s="97">
        <f>($V181*INPUT!$S$70)*INPUT!$H$76</f>
        <v>-5.738762929831303E-2</v>
      </c>
      <c r="X181" s="97">
        <f>($V181*INPUT!$S$70)*INPUT!$J$76</f>
        <v>0.89085960445180457</v>
      </c>
      <c r="Y181" s="98">
        <f t="shared" si="133"/>
        <v>27.043471975153494</v>
      </c>
      <c r="Z181" s="98">
        <f t="shared" si="134"/>
        <v>27.503471975153495</v>
      </c>
      <c r="AA181" s="97">
        <f>($V181*INPUT!$S$70)*$AA$19</f>
        <v>0.17853579120050492</v>
      </c>
      <c r="AB181" s="97">
        <f>($V181*INPUT!$S$70)*$AB$19</f>
        <v>-2.9278080000000005E-2</v>
      </c>
    </row>
    <row r="182" spans="1:28" ht="13" thickBot="1" x14ac:dyDescent="0.3">
      <c r="A182" s="291" t="s">
        <v>555</v>
      </c>
      <c r="B182" s="330">
        <f t="shared" si="130"/>
        <v>0.06</v>
      </c>
      <c r="C182" s="179">
        <f t="shared" si="123"/>
        <v>11.85</v>
      </c>
      <c r="D182" s="179">
        <f t="shared" si="124"/>
        <v>12.06</v>
      </c>
      <c r="E182" s="179">
        <f t="shared" si="99"/>
        <v>9.1556816000258917E-2</v>
      </c>
      <c r="F182" s="90">
        <f t="shared" si="100"/>
        <v>0.11844318399974263</v>
      </c>
      <c r="G182" s="292">
        <f t="shared" si="101"/>
        <v>0.01</v>
      </c>
      <c r="H182" s="288">
        <f t="shared" si="131"/>
        <v>-2.9429553486314368E-2</v>
      </c>
      <c r="I182" s="288">
        <f t="shared" si="132"/>
        <v>0.45685107920605356</v>
      </c>
      <c r="J182" s="288">
        <f t="shared" si="102"/>
        <v>12.368978341719997</v>
      </c>
      <c r="K182" s="288">
        <f t="shared" si="127"/>
        <v>12.487421525719739</v>
      </c>
      <c r="L182" s="292">
        <f t="shared" si="103"/>
        <v>9.5999999999999992E-3</v>
      </c>
      <c r="M182" s="179">
        <f t="shared" si="104"/>
        <v>-1.5014400000000001E-2</v>
      </c>
      <c r="N182" s="90">
        <f t="shared" si="105"/>
        <v>12.472407125719739</v>
      </c>
      <c r="O182" s="91">
        <f t="shared" si="106"/>
        <v>8.3999999999999995E-3</v>
      </c>
      <c r="P182" s="29"/>
      <c r="Q182" s="29"/>
      <c r="R182" s="29">
        <v>466</v>
      </c>
      <c r="S182" s="119" t="s">
        <v>155</v>
      </c>
      <c r="T182" s="121">
        <f>VLOOKUP($R182,INPUT!$AB$9:$AF$130,3,FALSE)</f>
        <v>11.85</v>
      </c>
      <c r="U182" s="121">
        <f>VLOOKUP($R182,INPUT!$AB$9:$AF$130,4,FALSE)</f>
        <v>12.06</v>
      </c>
      <c r="V182" s="29">
        <f>VLOOKUP($R182,INPUT!$AB$9:$AF$130,5,FALSE)</f>
        <v>0.06</v>
      </c>
      <c r="W182" s="97">
        <f>($V182*INPUT!$S$70)*INPUT!$H$76</f>
        <v>-2.9429553486314368E-2</v>
      </c>
      <c r="X182" s="97">
        <f>($V182*INPUT!$S$70)*INPUT!$J$76</f>
        <v>0.45685107920605356</v>
      </c>
      <c r="Y182" s="98">
        <f t="shared" si="133"/>
        <v>12.277421525719738</v>
      </c>
      <c r="Z182" s="98">
        <f t="shared" si="134"/>
        <v>12.487421525719739</v>
      </c>
      <c r="AA182" s="97">
        <f>($V182*INPUT!$S$70)*$AA$19</f>
        <v>9.1556816000258917E-2</v>
      </c>
      <c r="AB182" s="97">
        <f>($V182*INPUT!$S$70)*$AB$19</f>
        <v>-1.5014400000000001E-2</v>
      </c>
    </row>
    <row r="183" spans="1:28" ht="13" thickBot="1" x14ac:dyDescent="0.3">
      <c r="A183" s="291" t="s">
        <v>556</v>
      </c>
      <c r="B183" s="330">
        <f t="shared" si="130"/>
        <v>8.3000000000000004E-2</v>
      </c>
      <c r="C183" s="179">
        <f t="shared" si="123"/>
        <v>35.68</v>
      </c>
      <c r="D183" s="179">
        <f t="shared" si="124"/>
        <v>36.299999999999997</v>
      </c>
      <c r="E183" s="179">
        <f t="shared" si="99"/>
        <v>0.12665359546702484</v>
      </c>
      <c r="F183" s="90">
        <f t="shared" si="100"/>
        <v>0.49334640453297141</v>
      </c>
      <c r="G183" s="292">
        <f t="shared" si="101"/>
        <v>1.38E-2</v>
      </c>
      <c r="H183" s="288">
        <f t="shared" si="131"/>
        <v>-4.0710882322734884E-2</v>
      </c>
      <c r="I183" s="288">
        <f t="shared" si="132"/>
        <v>0.63197732623504077</v>
      </c>
      <c r="J183" s="288">
        <f t="shared" si="102"/>
        <v>36.397920039379329</v>
      </c>
      <c r="K183" s="288">
        <f t="shared" si="127"/>
        <v>36.891266443912301</v>
      </c>
      <c r="L183" s="292">
        <f t="shared" si="103"/>
        <v>1.3599999999999999E-2</v>
      </c>
      <c r="M183" s="179">
        <f t="shared" si="104"/>
        <v>-2.0769920000000001E-2</v>
      </c>
      <c r="N183" s="90">
        <f t="shared" si="105"/>
        <v>36.870496523912301</v>
      </c>
      <c r="O183" s="91">
        <f t="shared" si="106"/>
        <v>1.2999999999999999E-2</v>
      </c>
      <c r="P183" s="29"/>
      <c r="Q183" s="29"/>
      <c r="R183" s="29">
        <v>412</v>
      </c>
      <c r="S183" s="115" t="s">
        <v>156</v>
      </c>
      <c r="T183" s="121">
        <f>VLOOKUP($R183,INPUT!$AB$9:$AF$130,3,FALSE)</f>
        <v>35.68</v>
      </c>
      <c r="U183" s="121">
        <f>VLOOKUP($R183,INPUT!$AB$9:$AF$130,4,FALSE)</f>
        <v>36.299999999999997</v>
      </c>
      <c r="V183" s="29">
        <f>VLOOKUP($R183,INPUT!$AB$9:$AF$130,5,FALSE)</f>
        <v>8.3000000000000004E-2</v>
      </c>
      <c r="W183" s="97">
        <f>($V183*INPUT!$S$70)*INPUT!$H$76</f>
        <v>-4.0710882322734884E-2</v>
      </c>
      <c r="X183" s="97">
        <f>($V183*INPUT!$S$70)*INPUT!$J$76</f>
        <v>0.63197732623504077</v>
      </c>
      <c r="Y183" s="98">
        <f t="shared" si="133"/>
        <v>36.271266443912303</v>
      </c>
      <c r="Z183" s="98">
        <f t="shared" si="134"/>
        <v>36.891266443912301</v>
      </c>
      <c r="AA183" s="97">
        <f>($V183*INPUT!$S$70)*$AA$19</f>
        <v>0.12665359546702484</v>
      </c>
      <c r="AB183" s="97">
        <f>($V183*INPUT!$S$70)*$AB$19</f>
        <v>-2.0769920000000001E-2</v>
      </c>
    </row>
    <row r="184" spans="1:28" ht="13" thickBot="1" x14ac:dyDescent="0.3">
      <c r="A184" s="291" t="s">
        <v>557</v>
      </c>
      <c r="B184" s="330">
        <f t="shared" si="130"/>
        <v>0.11700000000000001</v>
      </c>
      <c r="C184" s="179">
        <f t="shared" si="123"/>
        <v>35.86</v>
      </c>
      <c r="D184" s="179">
        <f t="shared" si="124"/>
        <v>36.49</v>
      </c>
      <c r="E184" s="179">
        <f t="shared" si="99"/>
        <v>0.17853579120050492</v>
      </c>
      <c r="F184" s="90">
        <f t="shared" si="100"/>
        <v>0.4514642087995</v>
      </c>
      <c r="G184" s="292">
        <f t="shared" si="101"/>
        <v>1.26E-2</v>
      </c>
      <c r="H184" s="288">
        <f t="shared" si="131"/>
        <v>-5.738762929831303E-2</v>
      </c>
      <c r="I184" s="288">
        <f t="shared" si="132"/>
        <v>0.89085960445180457</v>
      </c>
      <c r="J184" s="288">
        <f t="shared" si="102"/>
        <v>36.872007766353995</v>
      </c>
      <c r="K184" s="288">
        <f t="shared" si="127"/>
        <v>37.323471975153495</v>
      </c>
      <c r="L184" s="292">
        <f t="shared" si="103"/>
        <v>1.2200000000000001E-2</v>
      </c>
      <c r="M184" s="179">
        <f t="shared" si="104"/>
        <v>-2.9278080000000005E-2</v>
      </c>
      <c r="N184" s="90">
        <f t="shared" si="105"/>
        <v>37.294193895153498</v>
      </c>
      <c r="O184" s="91">
        <f t="shared" si="106"/>
        <v>1.15E-2</v>
      </c>
      <c r="P184" s="29"/>
      <c r="Q184" s="29"/>
      <c r="R184" s="29">
        <v>413</v>
      </c>
      <c r="S184" s="120" t="s">
        <v>157</v>
      </c>
      <c r="T184" s="121">
        <f>VLOOKUP($R184,INPUT!$AB$9:$AF$130,3,FALSE)</f>
        <v>35.86</v>
      </c>
      <c r="U184" s="121">
        <f>VLOOKUP($R184,INPUT!$AB$9:$AF$130,4,FALSE)</f>
        <v>36.49</v>
      </c>
      <c r="V184" s="29">
        <f>VLOOKUP($R184,INPUT!$AB$9:$AF$130,5,FALSE)</f>
        <v>0.11700000000000001</v>
      </c>
      <c r="W184" s="97">
        <f>($V184*INPUT!$S$70)*INPUT!$H$76</f>
        <v>-5.738762929831303E-2</v>
      </c>
      <c r="X184" s="97">
        <f>($V184*INPUT!$S$70)*INPUT!$J$76</f>
        <v>0.89085960445180457</v>
      </c>
      <c r="Y184" s="98">
        <f t="shared" si="133"/>
        <v>36.693471975153493</v>
      </c>
      <c r="Z184" s="98">
        <f t="shared" si="134"/>
        <v>37.323471975153495</v>
      </c>
      <c r="AA184" s="97">
        <f>($V184*INPUT!$S$70)*$AA$19</f>
        <v>0.17853579120050492</v>
      </c>
      <c r="AB184" s="97">
        <f>($V184*INPUT!$S$70)*$AB$19</f>
        <v>-2.9278080000000005E-2</v>
      </c>
    </row>
    <row r="185" spans="1:28" ht="13" thickBot="1" x14ac:dyDescent="0.3">
      <c r="A185" s="293" t="s">
        <v>558</v>
      </c>
      <c r="B185" s="330">
        <f t="shared" si="130"/>
        <v>8.3000000000000004E-2</v>
      </c>
      <c r="C185" s="179">
        <f t="shared" si="123"/>
        <v>13.38</v>
      </c>
      <c r="D185" s="179">
        <f t="shared" si="124"/>
        <v>13.61</v>
      </c>
      <c r="E185" s="179">
        <f t="shared" si="99"/>
        <v>0.12665359546702484</v>
      </c>
      <c r="F185" s="90">
        <f t="shared" si="100"/>
        <v>0.10334640453297439</v>
      </c>
      <c r="G185" s="292">
        <f t="shared" si="101"/>
        <v>7.7000000000000002E-3</v>
      </c>
      <c r="H185" s="288">
        <f t="shared" si="131"/>
        <v>-4.0710882322734884E-2</v>
      </c>
      <c r="I185" s="288">
        <f t="shared" si="132"/>
        <v>0.63197732623504077</v>
      </c>
      <c r="J185" s="288">
        <f t="shared" si="102"/>
        <v>14.097920039379332</v>
      </c>
      <c r="K185" s="288">
        <f t="shared" si="127"/>
        <v>14.201266443912306</v>
      </c>
      <c r="L185" s="292">
        <f t="shared" si="103"/>
        <v>7.3000000000000001E-3</v>
      </c>
      <c r="M185" s="179">
        <f t="shared" si="104"/>
        <v>-2.0769920000000001E-2</v>
      </c>
      <c r="N185" s="90">
        <f t="shared" si="105"/>
        <v>14.180496523912307</v>
      </c>
      <c r="O185" s="91">
        <f t="shared" si="106"/>
        <v>5.8999999999999999E-3</v>
      </c>
      <c r="P185" s="29"/>
      <c r="Q185" s="29"/>
      <c r="R185" s="29">
        <v>467</v>
      </c>
      <c r="S185" s="110" t="s">
        <v>104</v>
      </c>
      <c r="T185" s="121">
        <f>VLOOKUP($R185,INPUT!$AB$9:$AF$130,3,FALSE)</f>
        <v>13.38</v>
      </c>
      <c r="U185" s="121">
        <f>VLOOKUP($R185,INPUT!$AB$9:$AF$130,4,FALSE)</f>
        <v>13.61</v>
      </c>
      <c r="V185" s="29">
        <f>VLOOKUP($R185,INPUT!$AB$9:$AF$130,5,FALSE)</f>
        <v>8.3000000000000004E-2</v>
      </c>
      <c r="W185" s="97">
        <f>($V185*INPUT!$S$70)*INPUT!$H$76</f>
        <v>-4.0710882322734884E-2</v>
      </c>
      <c r="X185" s="97">
        <f>($V185*INPUT!$S$70)*INPUT!$J$76</f>
        <v>0.63197732623504077</v>
      </c>
      <c r="Y185" s="98">
        <f t="shared" ref="Y185:Y186" si="135">+T185+W185+X185</f>
        <v>13.971266443912306</v>
      </c>
      <c r="Z185" s="98">
        <f t="shared" ref="Z185:Z186" si="136">+U185+W185+X185</f>
        <v>14.201266443912306</v>
      </c>
      <c r="AA185" s="97">
        <f>($V185*INPUT!$S$70)*$AA$19</f>
        <v>0.12665359546702484</v>
      </c>
      <c r="AB185" s="97">
        <f>($V185*INPUT!$S$70)*$AB$19</f>
        <v>-2.0769920000000001E-2</v>
      </c>
    </row>
    <row r="186" spans="1:28" ht="13" thickBot="1" x14ac:dyDescent="0.3">
      <c r="A186" s="293" t="s">
        <v>559</v>
      </c>
      <c r="B186" s="330">
        <f t="shared" si="130"/>
        <v>0.11700000000000001</v>
      </c>
      <c r="C186" s="179">
        <f t="shared" si="123"/>
        <v>13.56</v>
      </c>
      <c r="D186" s="179">
        <f t="shared" si="124"/>
        <v>13.8</v>
      </c>
      <c r="E186" s="179">
        <f t="shared" si="99"/>
        <v>0.17853579120050492</v>
      </c>
      <c r="F186" s="90">
        <f t="shared" si="100"/>
        <v>6.1464208799495879E-2</v>
      </c>
      <c r="G186" s="292">
        <f t="shared" si="101"/>
        <v>4.4999999999999997E-3</v>
      </c>
      <c r="H186" s="288">
        <f t="shared" si="131"/>
        <v>-5.738762929831303E-2</v>
      </c>
      <c r="I186" s="288">
        <f t="shared" si="132"/>
        <v>0.89085960445180457</v>
      </c>
      <c r="J186" s="288">
        <f t="shared" si="102"/>
        <v>14.572007766353996</v>
      </c>
      <c r="K186" s="288">
        <f t="shared" si="127"/>
        <v>14.633471975153492</v>
      </c>
      <c r="L186" s="292">
        <f t="shared" si="103"/>
        <v>4.1999999999999997E-3</v>
      </c>
      <c r="M186" s="179">
        <f t="shared" si="104"/>
        <v>-2.9278080000000005E-2</v>
      </c>
      <c r="N186" s="90">
        <f t="shared" si="105"/>
        <v>14.604193895153493</v>
      </c>
      <c r="O186" s="91">
        <f t="shared" si="106"/>
        <v>2.2000000000000001E-3</v>
      </c>
      <c r="P186" s="29"/>
      <c r="Q186" s="29"/>
      <c r="R186" s="29">
        <v>468</v>
      </c>
      <c r="S186" s="111" t="s">
        <v>105</v>
      </c>
      <c r="T186" s="121">
        <f>VLOOKUP($R186,INPUT!$AB$9:$AF$130,3,FALSE)</f>
        <v>13.56</v>
      </c>
      <c r="U186" s="121">
        <f>VLOOKUP($R186,INPUT!$AB$9:$AF$130,4,FALSE)</f>
        <v>13.8</v>
      </c>
      <c r="V186" s="29">
        <f>VLOOKUP($R186,INPUT!$AB$9:$AF$130,5,FALSE)</f>
        <v>0.11700000000000001</v>
      </c>
      <c r="W186" s="97">
        <f>($V186*INPUT!$S$70)*INPUT!$H$76</f>
        <v>-5.738762929831303E-2</v>
      </c>
      <c r="X186" s="97">
        <f>($V186*INPUT!$S$70)*INPUT!$J$76</f>
        <v>0.89085960445180457</v>
      </c>
      <c r="Y186" s="98">
        <f t="shared" si="135"/>
        <v>14.393471975153492</v>
      </c>
      <c r="Z186" s="98">
        <f t="shared" si="136"/>
        <v>14.633471975153492</v>
      </c>
      <c r="AA186" s="97">
        <f>($V186*INPUT!$S$70)*$AA$19</f>
        <v>0.17853579120050492</v>
      </c>
      <c r="AB186" s="97">
        <f>($V186*INPUT!$S$70)*$AB$19</f>
        <v>-2.9278080000000005E-2</v>
      </c>
    </row>
    <row r="187" spans="1:28" ht="13" thickBot="1" x14ac:dyDescent="0.3">
      <c r="A187" s="293" t="s">
        <v>560</v>
      </c>
      <c r="B187" s="330">
        <f t="shared" si="130"/>
        <v>8.3000000000000004E-2</v>
      </c>
      <c r="C187" s="179">
        <f t="shared" si="123"/>
        <v>18.07</v>
      </c>
      <c r="D187" s="179">
        <f t="shared" si="124"/>
        <v>18.39</v>
      </c>
      <c r="E187" s="179">
        <f t="shared" si="99"/>
        <v>0.12665359546702484</v>
      </c>
      <c r="F187" s="90">
        <f t="shared" si="100"/>
        <v>0.19334640453297425</v>
      </c>
      <c r="G187" s="292">
        <f t="shared" si="101"/>
        <v>1.0699999999999999E-2</v>
      </c>
      <c r="H187" s="288">
        <f t="shared" si="131"/>
        <v>-4.0710882322734884E-2</v>
      </c>
      <c r="I187" s="288">
        <f t="shared" si="132"/>
        <v>0.63197732623504077</v>
      </c>
      <c r="J187" s="288">
        <f t="shared" si="102"/>
        <v>18.787920039379333</v>
      </c>
      <c r="K187" s="288">
        <f t="shared" si="127"/>
        <v>18.981266443912308</v>
      </c>
      <c r="L187" s="292">
        <f t="shared" si="103"/>
        <v>1.03E-2</v>
      </c>
      <c r="M187" s="179">
        <f t="shared" si="104"/>
        <v>-2.0769920000000001E-2</v>
      </c>
      <c r="N187" s="90">
        <f t="shared" si="105"/>
        <v>18.960496523912308</v>
      </c>
      <c r="O187" s="91">
        <f t="shared" si="106"/>
        <v>9.1999999999999998E-3</v>
      </c>
      <c r="P187" s="29"/>
      <c r="Q187" s="29"/>
      <c r="R187" s="29">
        <v>492</v>
      </c>
      <c r="S187" s="111" t="s">
        <v>113</v>
      </c>
      <c r="T187" s="121">
        <f>VLOOKUP($R187,INPUT!$AB$9:$AF$130,3,FALSE)</f>
        <v>18.07</v>
      </c>
      <c r="U187" s="121">
        <f>VLOOKUP($R187,INPUT!$AB$9:$AF$130,4,FALSE)</f>
        <v>18.39</v>
      </c>
      <c r="V187" s="29">
        <f>VLOOKUP($R187,INPUT!$AB$9:$AF$130,5,FALSE)</f>
        <v>8.3000000000000004E-2</v>
      </c>
      <c r="W187" s="97">
        <f>($V187*INPUT!$S$70)*INPUT!$H$76</f>
        <v>-4.0710882322734884E-2</v>
      </c>
      <c r="X187" s="97">
        <f>($V187*INPUT!$S$70)*INPUT!$J$76</f>
        <v>0.63197732623504077</v>
      </c>
      <c r="Y187" s="98">
        <f t="shared" ref="Y187:Y196" si="137">+T187+W187+X187</f>
        <v>18.661266443912307</v>
      </c>
      <c r="Z187" s="98">
        <f t="shared" ref="Z187:Z196" si="138">+U187+W187+X187</f>
        <v>18.981266443912308</v>
      </c>
      <c r="AA187" s="97">
        <f>($V187*INPUT!$S$70)*$AA$19</f>
        <v>0.12665359546702484</v>
      </c>
      <c r="AB187" s="97">
        <f>($V187*INPUT!$S$70)*$AB$19</f>
        <v>-2.0769920000000001E-2</v>
      </c>
    </row>
    <row r="188" spans="1:28" ht="13" thickBot="1" x14ac:dyDescent="0.3">
      <c r="A188" s="293" t="s">
        <v>561</v>
      </c>
      <c r="B188" s="330">
        <f t="shared" si="130"/>
        <v>8.3000000000000004E-2</v>
      </c>
      <c r="C188" s="179">
        <f t="shared" si="123"/>
        <v>20.399999999999999</v>
      </c>
      <c r="D188" s="179">
        <f t="shared" si="124"/>
        <v>20.76</v>
      </c>
      <c r="E188" s="179">
        <f t="shared" si="99"/>
        <v>0.12665359546702484</v>
      </c>
      <c r="F188" s="90">
        <f t="shared" si="100"/>
        <v>0.23334640453297695</v>
      </c>
      <c r="G188" s="292">
        <f t="shared" si="101"/>
        <v>1.14E-2</v>
      </c>
      <c r="H188" s="288">
        <f t="shared" si="131"/>
        <v>-4.0710882322734884E-2</v>
      </c>
      <c r="I188" s="288">
        <f t="shared" si="132"/>
        <v>0.63197732623504077</v>
      </c>
      <c r="J188" s="288">
        <f t="shared" si="102"/>
        <v>21.117920039379332</v>
      </c>
      <c r="K188" s="288">
        <f t="shared" si="127"/>
        <v>21.351266443912309</v>
      </c>
      <c r="L188" s="292">
        <f t="shared" si="103"/>
        <v>1.0999999999999999E-2</v>
      </c>
      <c r="M188" s="179">
        <f t="shared" si="104"/>
        <v>-2.0769920000000001E-2</v>
      </c>
      <c r="N188" s="90">
        <f t="shared" si="105"/>
        <v>21.330496523912309</v>
      </c>
      <c r="O188" s="91">
        <f t="shared" si="106"/>
        <v>1.01E-2</v>
      </c>
      <c r="P188" s="29"/>
      <c r="Q188" s="29"/>
      <c r="R188" s="29">
        <v>476</v>
      </c>
      <c r="S188" s="111" t="s">
        <v>112</v>
      </c>
      <c r="T188" s="121">
        <f>VLOOKUP($R188,INPUT!$AB$9:$AF$130,3,FALSE)</f>
        <v>20.399999999999999</v>
      </c>
      <c r="U188" s="121">
        <f>VLOOKUP($R188,INPUT!$AB$9:$AF$130,4,FALSE)</f>
        <v>20.76</v>
      </c>
      <c r="V188" s="29">
        <f>VLOOKUP($R188,INPUT!$AB$9:$AF$130,5,FALSE)</f>
        <v>8.3000000000000004E-2</v>
      </c>
      <c r="W188" s="97">
        <f>($V188*INPUT!$S$70)*INPUT!$H$76</f>
        <v>-4.0710882322734884E-2</v>
      </c>
      <c r="X188" s="97">
        <f>($V188*INPUT!$S$70)*INPUT!$J$76</f>
        <v>0.63197732623504077</v>
      </c>
      <c r="Y188" s="98">
        <f t="shared" si="137"/>
        <v>20.991266443912306</v>
      </c>
      <c r="Z188" s="98">
        <f t="shared" si="138"/>
        <v>21.351266443912309</v>
      </c>
      <c r="AA188" s="97">
        <f>($V188*INPUT!$S$70)*$AA$19</f>
        <v>0.12665359546702484</v>
      </c>
      <c r="AB188" s="97">
        <f>($V188*INPUT!$S$70)*$AB$19</f>
        <v>-2.0769920000000001E-2</v>
      </c>
    </row>
    <row r="189" spans="1:28" ht="13" thickBot="1" x14ac:dyDescent="0.3">
      <c r="A189" s="293" t="s">
        <v>562</v>
      </c>
      <c r="B189" s="330">
        <f t="shared" si="130"/>
        <v>0.11700000000000001</v>
      </c>
      <c r="C189" s="179">
        <f t="shared" si="123"/>
        <v>17.78</v>
      </c>
      <c r="D189" s="179">
        <f t="shared" si="124"/>
        <v>18.09</v>
      </c>
      <c r="E189" s="179">
        <f t="shared" si="99"/>
        <v>0.17853579120050492</v>
      </c>
      <c r="F189" s="90">
        <f t="shared" si="100"/>
        <v>0.13146420879949261</v>
      </c>
      <c r="G189" s="292">
        <f t="shared" si="101"/>
        <v>7.4000000000000003E-3</v>
      </c>
      <c r="H189" s="288">
        <f t="shared" si="131"/>
        <v>-5.738762929831303E-2</v>
      </c>
      <c r="I189" s="288">
        <f t="shared" si="132"/>
        <v>0.89085960445180457</v>
      </c>
      <c r="J189" s="288">
        <f t="shared" si="102"/>
        <v>18.792007766354001</v>
      </c>
      <c r="K189" s="288">
        <f t="shared" si="127"/>
        <v>18.923471975153493</v>
      </c>
      <c r="L189" s="292">
        <f t="shared" si="103"/>
        <v>7.0000000000000001E-3</v>
      </c>
      <c r="M189" s="179">
        <f t="shared" si="104"/>
        <v>-2.9278080000000005E-2</v>
      </c>
      <c r="N189" s="90">
        <f t="shared" si="105"/>
        <v>18.894193895153492</v>
      </c>
      <c r="O189" s="91">
        <f t="shared" si="106"/>
        <v>5.4000000000000003E-3</v>
      </c>
      <c r="P189" s="29"/>
      <c r="Q189" s="29"/>
      <c r="R189" s="29">
        <v>497</v>
      </c>
      <c r="S189" s="111" t="s">
        <v>115</v>
      </c>
      <c r="T189" s="121">
        <f>VLOOKUP($R189,INPUT!$AB$9:$AF$130,3,FALSE)</f>
        <v>17.78</v>
      </c>
      <c r="U189" s="121">
        <f>VLOOKUP($R189,INPUT!$AB$9:$AF$130,4,FALSE)</f>
        <v>18.09</v>
      </c>
      <c r="V189" s="29">
        <f>VLOOKUP($R189,INPUT!$AB$9:$AF$130,5,FALSE)</f>
        <v>0.11700000000000001</v>
      </c>
      <c r="W189" s="97">
        <f>($V189*INPUT!$S$70)*INPUT!$H$76</f>
        <v>-5.738762929831303E-2</v>
      </c>
      <c r="X189" s="97">
        <f>($V189*INPUT!$S$70)*INPUT!$J$76</f>
        <v>0.89085960445180457</v>
      </c>
      <c r="Y189" s="98">
        <f t="shared" si="137"/>
        <v>18.613471975153494</v>
      </c>
      <c r="Z189" s="98">
        <f t="shared" si="138"/>
        <v>18.923471975153493</v>
      </c>
      <c r="AA189" s="97">
        <f>($V189*INPUT!$S$70)*$AA$19</f>
        <v>0.17853579120050492</v>
      </c>
      <c r="AB189" s="97">
        <f>($V189*INPUT!$S$70)*$AB$19</f>
        <v>-2.9278080000000005E-2</v>
      </c>
    </row>
    <row r="190" spans="1:28" ht="13" thickBot="1" x14ac:dyDescent="0.3">
      <c r="A190" s="293" t="s">
        <v>563</v>
      </c>
      <c r="B190" s="330">
        <f t="shared" si="130"/>
        <v>0.11700000000000001</v>
      </c>
      <c r="C190" s="179">
        <f t="shared" si="123"/>
        <v>25</v>
      </c>
      <c r="D190" s="179">
        <f t="shared" si="124"/>
        <v>25.44</v>
      </c>
      <c r="E190" s="179">
        <f t="shared" si="99"/>
        <v>0.17853579120050492</v>
      </c>
      <c r="F190" s="90">
        <f t="shared" si="100"/>
        <v>0.26146420879949517</v>
      </c>
      <c r="G190" s="292">
        <f t="shared" si="101"/>
        <v>1.0500000000000001E-2</v>
      </c>
      <c r="H190" s="288">
        <f t="shared" si="131"/>
        <v>-5.738762929831303E-2</v>
      </c>
      <c r="I190" s="288">
        <f t="shared" si="132"/>
        <v>0.89085960445180457</v>
      </c>
      <c r="J190" s="288">
        <f t="shared" si="102"/>
        <v>26.012007766353999</v>
      </c>
      <c r="K190" s="288">
        <f t="shared" si="127"/>
        <v>26.273471975153495</v>
      </c>
      <c r="L190" s="292">
        <f t="shared" si="103"/>
        <v>1.01E-2</v>
      </c>
      <c r="M190" s="179">
        <f t="shared" si="104"/>
        <v>-2.9278080000000005E-2</v>
      </c>
      <c r="N190" s="90">
        <f t="shared" si="105"/>
        <v>26.244193895153494</v>
      </c>
      <c r="O190" s="91">
        <f t="shared" si="106"/>
        <v>8.8999999999999999E-3</v>
      </c>
      <c r="P190" s="29"/>
      <c r="Q190" s="29"/>
      <c r="R190" s="29">
        <v>477</v>
      </c>
      <c r="S190" s="111" t="s">
        <v>114</v>
      </c>
      <c r="T190" s="121">
        <f>VLOOKUP($R190,INPUT!$AB$9:$AF$130,3,FALSE)</f>
        <v>25</v>
      </c>
      <c r="U190" s="121">
        <f>VLOOKUP($R190,INPUT!$AB$9:$AF$130,4,FALSE)</f>
        <v>25.44</v>
      </c>
      <c r="V190" s="29">
        <f>VLOOKUP($R190,INPUT!$AB$9:$AF$130,5,FALSE)</f>
        <v>0.11700000000000001</v>
      </c>
      <c r="W190" s="97">
        <f>($V190*INPUT!$S$70)*INPUT!$H$76</f>
        <v>-5.738762929831303E-2</v>
      </c>
      <c r="X190" s="97">
        <f>($V190*INPUT!$S$70)*INPUT!$J$76</f>
        <v>0.89085960445180457</v>
      </c>
      <c r="Y190" s="98">
        <f t="shared" si="137"/>
        <v>25.833471975153493</v>
      </c>
      <c r="Z190" s="98">
        <f t="shared" si="138"/>
        <v>26.273471975153495</v>
      </c>
      <c r="AA190" s="97">
        <f>($V190*INPUT!$S$70)*$AA$19</f>
        <v>0.17853579120050492</v>
      </c>
      <c r="AB190" s="97">
        <f>($V190*INPUT!$S$70)*$AB$19</f>
        <v>-2.9278080000000005E-2</v>
      </c>
    </row>
    <row r="191" spans="1:28" ht="13" thickBot="1" x14ac:dyDescent="0.3">
      <c r="A191" s="293" t="s">
        <v>564</v>
      </c>
      <c r="B191" s="330">
        <f t="shared" si="130"/>
        <v>0.24199999999999999</v>
      </c>
      <c r="C191" s="179">
        <f t="shared" si="123"/>
        <v>20.78</v>
      </c>
      <c r="D191" s="179">
        <f t="shared" si="124"/>
        <v>21.14</v>
      </c>
      <c r="E191" s="179">
        <f t="shared" si="99"/>
        <v>0.36927915786771098</v>
      </c>
      <c r="F191" s="90">
        <f t="shared" si="100"/>
        <v>-9.2791578677129394E-3</v>
      </c>
      <c r="G191" s="292">
        <f t="shared" si="101"/>
        <v>-4.0000000000000002E-4</v>
      </c>
      <c r="H191" s="288">
        <f t="shared" si="131"/>
        <v>-0.11869919906146796</v>
      </c>
      <c r="I191" s="288">
        <f t="shared" si="132"/>
        <v>1.8426326861310827</v>
      </c>
      <c r="J191" s="288">
        <f t="shared" si="102"/>
        <v>22.873212644937329</v>
      </c>
      <c r="K191" s="288">
        <f t="shared" si="127"/>
        <v>22.863933487069616</v>
      </c>
      <c r="L191" s="292">
        <f t="shared" si="103"/>
        <v>-4.0000000000000002E-4</v>
      </c>
      <c r="M191" s="179">
        <f t="shared" si="104"/>
        <v>-6.055808E-2</v>
      </c>
      <c r="N191" s="90">
        <f t="shared" si="105"/>
        <v>22.803375407069616</v>
      </c>
      <c r="O191" s="91">
        <f t="shared" si="106"/>
        <v>-3.0999999999999999E-3</v>
      </c>
      <c r="P191" s="29"/>
      <c r="Q191" s="29"/>
      <c r="R191" s="29">
        <v>498</v>
      </c>
      <c r="S191" s="111" t="s">
        <v>117</v>
      </c>
      <c r="T191" s="121">
        <f>VLOOKUP($R191,INPUT!$AB$9:$AF$130,3,FALSE)</f>
        <v>20.78</v>
      </c>
      <c r="U191" s="121">
        <f>VLOOKUP($R191,INPUT!$AB$9:$AF$130,4,FALSE)</f>
        <v>21.14</v>
      </c>
      <c r="V191" s="29">
        <f>VLOOKUP($R191,INPUT!$AB$9:$AF$130,5,FALSE)</f>
        <v>0.24199999999999999</v>
      </c>
      <c r="W191" s="97">
        <f>($V191*INPUT!$S$70)*INPUT!$H$76</f>
        <v>-0.11869919906146796</v>
      </c>
      <c r="X191" s="97">
        <f>($V191*INPUT!$S$70)*INPUT!$J$76</f>
        <v>1.8426326861310827</v>
      </c>
      <c r="Y191" s="98">
        <f t="shared" si="137"/>
        <v>22.503933487069617</v>
      </c>
      <c r="Z191" s="98">
        <f t="shared" si="138"/>
        <v>22.863933487069616</v>
      </c>
      <c r="AA191" s="97">
        <f>($V191*INPUT!$S$70)*$AA$19</f>
        <v>0.36927915786771098</v>
      </c>
      <c r="AB191" s="97">
        <f>($V191*INPUT!$S$70)*$AB$19</f>
        <v>-6.055808E-2</v>
      </c>
    </row>
    <row r="192" spans="1:28" ht="13" thickBot="1" x14ac:dyDescent="0.3">
      <c r="A192" s="293" t="s">
        <v>565</v>
      </c>
      <c r="B192" s="330">
        <f t="shared" si="130"/>
        <v>0.24199999999999999</v>
      </c>
      <c r="C192" s="179">
        <f t="shared" si="123"/>
        <v>32.21</v>
      </c>
      <c r="D192" s="179">
        <f t="shared" si="124"/>
        <v>32.770000000000003</v>
      </c>
      <c r="E192" s="179">
        <f t="shared" si="99"/>
        <v>0.36927915786771098</v>
      </c>
      <c r="F192" s="90">
        <f t="shared" si="100"/>
        <v>0.19072084213229346</v>
      </c>
      <c r="G192" s="292">
        <f t="shared" si="101"/>
        <v>5.8999999999999999E-3</v>
      </c>
      <c r="H192" s="288">
        <f t="shared" si="131"/>
        <v>-0.11869919906146796</v>
      </c>
      <c r="I192" s="288">
        <f t="shared" si="132"/>
        <v>1.8426326861310827</v>
      </c>
      <c r="J192" s="288">
        <f t="shared" si="102"/>
        <v>34.303212644937325</v>
      </c>
      <c r="K192" s="288">
        <f t="shared" si="127"/>
        <v>34.493933487069619</v>
      </c>
      <c r="L192" s="292">
        <f t="shared" si="103"/>
        <v>5.5999999999999999E-3</v>
      </c>
      <c r="M192" s="179">
        <f t="shared" si="104"/>
        <v>-6.055808E-2</v>
      </c>
      <c r="N192" s="90">
        <f t="shared" si="105"/>
        <v>34.433375407069619</v>
      </c>
      <c r="O192" s="91">
        <f t="shared" si="106"/>
        <v>3.8E-3</v>
      </c>
      <c r="P192" s="29"/>
      <c r="Q192" s="29"/>
      <c r="R192" s="29">
        <v>478</v>
      </c>
      <c r="S192" s="111" t="s">
        <v>116</v>
      </c>
      <c r="T192" s="121">
        <f>VLOOKUP($R192,INPUT!$AB$9:$AF$130,3,FALSE)</f>
        <v>32.21</v>
      </c>
      <c r="U192" s="121">
        <f>VLOOKUP($R192,INPUT!$AB$9:$AF$130,4,FALSE)</f>
        <v>32.770000000000003</v>
      </c>
      <c r="V192" s="29">
        <f>VLOOKUP($R192,INPUT!$AB$9:$AF$130,5,FALSE)</f>
        <v>0.24199999999999999</v>
      </c>
      <c r="W192" s="97">
        <f>($V192*INPUT!$S$70)*INPUT!$H$76</f>
        <v>-0.11869919906146796</v>
      </c>
      <c r="X192" s="97">
        <f>($V192*INPUT!$S$70)*INPUT!$J$76</f>
        <v>1.8426326861310827</v>
      </c>
      <c r="Y192" s="98">
        <f t="shared" si="137"/>
        <v>33.933933487069616</v>
      </c>
      <c r="Z192" s="98">
        <f t="shared" si="138"/>
        <v>34.493933487069619</v>
      </c>
      <c r="AA192" s="97">
        <f>($V192*INPUT!$S$70)*$AA$19</f>
        <v>0.36927915786771098</v>
      </c>
      <c r="AB192" s="97">
        <f>($V192*INPUT!$S$70)*$AB$19</f>
        <v>-6.055808E-2</v>
      </c>
    </row>
    <row r="193" spans="1:28" ht="13" thickBot="1" x14ac:dyDescent="0.3">
      <c r="A193" s="293" t="s">
        <v>566</v>
      </c>
      <c r="B193" s="330">
        <f t="shared" si="130"/>
        <v>0.47099999999999997</v>
      </c>
      <c r="C193" s="179">
        <f t="shared" si="123"/>
        <v>25.05</v>
      </c>
      <c r="D193" s="179">
        <f t="shared" si="124"/>
        <v>25.49</v>
      </c>
      <c r="E193" s="179">
        <f t="shared" si="99"/>
        <v>0.71872100560203256</v>
      </c>
      <c r="F193" s="90">
        <f t="shared" si="100"/>
        <v>-0.2787210056020335</v>
      </c>
      <c r="G193" s="292">
        <f t="shared" si="101"/>
        <v>-1.11E-2</v>
      </c>
      <c r="H193" s="288">
        <f t="shared" si="131"/>
        <v>-0.23102199486756783</v>
      </c>
      <c r="I193" s="288">
        <f t="shared" si="132"/>
        <v>3.5862809717675206</v>
      </c>
      <c r="J193" s="288">
        <f t="shared" si="102"/>
        <v>29.123979982501986</v>
      </c>
      <c r="K193" s="288">
        <f t="shared" si="127"/>
        <v>28.845258976899952</v>
      </c>
      <c r="L193" s="292">
        <f t="shared" si="103"/>
        <v>-9.5999999999999992E-3</v>
      </c>
      <c r="M193" s="179">
        <f t="shared" si="104"/>
        <v>-0.11786304000000002</v>
      </c>
      <c r="N193" s="90">
        <f t="shared" si="105"/>
        <v>28.727395936899953</v>
      </c>
      <c r="O193" s="91">
        <f t="shared" si="106"/>
        <v>-1.3599999999999999E-2</v>
      </c>
      <c r="P193" s="29"/>
      <c r="Q193" s="29"/>
      <c r="R193" s="29">
        <v>499</v>
      </c>
      <c r="S193" s="111" t="s">
        <v>119</v>
      </c>
      <c r="T193" s="121">
        <f>VLOOKUP($R193,INPUT!$AB$9:$AF$130,3,FALSE)</f>
        <v>25.05</v>
      </c>
      <c r="U193" s="121">
        <f>VLOOKUP($R193,INPUT!$AB$9:$AF$130,4,FALSE)</f>
        <v>25.49</v>
      </c>
      <c r="V193" s="29">
        <f>VLOOKUP($R193,INPUT!$AB$9:$AF$130,5,FALSE)</f>
        <v>0.47099999999999997</v>
      </c>
      <c r="W193" s="97">
        <f>($V193*INPUT!$S$70)*INPUT!$H$76</f>
        <v>-0.23102199486756783</v>
      </c>
      <c r="X193" s="97">
        <f>($V193*INPUT!$S$70)*INPUT!$J$76</f>
        <v>3.5862809717675206</v>
      </c>
      <c r="Y193" s="98">
        <f t="shared" si="137"/>
        <v>28.405258976899955</v>
      </c>
      <c r="Z193" s="98">
        <f t="shared" si="138"/>
        <v>28.845258976899952</v>
      </c>
      <c r="AA193" s="97">
        <f>($V193*INPUT!$S$70)*$AA$19</f>
        <v>0.71872100560203256</v>
      </c>
      <c r="AB193" s="97">
        <f>($V193*INPUT!$S$70)*$AB$19</f>
        <v>-0.11786304000000002</v>
      </c>
    </row>
    <row r="194" spans="1:28" ht="13" thickBot="1" x14ac:dyDescent="0.3">
      <c r="A194" s="293" t="s">
        <v>567</v>
      </c>
      <c r="B194" s="330">
        <f t="shared" si="130"/>
        <v>0.47099999999999997</v>
      </c>
      <c r="C194" s="179">
        <f t="shared" si="123"/>
        <v>39.56</v>
      </c>
      <c r="D194" s="179">
        <f t="shared" si="124"/>
        <v>40.25</v>
      </c>
      <c r="E194" s="179">
        <f t="shared" si="99"/>
        <v>0.71872100560203256</v>
      </c>
      <c r="F194" s="90">
        <f t="shared" si="100"/>
        <v>-2.8721005602037053E-2</v>
      </c>
      <c r="G194" s="292">
        <f t="shared" si="101"/>
        <v>-6.9999999999999999E-4</v>
      </c>
      <c r="H194" s="288">
        <f t="shared" si="131"/>
        <v>-0.23102199486756783</v>
      </c>
      <c r="I194" s="288">
        <f t="shared" si="132"/>
        <v>3.5862809717675206</v>
      </c>
      <c r="J194" s="288">
        <f t="shared" si="102"/>
        <v>43.633979982501991</v>
      </c>
      <c r="K194" s="288">
        <f t="shared" si="127"/>
        <v>43.605258976899954</v>
      </c>
      <c r="L194" s="292">
        <f t="shared" si="103"/>
        <v>-6.9999999999999999E-4</v>
      </c>
      <c r="M194" s="179">
        <f t="shared" si="104"/>
        <v>-0.11786304000000002</v>
      </c>
      <c r="N194" s="90">
        <f t="shared" si="105"/>
        <v>43.487395936899951</v>
      </c>
      <c r="O194" s="91">
        <f t="shared" si="106"/>
        <v>-3.3999999999999998E-3</v>
      </c>
      <c r="P194" s="29"/>
      <c r="Q194" s="29"/>
      <c r="R194" s="29">
        <v>479</v>
      </c>
      <c r="S194" s="111" t="s">
        <v>118</v>
      </c>
      <c r="T194" s="121">
        <f>VLOOKUP($R194,INPUT!$AB$9:$AF$130,3,FALSE)</f>
        <v>39.56</v>
      </c>
      <c r="U194" s="121">
        <f>VLOOKUP($R194,INPUT!$AB$9:$AF$130,4,FALSE)</f>
        <v>40.25</v>
      </c>
      <c r="V194" s="29">
        <f>VLOOKUP($R194,INPUT!$AB$9:$AF$130,5,FALSE)</f>
        <v>0.47099999999999997</v>
      </c>
      <c r="W194" s="97">
        <f>($V194*INPUT!$S$70)*INPUT!$H$76</f>
        <v>-0.23102199486756783</v>
      </c>
      <c r="X194" s="97">
        <f>($V194*INPUT!$S$70)*INPUT!$J$76</f>
        <v>3.5862809717675206</v>
      </c>
      <c r="Y194" s="98">
        <f t="shared" si="137"/>
        <v>42.915258976899956</v>
      </c>
      <c r="Z194" s="98">
        <f t="shared" si="138"/>
        <v>43.605258976899954</v>
      </c>
      <c r="AA194" s="97">
        <f>($V194*INPUT!$S$70)*$AA$19</f>
        <v>0.71872100560203256</v>
      </c>
      <c r="AB194" s="97">
        <f>($V194*INPUT!$S$70)*$AB$19</f>
        <v>-0.11786304000000002</v>
      </c>
    </row>
    <row r="195" spans="1:28" ht="13" thickBot="1" x14ac:dyDescent="0.3">
      <c r="A195" s="293" t="s">
        <v>568</v>
      </c>
      <c r="B195" s="330">
        <f t="shared" si="130"/>
        <v>0.06</v>
      </c>
      <c r="C195" s="179">
        <f t="shared" si="123"/>
        <v>26.1</v>
      </c>
      <c r="D195" s="179">
        <f t="shared" si="124"/>
        <v>26.56</v>
      </c>
      <c r="E195" s="179">
        <f t="shared" si="99"/>
        <v>9.1556816000258917E-2</v>
      </c>
      <c r="F195" s="90">
        <f t="shared" si="100"/>
        <v>0.3684431839997373</v>
      </c>
      <c r="G195" s="292">
        <f t="shared" si="101"/>
        <v>1.41E-2</v>
      </c>
      <c r="H195" s="288">
        <f t="shared" si="131"/>
        <v>-2.9429553486314368E-2</v>
      </c>
      <c r="I195" s="288">
        <f t="shared" si="132"/>
        <v>0.45685107920605356</v>
      </c>
      <c r="J195" s="288">
        <f t="shared" si="102"/>
        <v>26.618978341720002</v>
      </c>
      <c r="K195" s="288">
        <f t="shared" si="127"/>
        <v>26.987421525719739</v>
      </c>
      <c r="L195" s="292">
        <f t="shared" si="103"/>
        <v>1.38E-2</v>
      </c>
      <c r="M195" s="179">
        <f t="shared" si="104"/>
        <v>-1.5014400000000001E-2</v>
      </c>
      <c r="N195" s="90">
        <f t="shared" si="105"/>
        <v>26.972407125719741</v>
      </c>
      <c r="O195" s="91">
        <f t="shared" si="106"/>
        <v>1.3299999999999999E-2</v>
      </c>
      <c r="P195" s="29"/>
      <c r="Q195" s="29"/>
      <c r="R195" s="29">
        <v>300</v>
      </c>
      <c r="S195" s="111" t="s">
        <v>120</v>
      </c>
      <c r="T195" s="121">
        <f>VLOOKUP($R195,INPUT!$AB$9:$AF$130,3,FALSE)</f>
        <v>26.1</v>
      </c>
      <c r="U195" s="121">
        <f>VLOOKUP($R195,INPUT!$AB$9:$AF$130,4,FALSE)</f>
        <v>26.56</v>
      </c>
      <c r="V195" s="29">
        <f>VLOOKUP($R195,INPUT!$AB$9:$AF$130,5,FALSE)</f>
        <v>0.06</v>
      </c>
      <c r="W195" s="97">
        <f>($V195*INPUT!$S$70)*INPUT!$H$76</f>
        <v>-2.9429553486314368E-2</v>
      </c>
      <c r="X195" s="97">
        <f>($V195*INPUT!$S$70)*INPUT!$J$76</f>
        <v>0.45685107920605356</v>
      </c>
      <c r="Y195" s="98">
        <f t="shared" si="137"/>
        <v>26.527421525719742</v>
      </c>
      <c r="Z195" s="98">
        <f t="shared" si="138"/>
        <v>26.987421525719739</v>
      </c>
      <c r="AA195" s="97">
        <f>($V195*INPUT!$S$70)*$AA$19</f>
        <v>9.1556816000258917E-2</v>
      </c>
      <c r="AB195" s="97">
        <f>($V195*INPUT!$S$70)*$AB$19</f>
        <v>-1.5014400000000001E-2</v>
      </c>
    </row>
    <row r="196" spans="1:28" ht="13" thickBot="1" x14ac:dyDescent="0.3">
      <c r="A196" s="293" t="s">
        <v>569</v>
      </c>
      <c r="B196" s="330">
        <f t="shared" si="130"/>
        <v>0.11700000000000001</v>
      </c>
      <c r="C196" s="179">
        <f t="shared" si="123"/>
        <v>27.16</v>
      </c>
      <c r="D196" s="179">
        <f t="shared" si="124"/>
        <v>27.64</v>
      </c>
      <c r="E196" s="179">
        <f t="shared" si="99"/>
        <v>0.17853579120050492</v>
      </c>
      <c r="F196" s="90">
        <f>+D196-(E196+C196)</f>
        <v>0.30146420879949432</v>
      </c>
      <c r="G196" s="292">
        <f t="shared" si="101"/>
        <v>1.11E-2</v>
      </c>
      <c r="H196" s="288">
        <f t="shared" si="131"/>
        <v>-5.738762929831303E-2</v>
      </c>
      <c r="I196" s="288">
        <f t="shared" si="132"/>
        <v>0.89085960445180457</v>
      </c>
      <c r="J196" s="288">
        <f>+C196+E196+H196+I196</f>
        <v>28.172007766354</v>
      </c>
      <c r="K196" s="288">
        <f t="shared" si="127"/>
        <v>28.473471975153494</v>
      </c>
      <c r="L196" s="292">
        <f t="shared" si="103"/>
        <v>1.0699999999999999E-2</v>
      </c>
      <c r="M196" s="179">
        <f t="shared" si="104"/>
        <v>-2.9278080000000005E-2</v>
      </c>
      <c r="N196" s="90">
        <f t="shared" si="105"/>
        <v>28.444193895153493</v>
      </c>
      <c r="O196" s="91">
        <f t="shared" si="106"/>
        <v>9.7000000000000003E-3</v>
      </c>
      <c r="P196" s="29"/>
      <c r="Q196" s="29"/>
      <c r="R196" s="29">
        <v>301</v>
      </c>
      <c r="S196" s="100" t="s">
        <v>121</v>
      </c>
      <c r="T196" s="121">
        <f>VLOOKUP($R196,INPUT!$AB$9:$AF$130,3,FALSE)</f>
        <v>27.16</v>
      </c>
      <c r="U196" s="121">
        <f>VLOOKUP($R196,INPUT!$AB$9:$AF$130,4,FALSE)</f>
        <v>27.64</v>
      </c>
      <c r="V196" s="29">
        <f>VLOOKUP($R196,INPUT!$AB$9:$AF$130,5,FALSE)</f>
        <v>0.11700000000000001</v>
      </c>
      <c r="W196" s="97">
        <f>($V196*INPUT!$S$70)*INPUT!$H$76</f>
        <v>-5.738762929831303E-2</v>
      </c>
      <c r="X196" s="97">
        <f>($V196*INPUT!$S$70)*INPUT!$J$76</f>
        <v>0.89085960445180457</v>
      </c>
      <c r="Y196" s="98">
        <f t="shared" si="137"/>
        <v>27.993471975153494</v>
      </c>
      <c r="Z196" s="98">
        <f t="shared" si="138"/>
        <v>28.473471975153494</v>
      </c>
      <c r="AA196" s="97">
        <f>($V196*INPUT!$S$70)*$AA$19</f>
        <v>0.17853579120050492</v>
      </c>
      <c r="AB196" s="97">
        <f>($V196*INPUT!$S$70)*$AB$19</f>
        <v>-2.9278080000000005E-2</v>
      </c>
    </row>
    <row r="197" spans="1:28" ht="13" thickBot="1" x14ac:dyDescent="0.3">
      <c r="A197" s="293" t="s">
        <v>570</v>
      </c>
      <c r="B197" s="330">
        <f t="shared" si="130"/>
        <v>8.3000000000000004E-2</v>
      </c>
      <c r="C197" s="179">
        <f t="shared" ref="C197:C198" si="139">T197</f>
        <v>35.69</v>
      </c>
      <c r="D197" s="179">
        <f t="shared" ref="D197:D198" si="140">U197</f>
        <v>36.31</v>
      </c>
      <c r="E197" s="179">
        <f t="shared" ref="E197:E198" si="141">AA197</f>
        <v>0.12665359546702484</v>
      </c>
      <c r="F197" s="90">
        <f t="shared" ref="F197:F198" si="142">+D197-(E197+C197)</f>
        <v>0.49334640453297851</v>
      </c>
      <c r="G197" s="292">
        <f t="shared" ref="G197:G198" si="143">ROUND(+F197/C197,4)</f>
        <v>1.38E-2</v>
      </c>
      <c r="H197" s="288">
        <f t="shared" ref="H197:H198" si="144">+W197</f>
        <v>-4.0710882322734884E-2</v>
      </c>
      <c r="I197" s="288">
        <f t="shared" ref="I197:I198" si="145">+X197</f>
        <v>0.63197732623504077</v>
      </c>
      <c r="J197" s="288">
        <f t="shared" ref="J197:J198" si="146">+C197+E197+H197+I197</f>
        <v>36.407920039379327</v>
      </c>
      <c r="K197" s="288">
        <f t="shared" ref="K197:K198" si="147">+D197+H197+I197</f>
        <v>36.901266443912306</v>
      </c>
      <c r="L197" s="292">
        <f t="shared" ref="L197:L198" si="148">ROUND((K197-J197)/J197,4)</f>
        <v>1.3599999999999999E-2</v>
      </c>
      <c r="M197" s="179">
        <f t="shared" ref="M197:M198" si="149">AB197</f>
        <v>-2.0769920000000001E-2</v>
      </c>
      <c r="N197" s="90">
        <f t="shared" ref="N197:N198" si="150">K197+M197</f>
        <v>36.880496523912306</v>
      </c>
      <c r="O197" s="91">
        <f t="shared" ref="O197:O198" si="151">ROUND((N197-J197)/J197,4)</f>
        <v>1.2999999999999999E-2</v>
      </c>
      <c r="P197" s="29"/>
      <c r="Q197" s="29"/>
      <c r="R197" s="29">
        <v>414</v>
      </c>
      <c r="S197" s="111" t="s">
        <v>459</v>
      </c>
      <c r="T197" s="121">
        <f>VLOOKUP($R197,INPUT!$AB$9:$AF$130,3,FALSE)</f>
        <v>35.69</v>
      </c>
      <c r="U197" s="121">
        <f>VLOOKUP($R197,INPUT!$AB$9:$AF$130,4,FALSE)</f>
        <v>36.31</v>
      </c>
      <c r="V197" s="29">
        <f>VLOOKUP($R197,INPUT!$AB$9:$AF$130,5,FALSE)</f>
        <v>8.3000000000000004E-2</v>
      </c>
      <c r="W197" s="97">
        <f>($V197*INPUT!$S$70)*INPUT!$H$76</f>
        <v>-4.0710882322734884E-2</v>
      </c>
      <c r="X197" s="97">
        <f>($V197*INPUT!$S$70)*INPUT!$J$76</f>
        <v>0.63197732623504077</v>
      </c>
      <c r="Y197" s="98">
        <f t="shared" ref="Y197:Y198" si="152">+T197+W197+X197</f>
        <v>36.281266443912301</v>
      </c>
      <c r="Z197" s="98">
        <f t="shared" ref="Z197:Z198" si="153">+U197+W197+X197</f>
        <v>36.901266443912306</v>
      </c>
      <c r="AA197" s="97">
        <f>($V197*INPUT!$S$70)*$AA$19</f>
        <v>0.12665359546702484</v>
      </c>
      <c r="AB197" s="97">
        <f>($V197*INPUT!$S$70)*$AB$19</f>
        <v>-2.0769920000000001E-2</v>
      </c>
    </row>
    <row r="198" spans="1:28" ht="13" thickBot="1" x14ac:dyDescent="0.3">
      <c r="A198" s="293" t="s">
        <v>571</v>
      </c>
      <c r="B198" s="330">
        <f t="shared" si="130"/>
        <v>0.11700000000000001</v>
      </c>
      <c r="C198" s="179">
        <f t="shared" si="139"/>
        <v>35.85</v>
      </c>
      <c r="D198" s="179">
        <f t="shared" si="140"/>
        <v>36.479999999999997</v>
      </c>
      <c r="E198" s="179">
        <f t="shared" si="141"/>
        <v>0.17853579120050492</v>
      </c>
      <c r="F198" s="90">
        <f t="shared" si="142"/>
        <v>0.45146420879949289</v>
      </c>
      <c r="G198" s="292">
        <f t="shared" si="143"/>
        <v>1.26E-2</v>
      </c>
      <c r="H198" s="288">
        <f t="shared" si="144"/>
        <v>-5.738762929831303E-2</v>
      </c>
      <c r="I198" s="288">
        <f t="shared" si="145"/>
        <v>0.89085960445180457</v>
      </c>
      <c r="J198" s="288">
        <f t="shared" si="146"/>
        <v>36.862007766353997</v>
      </c>
      <c r="K198" s="288">
        <f t="shared" si="147"/>
        <v>37.31347197515349</v>
      </c>
      <c r="L198" s="292">
        <f t="shared" si="148"/>
        <v>1.2200000000000001E-2</v>
      </c>
      <c r="M198" s="179">
        <f t="shared" si="149"/>
        <v>-2.9278080000000005E-2</v>
      </c>
      <c r="N198" s="90">
        <f t="shared" si="150"/>
        <v>37.284193895153493</v>
      </c>
      <c r="O198" s="91">
        <f t="shared" si="151"/>
        <v>1.15E-2</v>
      </c>
      <c r="P198" s="29"/>
      <c r="Q198" s="29"/>
      <c r="R198" s="29">
        <v>415</v>
      </c>
      <c r="S198" s="100" t="s">
        <v>460</v>
      </c>
      <c r="T198" s="121">
        <f>VLOOKUP($R198,INPUT!$AB$9:$AF$130,3,FALSE)</f>
        <v>35.85</v>
      </c>
      <c r="U198" s="121">
        <f>VLOOKUP($R198,INPUT!$AB$9:$AF$130,4,FALSE)</f>
        <v>36.479999999999997</v>
      </c>
      <c r="V198" s="29">
        <f>VLOOKUP($R198,INPUT!$AB$9:$AF$130,5,FALSE)</f>
        <v>0.11700000000000001</v>
      </c>
      <c r="W198" s="97">
        <f>($V198*INPUT!$S$70)*INPUT!$H$76</f>
        <v>-5.738762929831303E-2</v>
      </c>
      <c r="X198" s="97">
        <f>($V198*INPUT!$S$70)*INPUT!$J$76</f>
        <v>0.89085960445180457</v>
      </c>
      <c r="Y198" s="98">
        <f t="shared" si="152"/>
        <v>36.683471975153495</v>
      </c>
      <c r="Z198" s="98">
        <f t="shared" si="153"/>
        <v>37.31347197515349</v>
      </c>
      <c r="AA198" s="97">
        <f>($V198*INPUT!$S$70)*$AA$19</f>
        <v>0.17853579120050492</v>
      </c>
      <c r="AB198" s="97">
        <f>($V198*INPUT!$S$70)*$AB$19</f>
        <v>-2.9278080000000005E-2</v>
      </c>
    </row>
    <row r="199" spans="1:28" x14ac:dyDescent="0.2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O199" s="29"/>
      <c r="P199" s="29"/>
      <c r="Q199" s="29"/>
    </row>
    <row r="200" spans="1:28" x14ac:dyDescent="0.25">
      <c r="A200" s="87" t="s">
        <v>301</v>
      </c>
      <c r="B200" s="287"/>
      <c r="C200" s="87"/>
      <c r="D200" s="87"/>
      <c r="E200" s="87"/>
      <c r="F200" s="289"/>
      <c r="G200" s="87"/>
      <c r="H200" s="87"/>
      <c r="I200" s="87"/>
      <c r="J200" s="87"/>
      <c r="K200" s="87"/>
      <c r="O200"/>
      <c r="P200"/>
      <c r="Q200"/>
    </row>
    <row r="201" spans="1:28" x14ac:dyDescent="0.25">
      <c r="A201" s="294" t="s">
        <v>305</v>
      </c>
      <c r="B201" s="287"/>
      <c r="C201" s="87"/>
      <c r="D201" s="87"/>
      <c r="E201" s="87"/>
      <c r="F201" s="289"/>
      <c r="G201" s="87"/>
      <c r="H201" s="87"/>
      <c r="I201" s="87"/>
      <c r="J201" s="87"/>
      <c r="K201" s="87"/>
      <c r="O201"/>
      <c r="P201"/>
      <c r="Q201"/>
    </row>
    <row r="202" spans="1:28" x14ac:dyDescent="0.25">
      <c r="A202" s="294" t="str">
        <f>+'Rate Case Constants'!$C$26</f>
        <v>Calculations may vary from other schedules due to rounding</v>
      </c>
      <c r="B202" s="287"/>
      <c r="C202" s="87"/>
      <c r="D202" s="87"/>
      <c r="E202" s="87"/>
      <c r="F202" s="289"/>
      <c r="G202" s="87"/>
      <c r="H202" s="87"/>
      <c r="I202" s="87"/>
      <c r="J202" s="87"/>
      <c r="K202" s="87"/>
      <c r="O202"/>
      <c r="P202"/>
      <c r="Q202"/>
    </row>
    <row r="203" spans="1:28" x14ac:dyDescent="0.25">
      <c r="A203" s="294" t="s">
        <v>339</v>
      </c>
      <c r="B203" s="287"/>
      <c r="C203" s="87"/>
      <c r="D203" s="87"/>
      <c r="E203" s="87"/>
      <c r="F203" s="87"/>
      <c r="G203" s="87"/>
      <c r="H203" s="87"/>
      <c r="I203" s="87"/>
      <c r="J203" s="87"/>
      <c r="K203" s="87"/>
      <c r="O203"/>
      <c r="P203"/>
      <c r="Q203"/>
    </row>
    <row r="204" spans="1:28" x14ac:dyDescent="0.25">
      <c r="O204"/>
      <c r="P204"/>
      <c r="Q204"/>
    </row>
    <row r="205" spans="1:28" x14ac:dyDescent="0.25">
      <c r="O205"/>
      <c r="P205"/>
      <c r="Q205"/>
    </row>
    <row r="206" spans="1:28" x14ac:dyDescent="0.25">
      <c r="O206"/>
      <c r="P206"/>
      <c r="Q206"/>
    </row>
    <row r="207" spans="1:28" ht="14.25" customHeight="1" x14ac:dyDescent="0.25">
      <c r="O207"/>
      <c r="P207"/>
      <c r="Q207"/>
    </row>
    <row r="208" spans="1:28" x14ac:dyDescent="0.25">
      <c r="O208"/>
      <c r="P208"/>
      <c r="Q208"/>
    </row>
    <row r="209" spans="15:17" x14ac:dyDescent="0.25">
      <c r="O209"/>
      <c r="P209"/>
      <c r="Q209"/>
    </row>
  </sheetData>
  <mergeCells count="20">
    <mergeCell ref="A83:O83"/>
    <mergeCell ref="A84:O84"/>
    <mergeCell ref="A85:O85"/>
    <mergeCell ref="H14:I14"/>
    <mergeCell ref="A1:O1"/>
    <mergeCell ref="A2:O2"/>
    <mergeCell ref="A3:O3"/>
    <mergeCell ref="A4:O4"/>
    <mergeCell ref="H68:I68"/>
    <mergeCell ref="A56:O56"/>
    <mergeCell ref="A57:O57"/>
    <mergeCell ref="A58:O58"/>
    <mergeCell ref="A59:O59"/>
    <mergeCell ref="H151:I151"/>
    <mergeCell ref="H95:I95"/>
    <mergeCell ref="A86:O86"/>
    <mergeCell ref="A139:O139"/>
    <mergeCell ref="A140:O140"/>
    <mergeCell ref="A141:O141"/>
    <mergeCell ref="A142:O142"/>
  </mergeCells>
  <phoneticPr fontId="6" type="noConversion"/>
  <printOptions horizontalCentered="1"/>
  <pageMargins left="0.75" right="0.75" top="1.5" bottom="0.5" header="1" footer="0.5"/>
  <pageSetup scale="48" fitToWidth="0" fitToHeight="0" orientation="landscape" r:id="rId1"/>
  <headerFooter alignWithMargins="0"/>
  <rowBreaks count="3" manualBreakCount="3">
    <brk id="55" max="14" man="1"/>
    <brk id="82" max="14" man="1"/>
    <brk id="138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59999389629810485"/>
    <pageSetUpPr fitToPage="1"/>
  </sheetPr>
  <dimension ref="A1:AH42"/>
  <sheetViews>
    <sheetView zoomScale="80" zoomScaleNormal="80" zoomScaleSheetLayoutView="90" workbookViewId="0">
      <selection sqref="A1:O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2.1796875" bestFit="1" customWidth="1"/>
    <col min="7" max="7" width="9.26953125" bestFit="1" customWidth="1"/>
    <col min="8" max="8" width="10.7265625" bestFit="1" customWidth="1"/>
    <col min="9" max="9" width="10" customWidth="1"/>
    <col min="10" max="11" width="11.1796875" bestFit="1" customWidth="1"/>
    <col min="12" max="12" width="9.26953125" bestFit="1" customWidth="1"/>
    <col min="13" max="13" width="9.26953125" customWidth="1"/>
    <col min="14" max="14" width="10.1796875" bestFit="1" customWidth="1"/>
    <col min="15" max="15" width="9.36328125" customWidth="1"/>
    <col min="16" max="19" width="3.54296875" customWidth="1"/>
    <col min="20" max="20" width="11.81640625" customWidth="1"/>
    <col min="21" max="21" width="9.81640625" customWidth="1"/>
    <col min="22" max="22" width="9.54296875" customWidth="1"/>
    <col min="23" max="23" width="7.1796875" customWidth="1"/>
    <col min="24" max="24" width="11.54296875" customWidth="1"/>
    <col min="25" max="25" width="9.54296875" customWidth="1"/>
    <col min="26" max="26" width="9.1796875" bestFit="1" customWidth="1"/>
    <col min="27" max="27" width="12.26953125" bestFit="1" customWidth="1"/>
    <col min="28" max="28" width="9" bestFit="1" customWidth="1"/>
    <col min="29" max="30" width="3" customWidth="1"/>
    <col min="32" max="32" width="2.7265625" customWidth="1"/>
  </cols>
  <sheetData>
    <row r="1" spans="1:34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37"/>
    </row>
    <row r="2" spans="1:34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337"/>
    </row>
    <row r="3" spans="1:34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338"/>
    </row>
    <row r="4" spans="1:34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337"/>
    </row>
    <row r="5" spans="1:34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4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97"/>
    </row>
    <row r="7" spans="1:34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M7" s="198"/>
      <c r="N7" s="198"/>
      <c r="O7" s="198" t="str">
        <f>+'Rate Case Constants'!C25</f>
        <v>SCHEDULE N</v>
      </c>
      <c r="P7" s="2"/>
    </row>
    <row r="8" spans="1:34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M8" s="197"/>
      <c r="N8" s="197"/>
      <c r="O8" s="197" t="str">
        <f>+'Rate Case Constants'!L26</f>
        <v>PAGE 19 of 24</v>
      </c>
      <c r="P8" s="2"/>
    </row>
    <row r="9" spans="1:34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M9" s="197"/>
      <c r="N9" s="197"/>
      <c r="O9" s="197" t="str">
        <f>+'Rate Case Constants'!C36</f>
        <v>WITNESS:   R. M. CONROY</v>
      </c>
      <c r="P9" s="2"/>
    </row>
    <row r="10" spans="1:34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201"/>
      <c r="T10" s="2" t="s">
        <v>68</v>
      </c>
      <c r="U10" s="2">
        <f>+INPUT!H77</f>
        <v>-1.3328927698792918E-3</v>
      </c>
    </row>
    <row r="11" spans="1:34" ht="13" x14ac:dyDescent="0.3">
      <c r="A11" s="124" t="s">
        <v>224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" t="s">
        <v>69</v>
      </c>
      <c r="U11" s="2">
        <f>+INPUT!J77</f>
        <v>6.3945796000732429E-3</v>
      </c>
      <c r="V11" s="2"/>
      <c r="W11" s="29"/>
      <c r="X11" s="32"/>
      <c r="Y11" s="29"/>
      <c r="Z11" s="29"/>
      <c r="AA11" s="29"/>
      <c r="AB11" s="29"/>
    </row>
    <row r="12" spans="1:34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4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4" ht="13" x14ac:dyDescent="0.3">
      <c r="C14" s="195" t="s">
        <v>313</v>
      </c>
      <c r="D14" s="195" t="s">
        <v>313</v>
      </c>
      <c r="E14" s="195" t="s">
        <v>69</v>
      </c>
      <c r="H14" s="29"/>
      <c r="I14" s="29"/>
      <c r="J14" s="3" t="s">
        <v>5</v>
      </c>
      <c r="K14" s="3" t="s">
        <v>5</v>
      </c>
      <c r="M14" s="85" t="s">
        <v>592</v>
      </c>
      <c r="N14" s="85" t="s">
        <v>5</v>
      </c>
      <c r="O14" s="17"/>
      <c r="T14" s="46" t="s">
        <v>56</v>
      </c>
      <c r="U14" s="46"/>
      <c r="V14" s="46"/>
      <c r="X14" s="46" t="s">
        <v>57</v>
      </c>
      <c r="Y14" s="46"/>
      <c r="Z14" s="46"/>
      <c r="AA14" s="46"/>
      <c r="AB14" s="46"/>
    </row>
    <row r="15" spans="1:34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13" t="s">
        <v>245</v>
      </c>
      <c r="I15" s="413"/>
      <c r="J15" s="3" t="s">
        <v>1</v>
      </c>
      <c r="K15" s="3" t="s">
        <v>71</v>
      </c>
      <c r="L15" s="3"/>
      <c r="M15" s="85" t="s">
        <v>593</v>
      </c>
      <c r="N15" s="85" t="s">
        <v>71</v>
      </c>
      <c r="O15" s="85"/>
      <c r="T15" s="25" t="s">
        <v>59</v>
      </c>
      <c r="U15" s="3"/>
      <c r="V15" s="25"/>
      <c r="X15" s="25" t="s">
        <v>59</v>
      </c>
      <c r="Y15" s="3"/>
      <c r="Z15" s="25"/>
      <c r="AA15" s="86"/>
      <c r="AB15" s="85" t="s">
        <v>592</v>
      </c>
    </row>
    <row r="16" spans="1:34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50" t="s">
        <v>69</v>
      </c>
      <c r="J16" s="3" t="s">
        <v>4</v>
      </c>
      <c r="K16" s="3" t="s">
        <v>4</v>
      </c>
      <c r="L16" s="3" t="s">
        <v>72</v>
      </c>
      <c r="M16" s="85" t="s">
        <v>439</v>
      </c>
      <c r="N16" s="85" t="s">
        <v>443</v>
      </c>
      <c r="O16" s="85" t="s">
        <v>72</v>
      </c>
      <c r="P16" s="3"/>
      <c r="Q16" s="3"/>
      <c r="R16" s="3"/>
      <c r="S16" s="3"/>
      <c r="T16" s="25" t="s">
        <v>58</v>
      </c>
      <c r="U16" s="3" t="s">
        <v>53</v>
      </c>
      <c r="V16" s="25" t="s">
        <v>5</v>
      </c>
      <c r="X16" s="25" t="s">
        <v>58</v>
      </c>
      <c r="Y16" s="3" t="s">
        <v>53</v>
      </c>
      <c r="Z16" s="25" t="s">
        <v>5</v>
      </c>
      <c r="AA16" s="86" t="s">
        <v>69</v>
      </c>
      <c r="AB16" s="85" t="s">
        <v>593</v>
      </c>
      <c r="AD16" s="2"/>
      <c r="AE16" s="85"/>
      <c r="AF16" s="85"/>
      <c r="AG16" s="85"/>
      <c r="AH16" s="3"/>
    </row>
    <row r="17" spans="1:34" ht="13" x14ac:dyDescent="0.3">
      <c r="A17" s="3" t="s">
        <v>46</v>
      </c>
      <c r="B17" s="3"/>
      <c r="C17" s="3"/>
      <c r="D17" s="3"/>
      <c r="E17" s="85"/>
      <c r="F17" s="3" t="s">
        <v>66</v>
      </c>
      <c r="G17" s="25" t="s">
        <v>67</v>
      </c>
      <c r="H17" s="49"/>
      <c r="I17" s="52"/>
      <c r="J17" s="3" t="s">
        <v>66</v>
      </c>
      <c r="K17" s="3" t="s">
        <v>66</v>
      </c>
      <c r="L17" s="25" t="s">
        <v>67</v>
      </c>
      <c r="M17" s="86"/>
      <c r="N17" s="86" t="s">
        <v>439</v>
      </c>
      <c r="O17" s="86" t="s">
        <v>67</v>
      </c>
      <c r="P17" s="3"/>
      <c r="Q17" s="3"/>
      <c r="R17" s="3"/>
      <c r="S17" s="3"/>
      <c r="T17" s="79" t="s">
        <v>3</v>
      </c>
      <c r="U17" s="80" t="s">
        <v>3</v>
      </c>
      <c r="V17" s="79" t="s">
        <v>4</v>
      </c>
      <c r="X17" s="79" t="s">
        <v>3</v>
      </c>
      <c r="Y17" s="80" t="s">
        <v>3</v>
      </c>
      <c r="Z17" s="79" t="s">
        <v>4</v>
      </c>
      <c r="AA17" s="386" t="s">
        <v>471</v>
      </c>
      <c r="AB17" s="348" t="s">
        <v>439</v>
      </c>
      <c r="AD17" s="2"/>
      <c r="AE17" s="85"/>
      <c r="AF17" s="85"/>
      <c r="AG17" s="85"/>
      <c r="AH17" s="3"/>
    </row>
    <row r="18" spans="1:34" ht="13" x14ac:dyDescent="0.3">
      <c r="A18" s="80"/>
      <c r="B18" s="80"/>
      <c r="C18" s="80"/>
      <c r="D18" s="80"/>
      <c r="E18" s="349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221"/>
      <c r="I18" s="221"/>
      <c r="J18" s="345" t="str">
        <f>("["&amp;C13&amp;"+"&amp;E13&amp;"+"&amp;$H$13&amp;"+"&amp;$I$13&amp;"]")</f>
        <v>[A+C+F+G]</v>
      </c>
      <c r="K18" s="345" t="str">
        <f>("["&amp;D13&amp;"+"&amp;$H$13&amp;"+"&amp;$I$13&amp;"]")</f>
        <v>[B+F+G]</v>
      </c>
      <c r="L18" s="345" t="str">
        <f>("[("&amp;K13&amp;" - "&amp;J13&amp;")/"&amp;J13&amp;"]")</f>
        <v>[(I - H)/H]</v>
      </c>
      <c r="M18" s="344"/>
      <c r="N18" s="344" t="str">
        <f>("["&amp;K13&amp;" + "&amp;$M13&amp;"]")</f>
        <v>[I + K]</v>
      </c>
      <c r="O18" s="345" t="str">
        <f>("[("&amp;N13&amp;" - "&amp;J13&amp;")/"&amp;J13&amp;"]")</f>
        <v>[(L - H)/H]</v>
      </c>
      <c r="P18" s="3"/>
      <c r="Q18" s="3"/>
      <c r="R18" s="3"/>
      <c r="S18" s="3"/>
      <c r="T18" s="25"/>
      <c r="U18" s="31">
        <f>+INPUT!$P$6</f>
        <v>6.9980000000000001E-2</v>
      </c>
      <c r="V18" s="25"/>
      <c r="X18" s="25"/>
      <c r="Y18" s="31">
        <f>INPUT!$P$34</f>
        <v>7.1779999999999997E-2</v>
      </c>
      <c r="Z18" s="25"/>
      <c r="AA18" s="86">
        <f>INPUT!K77</f>
        <v>1.7958576267527939E-3</v>
      </c>
      <c r="AB18" s="86">
        <f>INPUT!P52</f>
        <v>-6.8000000000000005E-4</v>
      </c>
      <c r="AD18" s="2"/>
      <c r="AE18" s="85"/>
      <c r="AF18" s="85"/>
      <c r="AG18" s="85"/>
      <c r="AH18" s="3"/>
    </row>
    <row r="19" spans="1:34" ht="13" x14ac:dyDescent="0.3">
      <c r="A19" s="3"/>
      <c r="B19" s="3"/>
      <c r="C19" s="3"/>
      <c r="D19" s="3"/>
      <c r="E19" s="85"/>
      <c r="F19" s="3"/>
      <c r="G19" s="3"/>
      <c r="H19" s="29"/>
      <c r="I19" s="29"/>
      <c r="J19" s="3"/>
      <c r="K19" s="3"/>
      <c r="L19" s="3"/>
      <c r="M19" s="85"/>
      <c r="N19" s="85"/>
      <c r="O19" s="85"/>
      <c r="P19" s="3"/>
      <c r="Q19" s="3"/>
      <c r="R19" s="3"/>
      <c r="S19" s="3"/>
      <c r="T19" s="25"/>
      <c r="U19" s="3" t="s">
        <v>11</v>
      </c>
      <c r="V19" s="25"/>
      <c r="X19" s="25"/>
      <c r="Y19" s="3" t="s">
        <v>11</v>
      </c>
      <c r="Z19" s="25"/>
      <c r="AA19" s="86" t="s">
        <v>11</v>
      </c>
      <c r="AB19" s="86" t="s">
        <v>11</v>
      </c>
      <c r="AD19" s="2"/>
      <c r="AE19" s="85"/>
      <c r="AF19" s="85"/>
      <c r="AG19" s="85"/>
      <c r="AH19" s="3"/>
    </row>
    <row r="20" spans="1:34" ht="13" x14ac:dyDescent="0.3">
      <c r="A20" s="3"/>
      <c r="B20" s="3"/>
      <c r="C20" s="3"/>
      <c r="D20" s="3"/>
      <c r="E20" s="85"/>
      <c r="F20" s="3"/>
      <c r="G20" s="3"/>
      <c r="H20" s="3"/>
      <c r="I20" s="3"/>
      <c r="J20" s="3"/>
      <c r="K20" s="3"/>
      <c r="L20" s="3"/>
      <c r="M20" s="85"/>
      <c r="N20" s="85"/>
      <c r="O20" s="85"/>
      <c r="P20" s="3"/>
      <c r="Q20" s="3"/>
      <c r="R20" s="3"/>
      <c r="S20" s="3"/>
      <c r="U20" s="3"/>
      <c r="V20" s="3"/>
      <c r="Y20" s="3"/>
      <c r="Z20" s="3"/>
      <c r="AA20" s="85"/>
      <c r="AB20" s="85"/>
      <c r="AE20" s="17"/>
      <c r="AF20" s="17"/>
      <c r="AG20" s="17"/>
    </row>
    <row r="21" spans="1:34" x14ac:dyDescent="0.25">
      <c r="A21" s="1">
        <v>500</v>
      </c>
      <c r="C21" s="28">
        <f>+V21</f>
        <v>34.99</v>
      </c>
      <c r="D21" s="28">
        <f>+Z21</f>
        <v>35.89</v>
      </c>
      <c r="E21" s="28">
        <f>AA21</f>
        <v>0.89792881337639696</v>
      </c>
      <c r="F21" s="90">
        <f>+D21-(E21+C21)</f>
        <v>2.0711866236027276E-3</v>
      </c>
      <c r="G21" s="54">
        <f>ROUND(+F21/C21,4)</f>
        <v>1E-4</v>
      </c>
      <c r="H21" s="28">
        <f>ROUND($U$10*$A21,2)</f>
        <v>-0.67</v>
      </c>
      <c r="I21" s="28">
        <f>ROUND($U$11*$A21,2)</f>
        <v>3.2</v>
      </c>
      <c r="J21" s="28">
        <f>+C21+E21+H21+I21</f>
        <v>38.417928813376399</v>
      </c>
      <c r="K21" s="28">
        <f>+D21+H21+I21</f>
        <v>38.42</v>
      </c>
      <c r="L21" s="54">
        <f>ROUND((K21-J21)/J21,4)</f>
        <v>1E-4</v>
      </c>
      <c r="M21" s="28">
        <f>AB21</f>
        <v>-0.34</v>
      </c>
      <c r="N21" s="90">
        <f>K21+M21</f>
        <v>38.08</v>
      </c>
      <c r="O21" s="91">
        <f>ROUND((N21-J21)/J21,4)</f>
        <v>-8.8000000000000005E-3</v>
      </c>
      <c r="T21" s="7">
        <f>+INPUT!$P$4</f>
        <v>0</v>
      </c>
      <c r="U21" s="6">
        <f>A21*$U$18</f>
        <v>34.99</v>
      </c>
      <c r="V21" s="6">
        <f>T21+U21</f>
        <v>34.99</v>
      </c>
      <c r="X21" s="7">
        <f>INPUT!$P$32</f>
        <v>0</v>
      </c>
      <c r="Y21" s="6">
        <f>A21*$Y$18</f>
        <v>35.89</v>
      </c>
      <c r="Z21" s="6">
        <f>X21+Y21</f>
        <v>35.89</v>
      </c>
      <c r="AA21" s="84">
        <f>$AA$18*A21</f>
        <v>0.89792881337639696</v>
      </c>
      <c r="AB21" s="84">
        <f>$AB$18*A21</f>
        <v>-0.34</v>
      </c>
      <c r="AE21" s="84"/>
      <c r="AF21" s="17"/>
      <c r="AG21" s="141"/>
      <c r="AH21" s="8"/>
    </row>
    <row r="22" spans="1:34" x14ac:dyDescent="0.25">
      <c r="A22" s="1"/>
      <c r="F22" s="90"/>
      <c r="J22" s="28"/>
      <c r="L22" s="54"/>
      <c r="N22" s="17"/>
      <c r="O22" s="17"/>
      <c r="T22" s="7"/>
      <c r="U22" s="6"/>
      <c r="V22" s="6"/>
      <c r="X22" s="7"/>
      <c r="Y22" s="6"/>
      <c r="Z22" s="6"/>
      <c r="AA22" s="84"/>
      <c r="AB22" s="84"/>
      <c r="AE22" s="17"/>
      <c r="AF22" s="17"/>
      <c r="AG22" s="141"/>
      <c r="AH22" s="8"/>
    </row>
    <row r="23" spans="1:34" x14ac:dyDescent="0.25">
      <c r="A23" s="1">
        <v>1000</v>
      </c>
      <c r="C23" s="28">
        <f>+V23</f>
        <v>69.98</v>
      </c>
      <c r="D23" s="28">
        <f>+Z23</f>
        <v>71.78</v>
      </c>
      <c r="E23" s="28">
        <f t="shared" ref="E23:E35" si="0">AA23</f>
        <v>1.7958576267527939</v>
      </c>
      <c r="F23" s="90">
        <f t="shared" ref="F23:F33" si="1">+D23-(E23+C23)</f>
        <v>4.1423732472054553E-3</v>
      </c>
      <c r="G23" s="54">
        <f>ROUND(+F23/C23,4)</f>
        <v>1E-4</v>
      </c>
      <c r="H23" s="28">
        <f>ROUND($U$10*$A23,2)</f>
        <v>-1.33</v>
      </c>
      <c r="I23" s="28">
        <f>ROUND($U$11*$A23,2)</f>
        <v>6.39</v>
      </c>
      <c r="J23" s="28">
        <f t="shared" ref="J23:J35" si="2">+C23+E23+H23+I23</f>
        <v>76.835857626752798</v>
      </c>
      <c r="K23" s="28">
        <f>+D23+H23+I23</f>
        <v>76.84</v>
      </c>
      <c r="L23" s="54">
        <f>ROUND((K23-J23)/J23,4)</f>
        <v>1E-4</v>
      </c>
      <c r="M23" s="28">
        <f t="shared" ref="M23:M35" si="3">AB23</f>
        <v>-0.68</v>
      </c>
      <c r="N23" s="90">
        <f t="shared" ref="N23:N35" si="4">K23+M23</f>
        <v>76.16</v>
      </c>
      <c r="O23" s="91">
        <f t="shared" ref="O23:O35" si="5">ROUND((N23-J23)/J23,4)</f>
        <v>-8.8000000000000005E-3</v>
      </c>
      <c r="T23" s="7">
        <f>$T$21</f>
        <v>0</v>
      </c>
      <c r="U23" s="6">
        <f>A23*$U$18</f>
        <v>69.98</v>
      </c>
      <c r="V23" s="6">
        <f>T23+U23</f>
        <v>69.98</v>
      </c>
      <c r="X23" s="7">
        <f>+$X$21</f>
        <v>0</v>
      </c>
      <c r="Y23" s="6">
        <f>A23*$Y$18</f>
        <v>71.78</v>
      </c>
      <c r="Z23" s="6">
        <f>X23+Y23</f>
        <v>71.78</v>
      </c>
      <c r="AA23" s="84">
        <f t="shared" ref="AA23:AA33" si="6">$AA$18*A23</f>
        <v>1.7958576267527939</v>
      </c>
      <c r="AB23" s="84">
        <f t="shared" ref="AB23:AB33" si="7">$AB$18*A23</f>
        <v>-0.68</v>
      </c>
      <c r="AE23" s="84"/>
      <c r="AF23" s="17"/>
      <c r="AG23" s="141"/>
      <c r="AH23" s="8"/>
    </row>
    <row r="24" spans="1:34" x14ac:dyDescent="0.25">
      <c r="A24" s="1"/>
      <c r="C24" s="28"/>
      <c r="D24" s="28"/>
      <c r="E24" s="28"/>
      <c r="F24" s="90"/>
      <c r="G24" s="54"/>
      <c r="H24" s="28"/>
      <c r="I24" s="28"/>
      <c r="J24" s="28"/>
      <c r="K24" s="28"/>
      <c r="L24" s="54"/>
      <c r="M24" s="28"/>
      <c r="N24" s="90"/>
      <c r="O24" s="91"/>
      <c r="T24" s="55"/>
      <c r="U24" s="6"/>
      <c r="V24" s="6"/>
      <c r="X24" s="7"/>
      <c r="Y24" s="6"/>
      <c r="Z24" s="6"/>
      <c r="AA24" s="84"/>
      <c r="AB24" s="84"/>
      <c r="AE24" s="17"/>
      <c r="AF24" s="17"/>
      <c r="AG24" s="143"/>
      <c r="AH24" s="26"/>
    </row>
    <row r="25" spans="1:34" s="10" customFormat="1" x14ac:dyDescent="0.25">
      <c r="A25" s="1">
        <v>2000</v>
      </c>
      <c r="B25"/>
      <c r="C25" s="28">
        <f>+V25</f>
        <v>139.96</v>
      </c>
      <c r="D25" s="28">
        <f>+Z25</f>
        <v>143.56</v>
      </c>
      <c r="E25" s="28">
        <f t="shared" si="0"/>
        <v>3.5917152535055878</v>
      </c>
      <c r="F25" s="90">
        <f t="shared" si="1"/>
        <v>8.2847464944109106E-3</v>
      </c>
      <c r="G25" s="54">
        <f>ROUND(+F25/C25,4)</f>
        <v>1E-4</v>
      </c>
      <c r="H25" s="28">
        <f>ROUND($U$10*$A25,2)</f>
        <v>-2.67</v>
      </c>
      <c r="I25" s="28">
        <f>ROUND($U$11*$A25,2)</f>
        <v>12.79</v>
      </c>
      <c r="J25" s="28">
        <f t="shared" si="2"/>
        <v>153.6717152535056</v>
      </c>
      <c r="K25" s="28">
        <f>+D25+H25+I25</f>
        <v>153.68</v>
      </c>
      <c r="L25" s="54">
        <f>ROUND((K25-J25)/J25,4)</f>
        <v>1E-4</v>
      </c>
      <c r="M25" s="28">
        <f t="shared" si="3"/>
        <v>-1.36</v>
      </c>
      <c r="N25" s="90">
        <f t="shared" si="4"/>
        <v>152.32</v>
      </c>
      <c r="O25" s="91">
        <f t="shared" si="5"/>
        <v>-8.8000000000000005E-3</v>
      </c>
      <c r="T25" s="55">
        <f>$T$21</f>
        <v>0</v>
      </c>
      <c r="U25" s="6">
        <f>A25*$U$18</f>
        <v>139.96</v>
      </c>
      <c r="V25" s="11">
        <f>T25+U25</f>
        <v>139.96</v>
      </c>
      <c r="X25" s="7">
        <f>+$X$21</f>
        <v>0</v>
      </c>
      <c r="Y25" s="6">
        <f>A25*$Y$18</f>
        <v>143.56</v>
      </c>
      <c r="Z25" s="11">
        <f>X25+Y25</f>
        <v>143.56</v>
      </c>
      <c r="AA25" s="84">
        <f t="shared" si="6"/>
        <v>3.5917152535055878</v>
      </c>
      <c r="AB25" s="84">
        <f t="shared" si="7"/>
        <v>-1.36</v>
      </c>
      <c r="AE25" s="145"/>
      <c r="AF25" s="144"/>
      <c r="AG25" s="143"/>
      <c r="AH25" s="26"/>
    </row>
    <row r="26" spans="1:34" x14ac:dyDescent="0.25">
      <c r="A26" s="1"/>
      <c r="F26" s="90"/>
      <c r="J26" s="28"/>
      <c r="N26" s="17"/>
      <c r="O26" s="17"/>
      <c r="T26" s="7"/>
      <c r="U26" s="6"/>
      <c r="V26" s="6"/>
      <c r="X26" s="7"/>
      <c r="Y26" s="6"/>
      <c r="Z26" s="6"/>
      <c r="AA26" s="84"/>
      <c r="AB26" s="84"/>
      <c r="AE26" s="17"/>
      <c r="AF26" s="17"/>
      <c r="AG26" s="141"/>
      <c r="AH26" s="8"/>
    </row>
    <row r="27" spans="1:34" x14ac:dyDescent="0.25">
      <c r="A27" s="1">
        <v>3000</v>
      </c>
      <c r="C27" s="28">
        <f>+V27</f>
        <v>209.94</v>
      </c>
      <c r="D27" s="28">
        <f>+Z27</f>
        <v>215.34</v>
      </c>
      <c r="E27" s="28">
        <f t="shared" si="0"/>
        <v>5.3875728802583813</v>
      </c>
      <c r="F27" s="90">
        <f t="shared" si="1"/>
        <v>1.2427119741630577E-2</v>
      </c>
      <c r="G27" s="54">
        <f>ROUND(+F27/C27,4)</f>
        <v>1E-4</v>
      </c>
      <c r="H27" s="28">
        <f>ROUND($U$10*$A27,2)</f>
        <v>-4</v>
      </c>
      <c r="I27" s="28">
        <f>ROUND($U$11*$A27,2)</f>
        <v>19.18</v>
      </c>
      <c r="J27" s="28">
        <f t="shared" si="2"/>
        <v>230.50757288025838</v>
      </c>
      <c r="K27" s="28">
        <f>+D27+H27+I27</f>
        <v>230.52</v>
      </c>
      <c r="L27" s="54">
        <f>ROUND((K27-J27)/J27,4)</f>
        <v>1E-4</v>
      </c>
      <c r="M27" s="28">
        <f t="shared" si="3"/>
        <v>-2.04</v>
      </c>
      <c r="N27" s="90">
        <f t="shared" si="4"/>
        <v>228.48000000000002</v>
      </c>
      <c r="O27" s="91">
        <f t="shared" si="5"/>
        <v>-8.8000000000000005E-3</v>
      </c>
      <c r="T27" s="7">
        <f>$T$21</f>
        <v>0</v>
      </c>
      <c r="U27" s="6">
        <f>A27*$U$18</f>
        <v>209.94</v>
      </c>
      <c r="V27" s="6">
        <f>T27+U27</f>
        <v>209.94</v>
      </c>
      <c r="X27" s="7">
        <f>+$X$21</f>
        <v>0</v>
      </c>
      <c r="Y27" s="6">
        <f>A27*$Y$18</f>
        <v>215.34</v>
      </c>
      <c r="Z27" s="6">
        <f>X27+Y27</f>
        <v>215.34</v>
      </c>
      <c r="AA27" s="84">
        <f t="shared" si="6"/>
        <v>5.3875728802583813</v>
      </c>
      <c r="AB27" s="84">
        <f t="shared" si="7"/>
        <v>-2.04</v>
      </c>
      <c r="AE27" s="84"/>
      <c r="AF27" s="17"/>
      <c r="AG27" s="141"/>
      <c r="AH27" s="8"/>
    </row>
    <row r="28" spans="1:34" x14ac:dyDescent="0.25">
      <c r="F28" s="90"/>
      <c r="J28" s="28"/>
      <c r="N28" s="17"/>
      <c r="O28" s="17"/>
      <c r="T28" s="7"/>
      <c r="U28" s="6"/>
      <c r="V28" s="6"/>
      <c r="X28" s="7"/>
      <c r="Y28" s="6"/>
      <c r="Z28" s="6"/>
      <c r="AA28" s="84"/>
      <c r="AB28" s="84"/>
      <c r="AE28" s="17"/>
      <c r="AF28" s="17"/>
      <c r="AG28" s="141"/>
      <c r="AH28" s="8"/>
    </row>
    <row r="29" spans="1:34" x14ac:dyDescent="0.25">
      <c r="A29" s="1">
        <v>6000</v>
      </c>
      <c r="C29" s="28">
        <f>+V29</f>
        <v>419.88</v>
      </c>
      <c r="D29" s="28">
        <f>+Z29</f>
        <v>430.68</v>
      </c>
      <c r="E29" s="28">
        <f t="shared" si="0"/>
        <v>10.775145760516763</v>
      </c>
      <c r="F29" s="90">
        <f t="shared" si="1"/>
        <v>2.4854239483261154E-2</v>
      </c>
      <c r="G29" s="54">
        <f>ROUND(+F29/C29,4)</f>
        <v>1E-4</v>
      </c>
      <c r="H29" s="28">
        <f>ROUND($U$10*$A29,2)</f>
        <v>-8</v>
      </c>
      <c r="I29" s="28">
        <f>ROUND($U$11*$A29,2)</f>
        <v>38.369999999999997</v>
      </c>
      <c r="J29" s="28">
        <f t="shared" si="2"/>
        <v>461.02514576051675</v>
      </c>
      <c r="K29" s="28">
        <f>+D29+H29+I29</f>
        <v>461.05</v>
      </c>
      <c r="L29" s="54">
        <f>ROUND((K29-J29)/J29,4)</f>
        <v>1E-4</v>
      </c>
      <c r="M29" s="28">
        <f t="shared" si="3"/>
        <v>-4.08</v>
      </c>
      <c r="N29" s="90">
        <f t="shared" si="4"/>
        <v>456.97</v>
      </c>
      <c r="O29" s="91">
        <f t="shared" si="5"/>
        <v>-8.8000000000000005E-3</v>
      </c>
      <c r="T29" s="7">
        <f>$T$21</f>
        <v>0</v>
      </c>
      <c r="U29" s="6">
        <f>A29*$U$18</f>
        <v>419.88</v>
      </c>
      <c r="V29" s="6">
        <f>T29+U29</f>
        <v>419.88</v>
      </c>
      <c r="X29" s="7">
        <f>+$X$21</f>
        <v>0</v>
      </c>
      <c r="Y29" s="6">
        <f>A29*$Y$18</f>
        <v>430.68</v>
      </c>
      <c r="Z29" s="6">
        <f>X29+Y29</f>
        <v>430.68</v>
      </c>
      <c r="AA29" s="84">
        <f t="shared" si="6"/>
        <v>10.775145760516763</v>
      </c>
      <c r="AB29" s="84">
        <f t="shared" si="7"/>
        <v>-4.08</v>
      </c>
      <c r="AE29" s="84"/>
      <c r="AF29" s="17"/>
      <c r="AG29" s="141"/>
      <c r="AH29" s="8"/>
    </row>
    <row r="30" spans="1:34" x14ac:dyDescent="0.25">
      <c r="A30" s="1"/>
      <c r="F30" s="90"/>
      <c r="J30" s="28"/>
      <c r="N30" s="17"/>
      <c r="O30" s="17"/>
      <c r="T30" s="7"/>
      <c r="U30" s="6"/>
      <c r="V30" s="6"/>
      <c r="X30" s="7"/>
      <c r="Y30" s="6"/>
      <c r="Z30" s="6"/>
      <c r="AA30" s="84"/>
      <c r="AB30" s="84"/>
      <c r="AE30" s="17"/>
      <c r="AF30" s="17"/>
      <c r="AG30" s="141"/>
      <c r="AH30" s="8"/>
    </row>
    <row r="31" spans="1:34" x14ac:dyDescent="0.25">
      <c r="A31" s="1">
        <v>9000</v>
      </c>
      <c r="C31" s="28">
        <f>+V31</f>
        <v>629.82000000000005</v>
      </c>
      <c r="D31" s="28">
        <f>+Z31</f>
        <v>646.02</v>
      </c>
      <c r="E31" s="28">
        <f t="shared" si="0"/>
        <v>16.162718640775143</v>
      </c>
      <c r="F31" s="90">
        <f t="shared" si="1"/>
        <v>3.7281359224834887E-2</v>
      </c>
      <c r="G31" s="54">
        <f>ROUND(+F31/C31,4)</f>
        <v>1E-4</v>
      </c>
      <c r="H31" s="28">
        <f>ROUND($U$10*$A31,2)</f>
        <v>-12</v>
      </c>
      <c r="I31" s="28">
        <f>ROUND($U$11*$A31,2)</f>
        <v>57.55</v>
      </c>
      <c r="J31" s="28">
        <f t="shared" si="2"/>
        <v>691.5327186407751</v>
      </c>
      <c r="K31" s="28">
        <f>+D31+H31+I31</f>
        <v>691.56999999999994</v>
      </c>
      <c r="L31" s="54">
        <f>ROUND((K31-J31)/J31,4)</f>
        <v>1E-4</v>
      </c>
      <c r="M31" s="28">
        <f t="shared" si="3"/>
        <v>-6.12</v>
      </c>
      <c r="N31" s="90">
        <f t="shared" si="4"/>
        <v>685.44999999999993</v>
      </c>
      <c r="O31" s="91">
        <f t="shared" si="5"/>
        <v>-8.8000000000000005E-3</v>
      </c>
      <c r="T31" s="7">
        <f>$T$21</f>
        <v>0</v>
      </c>
      <c r="U31" s="6">
        <f>A31*$U$18</f>
        <v>629.82000000000005</v>
      </c>
      <c r="V31" s="6">
        <f>T31+U31</f>
        <v>629.82000000000005</v>
      </c>
      <c r="X31" s="7">
        <f>+$X$21</f>
        <v>0</v>
      </c>
      <c r="Y31" s="6">
        <f>A31*$Y$18</f>
        <v>646.02</v>
      </c>
      <c r="Z31" s="6">
        <f>X31+Y31</f>
        <v>646.02</v>
      </c>
      <c r="AA31" s="84">
        <f t="shared" si="6"/>
        <v>16.162718640775143</v>
      </c>
      <c r="AB31" s="84">
        <f t="shared" si="7"/>
        <v>-6.12</v>
      </c>
      <c r="AE31" s="84"/>
      <c r="AF31" s="17"/>
      <c r="AG31" s="141"/>
      <c r="AH31" s="8"/>
    </row>
    <row r="32" spans="1:34" x14ac:dyDescent="0.25">
      <c r="F32" s="90"/>
      <c r="J32" s="28"/>
      <c r="N32" s="17"/>
      <c r="O32" s="17"/>
      <c r="T32" s="7"/>
      <c r="U32" s="6"/>
      <c r="V32" s="6"/>
      <c r="X32" s="7"/>
      <c r="Y32" s="6"/>
      <c r="Z32" s="6"/>
      <c r="AA32" s="84"/>
      <c r="AB32" s="84"/>
      <c r="AE32" s="17"/>
      <c r="AF32" s="17"/>
      <c r="AG32" s="141"/>
      <c r="AH32" s="8"/>
    </row>
    <row r="33" spans="1:34" x14ac:dyDescent="0.25">
      <c r="A33" s="1">
        <v>12000</v>
      </c>
      <c r="C33" s="28">
        <f>+V33</f>
        <v>839.76</v>
      </c>
      <c r="D33" s="28">
        <f>+Z33</f>
        <v>861.36</v>
      </c>
      <c r="E33" s="28">
        <f t="shared" si="0"/>
        <v>21.550291521033525</v>
      </c>
      <c r="F33" s="90">
        <f t="shared" si="1"/>
        <v>4.9708478966522307E-2</v>
      </c>
      <c r="G33" s="54">
        <f>ROUND(+F33/C33,4)</f>
        <v>1E-4</v>
      </c>
      <c r="H33" s="28">
        <f>ROUND($U$10*$A33,2)</f>
        <v>-15.99</v>
      </c>
      <c r="I33" s="28">
        <f>ROUND($U$11*$A33,2)</f>
        <v>76.73</v>
      </c>
      <c r="J33" s="28">
        <f t="shared" si="2"/>
        <v>922.0502915210335</v>
      </c>
      <c r="K33" s="28">
        <f>+D33+H33+I33</f>
        <v>922.1</v>
      </c>
      <c r="L33" s="54">
        <f>ROUND((K33-J33)/J33,4)</f>
        <v>1E-4</v>
      </c>
      <c r="M33" s="28">
        <f t="shared" si="3"/>
        <v>-8.16</v>
      </c>
      <c r="N33" s="90">
        <f t="shared" si="4"/>
        <v>913.94</v>
      </c>
      <c r="O33" s="91">
        <f t="shared" si="5"/>
        <v>-8.8000000000000005E-3</v>
      </c>
      <c r="T33" s="7">
        <f>$T$21</f>
        <v>0</v>
      </c>
      <c r="U33" s="6">
        <f>A33*$U$18</f>
        <v>839.76</v>
      </c>
      <c r="V33" s="6">
        <f>T33+U33</f>
        <v>839.76</v>
      </c>
      <c r="X33" s="7">
        <f>+$X$21</f>
        <v>0</v>
      </c>
      <c r="Y33" s="6">
        <f>A33*$Y$18</f>
        <v>861.36</v>
      </c>
      <c r="Z33" s="6">
        <f>X33+Y33</f>
        <v>861.36</v>
      </c>
      <c r="AA33" s="84">
        <f t="shared" si="6"/>
        <v>21.550291521033525</v>
      </c>
      <c r="AB33" s="84">
        <f t="shared" si="7"/>
        <v>-8.16</v>
      </c>
      <c r="AE33" s="84"/>
      <c r="AF33" s="17"/>
      <c r="AG33" s="141"/>
      <c r="AH33" s="8"/>
    </row>
    <row r="34" spans="1:34" x14ac:dyDescent="0.25">
      <c r="F34" s="90"/>
      <c r="J34" s="28"/>
      <c r="N34" s="17"/>
      <c r="O34" s="17"/>
      <c r="T34" s="7"/>
      <c r="U34" s="6"/>
      <c r="V34" s="6"/>
      <c r="X34" s="7"/>
      <c r="Y34" s="6"/>
      <c r="Z34" s="6"/>
      <c r="AA34" s="84"/>
      <c r="AB34" s="84"/>
      <c r="AE34" s="17"/>
      <c r="AF34" s="17"/>
      <c r="AG34" s="141"/>
      <c r="AH34" s="8"/>
    </row>
    <row r="35" spans="1:34" x14ac:dyDescent="0.25">
      <c r="A35" s="1">
        <v>15000</v>
      </c>
      <c r="C35" s="28">
        <f>+V35</f>
        <v>1049.7</v>
      </c>
      <c r="D35" s="28">
        <f>+Z35</f>
        <v>1076.7</v>
      </c>
      <c r="E35" s="28">
        <f t="shared" si="0"/>
        <v>26.937864401291908</v>
      </c>
      <c r="F35" s="90">
        <f>+D35-(E35+C35)</f>
        <v>6.2135598707982354E-2</v>
      </c>
      <c r="G35" s="54">
        <f>ROUND(+F35/C35,4)</f>
        <v>1E-4</v>
      </c>
      <c r="H35" s="28">
        <f>ROUND($U$10*$A35,2)</f>
        <v>-19.989999999999998</v>
      </c>
      <c r="I35" s="28">
        <f>ROUND($U$11*$A35,2)</f>
        <v>95.92</v>
      </c>
      <c r="J35" s="28">
        <f t="shared" si="2"/>
        <v>1152.5678644012921</v>
      </c>
      <c r="K35" s="28">
        <f>+D35+H35+I35</f>
        <v>1152.6300000000001</v>
      </c>
      <c r="L35" s="54">
        <f>ROUND((K35-J35)/J35,4)</f>
        <v>1E-4</v>
      </c>
      <c r="M35" s="28">
        <f t="shared" si="3"/>
        <v>-10.200000000000001</v>
      </c>
      <c r="N35" s="90">
        <f t="shared" si="4"/>
        <v>1142.43</v>
      </c>
      <c r="O35" s="91">
        <f t="shared" si="5"/>
        <v>-8.8000000000000005E-3</v>
      </c>
      <c r="T35" s="7">
        <f>$T$21</f>
        <v>0</v>
      </c>
      <c r="U35" s="6">
        <f>A35*$U$18</f>
        <v>1049.7</v>
      </c>
      <c r="V35" s="6">
        <f>T35+U35</f>
        <v>1049.7</v>
      </c>
      <c r="X35" s="7">
        <f>+$X$21</f>
        <v>0</v>
      </c>
      <c r="Y35" s="6">
        <f>A35*$Y$18</f>
        <v>1076.7</v>
      </c>
      <c r="Z35" s="6">
        <f>X35+Y35</f>
        <v>1076.7</v>
      </c>
      <c r="AA35" s="84">
        <f>$AA$18*A35</f>
        <v>26.937864401291908</v>
      </c>
      <c r="AB35" s="84">
        <f>$AB$18*A35</f>
        <v>-10.200000000000001</v>
      </c>
      <c r="AE35" s="84"/>
      <c r="AF35" s="17"/>
      <c r="AG35" s="141"/>
      <c r="AH35" s="8"/>
    </row>
    <row r="37" spans="1:34" x14ac:dyDescent="0.25">
      <c r="A37" s="17" t="s">
        <v>301</v>
      </c>
    </row>
    <row r="38" spans="1:34" s="17" customFormat="1" x14ac:dyDescent="0.25">
      <c r="A38" s="174" t="str">
        <f>("Average Usage = "&amp;TEXT(INPUT!$P$26*1,"0,000")&amp;" kWh per month")</f>
        <v>Average Usage = 3,373 kWh per month</v>
      </c>
    </row>
    <row r="39" spans="1:34" s="17" customFormat="1" x14ac:dyDescent="0.25">
      <c r="A39" s="175" t="str">
        <f>+'Rate Case Constants'!$C$26</f>
        <v>Calculations may vary from other schedules due to rounding</v>
      </c>
    </row>
    <row r="40" spans="1:34" x14ac:dyDescent="0.25">
      <c r="A40" s="175" t="s">
        <v>302</v>
      </c>
    </row>
    <row r="41" spans="1:34" ht="12" customHeight="1" x14ac:dyDescent="0.25">
      <c r="A41" s="176" t="s">
        <v>304</v>
      </c>
    </row>
    <row r="42" spans="1:34" x14ac:dyDescent="0.25">
      <c r="A42" s="29"/>
    </row>
  </sheetData>
  <mergeCells count="5">
    <mergeCell ref="H15:I15"/>
    <mergeCell ref="A1:O1"/>
    <mergeCell ref="A2:O2"/>
    <mergeCell ref="A3:O3"/>
    <mergeCell ref="A4:O4"/>
  </mergeCells>
  <printOptions horizontalCentered="1"/>
  <pageMargins left="0.75" right="0.75" top="1.5" bottom="0.5" header="1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G139"/>
  <sheetViews>
    <sheetView zoomScale="70" zoomScaleNormal="70" zoomScaleSheetLayoutView="85" workbookViewId="0">
      <pane xSplit="1" topLeftCell="B1" activePane="topRight" state="frozen"/>
      <selection pane="topRight"/>
    </sheetView>
  </sheetViews>
  <sheetFormatPr defaultRowHeight="12.5" x14ac:dyDescent="0.25"/>
  <cols>
    <col min="1" max="1" width="28.81640625" customWidth="1"/>
    <col min="2" max="2" width="18.7265625" customWidth="1"/>
    <col min="3" max="3" width="17.453125" customWidth="1"/>
    <col min="4" max="4" width="16.26953125" customWidth="1"/>
    <col min="5" max="5" width="17.26953125" bestFit="1" customWidth="1"/>
    <col min="6" max="6" width="16.453125" customWidth="1"/>
    <col min="7" max="8" width="14.54296875" bestFit="1" customWidth="1"/>
    <col min="9" max="9" width="15.54296875" customWidth="1"/>
    <col min="10" max="10" width="14.26953125" bestFit="1" customWidth="1"/>
    <col min="11" max="11" width="20.453125" bestFit="1" customWidth="1"/>
    <col min="12" max="12" width="19" bestFit="1" customWidth="1"/>
    <col min="13" max="13" width="12.81640625" bestFit="1" customWidth="1"/>
    <col min="14" max="15" width="13.54296875" customWidth="1"/>
    <col min="16" max="16" width="10" bestFit="1" customWidth="1"/>
    <col min="17" max="17" width="12" bestFit="1" customWidth="1"/>
    <col min="18" max="20" width="12.26953125" customWidth="1"/>
    <col min="21" max="21" width="11.453125" customWidth="1"/>
    <col min="22" max="22" width="11.453125" style="17" customWidth="1"/>
    <col min="28" max="28" width="11.26953125" customWidth="1"/>
    <col min="29" max="29" width="39.54296875" customWidth="1"/>
    <col min="30" max="30" width="15.54296875" customWidth="1"/>
    <col min="31" max="31" width="16.1796875" customWidth="1"/>
  </cols>
  <sheetData>
    <row r="1" spans="1:33" ht="13" x14ac:dyDescent="0.3">
      <c r="A1" s="2" t="s">
        <v>56</v>
      </c>
      <c r="B1" s="25" t="s">
        <v>228</v>
      </c>
      <c r="C1" s="3" t="s">
        <v>77</v>
      </c>
      <c r="D1" s="3" t="s">
        <v>78</v>
      </c>
      <c r="E1" s="3" t="s">
        <v>7</v>
      </c>
      <c r="F1" s="3" t="s">
        <v>7</v>
      </c>
      <c r="G1" s="25" t="s">
        <v>60</v>
      </c>
      <c r="H1" s="25" t="s">
        <v>60</v>
      </c>
      <c r="I1" s="3" t="s">
        <v>12</v>
      </c>
      <c r="J1" s="3" t="s">
        <v>12</v>
      </c>
      <c r="K1" s="3" t="s">
        <v>26</v>
      </c>
      <c r="L1" s="3" t="s">
        <v>26</v>
      </c>
      <c r="M1" s="3" t="s">
        <v>18</v>
      </c>
      <c r="N1" s="25" t="s">
        <v>61</v>
      </c>
      <c r="O1" s="25" t="s">
        <v>61</v>
      </c>
      <c r="P1" s="85" t="s">
        <v>221</v>
      </c>
      <c r="Q1" s="83" t="s">
        <v>222</v>
      </c>
      <c r="R1" s="85" t="s">
        <v>344</v>
      </c>
      <c r="S1" s="85" t="s">
        <v>344</v>
      </c>
      <c r="T1" s="85" t="s">
        <v>594</v>
      </c>
      <c r="U1" s="243" t="s">
        <v>419</v>
      </c>
      <c r="V1" s="86" t="s">
        <v>418</v>
      </c>
    </row>
    <row r="2" spans="1:33" ht="13" x14ac:dyDescent="0.3">
      <c r="B2" s="3"/>
      <c r="C2" s="3"/>
      <c r="D2" s="3"/>
      <c r="E2" s="3" t="s">
        <v>32</v>
      </c>
      <c r="F2" s="3" t="s">
        <v>33</v>
      </c>
      <c r="G2" s="3" t="s">
        <v>32</v>
      </c>
      <c r="H2" s="3" t="s">
        <v>33</v>
      </c>
      <c r="I2" s="3" t="s">
        <v>13</v>
      </c>
      <c r="J2" s="3" t="s">
        <v>14</v>
      </c>
      <c r="K2" s="3" t="s">
        <v>13</v>
      </c>
      <c r="L2" s="3" t="s">
        <v>14</v>
      </c>
      <c r="M2" s="3"/>
      <c r="N2" s="3" t="s">
        <v>62</v>
      </c>
      <c r="O2" s="3" t="s">
        <v>13</v>
      </c>
      <c r="P2" s="85"/>
      <c r="Q2" s="17"/>
      <c r="R2" s="3" t="s">
        <v>13</v>
      </c>
      <c r="S2" s="3" t="s">
        <v>14</v>
      </c>
      <c r="T2" s="3"/>
      <c r="U2" s="17"/>
      <c r="X2" s="2" t="s">
        <v>158</v>
      </c>
      <c r="Z2" t="s">
        <v>20</v>
      </c>
      <c r="AC2" s="2" t="s">
        <v>213</v>
      </c>
    </row>
    <row r="3" spans="1:33" ht="13" x14ac:dyDescent="0.3">
      <c r="B3" s="85"/>
      <c r="C3" s="85"/>
      <c r="D3" s="8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X3" s="246" t="s">
        <v>159</v>
      </c>
      <c r="Y3">
        <v>360</v>
      </c>
      <c r="Z3" s="328" t="e">
        <f t="shared" ref="Z3:Z15" si="0">VLOOKUP(Y3,$AB$9:$AF$130,5,FALSE)</f>
        <v>#N/A</v>
      </c>
      <c r="AC3" s="65"/>
      <c r="AD3" s="65"/>
      <c r="AE3" s="65"/>
    </row>
    <row r="4" spans="1:33" ht="15.5" thickBot="1" x14ac:dyDescent="0.3">
      <c r="A4" s="17" t="s">
        <v>8</v>
      </c>
      <c r="B4" s="255">
        <f>0.53*365.25/12</f>
        <v>16.131875000000001</v>
      </c>
      <c r="C4" s="255">
        <f>0.53*365.25/12</f>
        <v>16.131875000000001</v>
      </c>
      <c r="D4" s="255">
        <f>0.53*365.25/12</f>
        <v>16.131875000000001</v>
      </c>
      <c r="E4" s="255">
        <f>1.04*365.25/12</f>
        <v>31.655000000000001</v>
      </c>
      <c r="F4" s="255">
        <f>1.66*365.25/12</f>
        <v>50.526249999999997</v>
      </c>
      <c r="G4" s="255">
        <f>2.8*365.25/12</f>
        <v>85.224999999999994</v>
      </c>
      <c r="H4" s="255">
        <f>4.6*365.25/12</f>
        <v>140.01249999999999</v>
      </c>
      <c r="I4" s="255">
        <f>7.89*365.25/12</f>
        <v>240.15187499999999</v>
      </c>
      <c r="J4" s="255">
        <f>2.96*365.25/12</f>
        <v>90.095000000000013</v>
      </c>
      <c r="K4" s="255">
        <f>10.84*365.25/12</f>
        <v>329.9425</v>
      </c>
      <c r="L4" s="255">
        <f>6.58*365.25/12</f>
        <v>200.27874999999997</v>
      </c>
      <c r="M4" s="255">
        <f>49.28*365.25/12</f>
        <v>1499.96</v>
      </c>
      <c r="N4" s="255">
        <f>49.28*365.25/12</f>
        <v>1499.96</v>
      </c>
      <c r="O4" s="255">
        <f>10.84*365.25/12</f>
        <v>329.9425</v>
      </c>
      <c r="P4" s="255">
        <v>0</v>
      </c>
      <c r="Q4" s="255">
        <f>0.13*365.25/12</f>
        <v>3.9568750000000001</v>
      </c>
      <c r="R4" s="255">
        <f>7.89*365.25/12</f>
        <v>240.15187499999999</v>
      </c>
      <c r="S4" s="255">
        <f>2.96*365.25/12</f>
        <v>90.095000000000013</v>
      </c>
      <c r="T4" s="255"/>
      <c r="U4" s="255">
        <v>7.25</v>
      </c>
      <c r="V4" s="255"/>
      <c r="X4" s="246" t="s">
        <v>160</v>
      </c>
      <c r="Y4">
        <v>361</v>
      </c>
      <c r="Z4" s="328" t="e">
        <f t="shared" si="0"/>
        <v>#N/A</v>
      </c>
      <c r="AC4" s="77" t="s">
        <v>149</v>
      </c>
      <c r="AD4" s="65"/>
      <c r="AE4" s="65"/>
    </row>
    <row r="5" spans="1:33" ht="14.5" thickBot="1" x14ac:dyDescent="0.3">
      <c r="A5" s="17"/>
      <c r="B5" s="256"/>
      <c r="C5" s="256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17"/>
      <c r="X5" s="246" t="s">
        <v>161</v>
      </c>
      <c r="Y5">
        <v>362</v>
      </c>
      <c r="Z5" s="328" t="e">
        <f t="shared" si="0"/>
        <v>#N/A</v>
      </c>
      <c r="AC5" s="73"/>
      <c r="AD5" s="93" t="s">
        <v>84</v>
      </c>
      <c r="AE5" s="94"/>
    </row>
    <row r="6" spans="1:33" ht="14.5" thickBot="1" x14ac:dyDescent="0.3">
      <c r="A6" s="17" t="s">
        <v>9</v>
      </c>
      <c r="B6" s="258">
        <v>8.9630000000000001E-2</v>
      </c>
      <c r="C6" s="258"/>
      <c r="D6" s="258">
        <v>4.3529999999999999E-2</v>
      </c>
      <c r="E6" s="258">
        <v>0.11225</v>
      </c>
      <c r="F6" s="258">
        <v>0.11225</v>
      </c>
      <c r="G6" s="258">
        <v>8.7319999999999995E-2</v>
      </c>
      <c r="H6" s="258">
        <v>8.7319999999999995E-2</v>
      </c>
      <c r="I6" s="258">
        <v>3.1899999999999998E-2</v>
      </c>
      <c r="J6" s="258">
        <v>3.2489999999999998E-2</v>
      </c>
      <c r="K6" s="258">
        <v>2.5729999999999999E-2</v>
      </c>
      <c r="L6" s="258">
        <v>2.6579999999999999E-2</v>
      </c>
      <c r="M6" s="258">
        <v>2.513E-2</v>
      </c>
      <c r="N6" s="258">
        <v>2.513E-2</v>
      </c>
      <c r="O6" s="258">
        <v>2.5729999999999999E-2</v>
      </c>
      <c r="P6" s="258">
        <v>6.9980000000000001E-2</v>
      </c>
      <c r="Q6" s="258">
        <v>8.6889999999999995E-2</v>
      </c>
      <c r="R6" s="258">
        <v>3.032E-2</v>
      </c>
      <c r="S6" s="258">
        <v>3.2489999999999998E-2</v>
      </c>
      <c r="T6" s="257"/>
      <c r="U6" s="36"/>
      <c r="V6" s="36"/>
      <c r="X6" s="246" t="s">
        <v>162</v>
      </c>
      <c r="Y6">
        <v>363</v>
      </c>
      <c r="Z6" s="328" t="e">
        <f t="shared" si="0"/>
        <v>#N/A</v>
      </c>
      <c r="AC6" s="67"/>
      <c r="AD6" s="68" t="s">
        <v>1</v>
      </c>
      <c r="AE6" s="247" t="s">
        <v>6</v>
      </c>
      <c r="AF6" s="92" t="s">
        <v>20</v>
      </c>
    </row>
    <row r="7" spans="1:33" ht="14.5" thickBot="1" x14ac:dyDescent="0.3">
      <c r="A7" s="17" t="s">
        <v>29</v>
      </c>
      <c r="B7" s="258"/>
      <c r="C7" s="258">
        <v>0.27542</v>
      </c>
      <c r="D7" s="258"/>
      <c r="E7" s="258"/>
      <c r="F7" s="258"/>
      <c r="G7" s="258"/>
      <c r="H7" s="258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59"/>
      <c r="U7" s="36"/>
      <c r="V7" s="36"/>
      <c r="X7" s="246" t="s">
        <v>163</v>
      </c>
      <c r="Y7">
        <v>364</v>
      </c>
      <c r="Z7" s="328" t="e">
        <f t="shared" si="0"/>
        <v>#N/A</v>
      </c>
      <c r="AC7" s="69" t="s">
        <v>85</v>
      </c>
      <c r="AD7" s="247"/>
      <c r="AE7" s="247"/>
    </row>
    <row r="8" spans="1:33" ht="14.5" thickBot="1" x14ac:dyDescent="0.3">
      <c r="A8" s="17" t="s">
        <v>30</v>
      </c>
      <c r="B8" s="258"/>
      <c r="C8" s="258">
        <v>5.7599999999999998E-2</v>
      </c>
      <c r="D8" s="258"/>
      <c r="E8" s="258"/>
      <c r="F8" s="258"/>
      <c r="G8" s="258"/>
      <c r="H8" s="258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59"/>
      <c r="U8" s="36"/>
      <c r="V8" s="36"/>
      <c r="X8" s="246" t="s">
        <v>164</v>
      </c>
      <c r="Y8">
        <v>365</v>
      </c>
      <c r="Z8" s="328" t="e">
        <f t="shared" si="0"/>
        <v>#N/A</v>
      </c>
      <c r="AC8" s="70" t="s">
        <v>86</v>
      </c>
      <c r="AD8" s="247"/>
      <c r="AE8" s="247"/>
    </row>
    <row r="9" spans="1:33" ht="14.5" thickBot="1" x14ac:dyDescent="0.3">
      <c r="A9" s="17"/>
      <c r="B9" s="17"/>
      <c r="C9" s="3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30"/>
      <c r="R9" s="130"/>
      <c r="S9" s="130"/>
      <c r="T9" s="130"/>
      <c r="U9" s="130"/>
      <c r="V9" s="130"/>
      <c r="X9" s="246" t="s">
        <v>165</v>
      </c>
      <c r="Y9">
        <v>366</v>
      </c>
      <c r="Z9" s="328" t="e">
        <f t="shared" si="0"/>
        <v>#N/A</v>
      </c>
      <c r="AB9">
        <v>462</v>
      </c>
      <c r="AC9" s="71" t="s">
        <v>87</v>
      </c>
      <c r="AD9" s="372">
        <v>10.53</v>
      </c>
      <c r="AE9" s="372">
        <v>10.71</v>
      </c>
      <c r="AF9" s="269">
        <v>8.3000000000000004E-2</v>
      </c>
      <c r="AG9" s="29" t="s">
        <v>374</v>
      </c>
    </row>
    <row r="10" spans="1:33" ht="14.5" thickBot="1" x14ac:dyDescent="0.3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35"/>
      <c r="L10" s="35"/>
      <c r="M10" s="38"/>
      <c r="N10" s="38"/>
      <c r="O10" s="38"/>
      <c r="P10" s="17"/>
      <c r="Q10" s="82"/>
      <c r="R10" s="82"/>
      <c r="S10" s="82"/>
      <c r="T10" s="82"/>
      <c r="U10" s="82"/>
      <c r="V10" s="82"/>
      <c r="X10" s="246" t="s">
        <v>166</v>
      </c>
      <c r="Y10">
        <v>367</v>
      </c>
      <c r="Z10" s="328" t="e">
        <f t="shared" si="0"/>
        <v>#N/A</v>
      </c>
      <c r="AB10">
        <v>472</v>
      </c>
      <c r="AC10" s="72" t="s">
        <v>88</v>
      </c>
      <c r="AD10" s="273">
        <v>14.34</v>
      </c>
      <c r="AE10" s="273">
        <v>14.59</v>
      </c>
      <c r="AF10" s="269">
        <v>8.3000000000000004E-2</v>
      </c>
      <c r="AG10" s="29" t="s">
        <v>374</v>
      </c>
    </row>
    <row r="11" spans="1:33" ht="14.5" thickBot="1" x14ac:dyDescent="0.3">
      <c r="A11" s="58" t="s">
        <v>49</v>
      </c>
      <c r="B11" s="17"/>
      <c r="C11" s="17"/>
      <c r="D11" s="17"/>
      <c r="E11" s="17"/>
      <c r="F11" s="17"/>
      <c r="G11" s="17"/>
      <c r="H11" s="17"/>
      <c r="I11" s="259">
        <v>22.84</v>
      </c>
      <c r="J11" s="259">
        <v>22.77</v>
      </c>
      <c r="K11" s="35"/>
      <c r="L11" s="35"/>
      <c r="M11" s="38"/>
      <c r="N11" s="38"/>
      <c r="O11" s="38"/>
      <c r="P11" s="17"/>
      <c r="Q11" s="82"/>
      <c r="R11" s="82"/>
      <c r="S11" s="82"/>
      <c r="T11" s="82"/>
      <c r="U11" s="82"/>
      <c r="V11" s="82"/>
      <c r="X11" s="246" t="s">
        <v>167</v>
      </c>
      <c r="Y11">
        <v>368</v>
      </c>
      <c r="Z11" s="328" t="e">
        <f t="shared" si="0"/>
        <v>#N/A</v>
      </c>
      <c r="AB11">
        <v>463</v>
      </c>
      <c r="AC11" s="72" t="s">
        <v>89</v>
      </c>
      <c r="AD11" s="273">
        <v>10.87</v>
      </c>
      <c r="AE11" s="273">
        <v>11.06</v>
      </c>
      <c r="AF11" s="269">
        <v>0.11700000000000001</v>
      </c>
      <c r="AG11" s="29" t="s">
        <v>374</v>
      </c>
    </row>
    <row r="12" spans="1:33" ht="14.5" thickBot="1" x14ac:dyDescent="0.3">
      <c r="A12" s="58" t="s">
        <v>50</v>
      </c>
      <c r="B12" s="17"/>
      <c r="C12" s="17"/>
      <c r="D12" s="17"/>
      <c r="E12" s="17"/>
      <c r="F12" s="17"/>
      <c r="G12" s="17"/>
      <c r="H12" s="17"/>
      <c r="I12" s="259">
        <v>20.5</v>
      </c>
      <c r="J12" s="259">
        <v>20.39</v>
      </c>
      <c r="K12" s="35"/>
      <c r="L12" s="35"/>
      <c r="M12" s="38"/>
      <c r="N12" s="38"/>
      <c r="O12" s="38"/>
      <c r="P12" s="17"/>
      <c r="Q12" s="82"/>
      <c r="R12" s="82"/>
      <c r="S12" s="82"/>
      <c r="T12" s="82"/>
      <c r="U12" s="82"/>
      <c r="V12" s="82"/>
      <c r="X12" s="246" t="s">
        <v>168</v>
      </c>
      <c r="Y12">
        <v>370</v>
      </c>
      <c r="Z12" s="328" t="e">
        <f t="shared" si="0"/>
        <v>#N/A</v>
      </c>
      <c r="AB12">
        <v>473</v>
      </c>
      <c r="AC12" s="72" t="s">
        <v>90</v>
      </c>
      <c r="AD12" s="273">
        <v>14.9</v>
      </c>
      <c r="AE12" s="273">
        <v>15.16</v>
      </c>
      <c r="AF12" s="269">
        <v>0.11700000000000001</v>
      </c>
      <c r="AG12" s="29" t="s">
        <v>374</v>
      </c>
    </row>
    <row r="13" spans="1:33" ht="14.5" thickBot="1" x14ac:dyDescent="0.3">
      <c r="A13" s="17" t="s">
        <v>29</v>
      </c>
      <c r="B13" s="17"/>
      <c r="C13" s="17"/>
      <c r="D13" s="259">
        <v>8.9</v>
      </c>
      <c r="E13" s="17"/>
      <c r="F13" s="17"/>
      <c r="G13" s="17"/>
      <c r="H13" s="17"/>
      <c r="I13" s="17"/>
      <c r="J13" s="17"/>
      <c r="K13" s="255">
        <v>8.52</v>
      </c>
      <c r="L13" s="255">
        <v>8.7899999999999991</v>
      </c>
      <c r="M13" s="260">
        <v>8.39</v>
      </c>
      <c r="N13" s="260">
        <v>4.42</v>
      </c>
      <c r="O13" s="260">
        <v>7.66</v>
      </c>
      <c r="P13" s="17"/>
      <c r="Q13" s="130"/>
      <c r="R13" s="370">
        <v>20.04</v>
      </c>
      <c r="S13" s="370">
        <v>24.17</v>
      </c>
      <c r="T13" s="130"/>
      <c r="U13" s="130"/>
      <c r="V13" s="130"/>
      <c r="X13" s="246" t="s">
        <v>169</v>
      </c>
      <c r="Y13">
        <v>372</v>
      </c>
      <c r="Z13" s="328" t="e">
        <f t="shared" si="0"/>
        <v>#N/A</v>
      </c>
      <c r="AB13">
        <v>464</v>
      </c>
      <c r="AC13" s="72" t="s">
        <v>91</v>
      </c>
      <c r="AD13" s="273">
        <v>16.86</v>
      </c>
      <c r="AE13" s="273">
        <v>17.149999999999999</v>
      </c>
      <c r="AF13" s="269">
        <v>0.24199999999999999</v>
      </c>
      <c r="AG13" s="29" t="s">
        <v>374</v>
      </c>
    </row>
    <row r="14" spans="1:33" ht="14.5" thickBot="1" x14ac:dyDescent="0.3">
      <c r="A14" s="17" t="s">
        <v>28</v>
      </c>
      <c r="B14" s="17"/>
      <c r="C14" s="17"/>
      <c r="D14" s="259"/>
      <c r="E14" s="17"/>
      <c r="F14" s="17"/>
      <c r="G14" s="17"/>
      <c r="H14" s="17"/>
      <c r="I14" s="17"/>
      <c r="J14" s="17"/>
      <c r="K14" s="255">
        <v>6.84</v>
      </c>
      <c r="L14" s="255">
        <v>7.07</v>
      </c>
      <c r="M14" s="260">
        <v>6.74</v>
      </c>
      <c r="N14" s="260">
        <v>3.22</v>
      </c>
      <c r="O14" s="260">
        <v>6.06</v>
      </c>
      <c r="P14" s="17"/>
      <c r="Q14" s="82"/>
      <c r="R14" s="267"/>
      <c r="S14" s="267"/>
      <c r="T14" s="82"/>
      <c r="U14" s="82"/>
      <c r="V14" s="82"/>
      <c r="X14" s="246" t="s">
        <v>170</v>
      </c>
      <c r="Y14">
        <v>373</v>
      </c>
      <c r="Z14" s="328" t="e">
        <f t="shared" si="0"/>
        <v>#N/A</v>
      </c>
      <c r="AB14">
        <v>474</v>
      </c>
      <c r="AC14" s="72" t="s">
        <v>92</v>
      </c>
      <c r="AD14" s="273">
        <v>21.18</v>
      </c>
      <c r="AE14" s="273">
        <v>21.55</v>
      </c>
      <c r="AF14" s="269">
        <v>0.24199999999999999</v>
      </c>
      <c r="AG14" s="29" t="s">
        <v>374</v>
      </c>
    </row>
    <row r="15" spans="1:33" ht="14.5" thickBot="1" x14ac:dyDescent="0.3">
      <c r="A15" s="17" t="s">
        <v>30</v>
      </c>
      <c r="B15" s="17"/>
      <c r="C15" s="258"/>
      <c r="D15" s="259">
        <v>3.44</v>
      </c>
      <c r="E15" s="17"/>
      <c r="F15" s="17"/>
      <c r="G15" s="17"/>
      <c r="H15" s="17"/>
      <c r="I15" s="17"/>
      <c r="J15" s="17"/>
      <c r="K15" s="255">
        <v>2.0299999999999998</v>
      </c>
      <c r="L15" s="255">
        <v>1.75</v>
      </c>
      <c r="M15" s="260">
        <v>1.23</v>
      </c>
      <c r="N15" s="260">
        <v>1.27</v>
      </c>
      <c r="O15" s="260">
        <v>2.2999999999999998</v>
      </c>
      <c r="P15" s="17"/>
      <c r="Q15" s="130"/>
      <c r="R15" s="370">
        <v>2.0299999999999998</v>
      </c>
      <c r="S15" s="370">
        <v>2.02</v>
      </c>
      <c r="T15" s="130"/>
      <c r="U15" s="130"/>
      <c r="V15" s="130"/>
      <c r="X15" s="246" t="s">
        <v>171</v>
      </c>
      <c r="Y15">
        <v>374</v>
      </c>
      <c r="Z15" s="328" t="e">
        <f t="shared" si="0"/>
        <v>#N/A</v>
      </c>
      <c r="AB15">
        <v>465</v>
      </c>
      <c r="AC15" s="72" t="s">
        <v>93</v>
      </c>
      <c r="AD15" s="273">
        <v>26.57</v>
      </c>
      <c r="AE15" s="273">
        <v>27.03</v>
      </c>
      <c r="AF15" s="269">
        <v>0.47099999999999997</v>
      </c>
      <c r="AG15" s="29" t="s">
        <v>374</v>
      </c>
    </row>
    <row r="16" spans="1:33" ht="14.5" thickBot="1" x14ac:dyDescent="0.3">
      <c r="A16" s="17"/>
      <c r="B16" s="17"/>
      <c r="C16" s="258"/>
      <c r="D16" s="259"/>
      <c r="E16" s="17"/>
      <c r="F16" s="17"/>
      <c r="G16" s="17"/>
      <c r="H16" s="17"/>
      <c r="I16" s="17"/>
      <c r="J16" s="17"/>
      <c r="K16" s="255"/>
      <c r="L16" s="255"/>
      <c r="M16" s="260"/>
      <c r="N16" s="260"/>
      <c r="O16" s="260"/>
      <c r="P16" s="17"/>
      <c r="Q16" s="130"/>
      <c r="R16" s="370"/>
      <c r="S16" s="370"/>
      <c r="T16" s="130"/>
      <c r="U16" s="130"/>
      <c r="V16" s="130"/>
      <c r="X16" s="246"/>
      <c r="Z16" s="328"/>
      <c r="AC16" s="72"/>
      <c r="AD16" s="273"/>
      <c r="AE16" s="273"/>
      <c r="AF16" s="269"/>
      <c r="AG16" s="29"/>
    </row>
    <row r="17" spans="1:33" ht="14.5" thickBot="1" x14ac:dyDescent="0.3">
      <c r="A17" s="266" t="s">
        <v>349</v>
      </c>
      <c r="B17" s="17"/>
      <c r="C17" s="17"/>
      <c r="D17" s="259"/>
      <c r="E17" s="17"/>
      <c r="F17" s="17"/>
      <c r="G17" s="17"/>
      <c r="H17" s="17"/>
      <c r="I17" s="255">
        <v>0.99</v>
      </c>
      <c r="J17" s="255">
        <v>1.1599999999999999</v>
      </c>
      <c r="K17" s="255">
        <v>0.99</v>
      </c>
      <c r="L17" s="255">
        <v>1.1599999999999999</v>
      </c>
      <c r="M17" s="260"/>
      <c r="N17" s="260"/>
      <c r="O17" s="260"/>
      <c r="P17" s="17"/>
      <c r="Q17" s="130"/>
      <c r="R17" s="130"/>
      <c r="S17" s="130"/>
      <c r="T17" s="130"/>
      <c r="U17" s="130"/>
      <c r="V17" s="130"/>
      <c r="X17" s="246"/>
      <c r="Z17" s="328"/>
      <c r="AC17" s="72"/>
      <c r="AD17" s="273"/>
      <c r="AE17" s="273"/>
      <c r="AF17" s="269"/>
    </row>
    <row r="18" spans="1:33" ht="14.5" thickBot="1" x14ac:dyDescent="0.3">
      <c r="A18" s="266"/>
      <c r="B18" s="17"/>
      <c r="C18" s="17"/>
      <c r="D18" s="259"/>
      <c r="E18" s="17"/>
      <c r="F18" s="17"/>
      <c r="G18" s="17"/>
      <c r="H18" s="17"/>
      <c r="I18" s="255"/>
      <c r="J18" s="255"/>
      <c r="K18" s="255"/>
      <c r="L18" s="255"/>
      <c r="M18" s="260"/>
      <c r="N18" s="260"/>
      <c r="O18" s="260"/>
      <c r="P18" s="17"/>
      <c r="Q18" s="130"/>
      <c r="R18" s="130"/>
      <c r="S18" s="130"/>
      <c r="T18" s="130"/>
      <c r="U18" s="130"/>
      <c r="V18" s="130"/>
      <c r="X18" s="246" t="s">
        <v>172</v>
      </c>
      <c r="Y18">
        <v>375</v>
      </c>
      <c r="Z18" s="328" t="e">
        <f t="shared" ref="Z18:Z29" si="1">VLOOKUP(Y18,$AB$9:$AF$130,5,FALSE)</f>
        <v>#N/A</v>
      </c>
      <c r="AB18">
        <v>475</v>
      </c>
      <c r="AC18" s="72" t="s">
        <v>94</v>
      </c>
      <c r="AD18" s="273">
        <v>29.45</v>
      </c>
      <c r="AE18" s="273">
        <v>29.97</v>
      </c>
      <c r="AF18" s="269">
        <v>0.47099999999999997</v>
      </c>
      <c r="AG18" s="29" t="s">
        <v>374</v>
      </c>
    </row>
    <row r="19" spans="1:33" ht="14.5" thickBot="1" x14ac:dyDescent="0.3">
      <c r="A19" s="87" t="s">
        <v>598</v>
      </c>
      <c r="B19" s="17"/>
      <c r="C19" s="17"/>
      <c r="D19" s="259"/>
      <c r="E19" s="17"/>
      <c r="F19" s="17"/>
      <c r="G19" s="17"/>
      <c r="H19" s="17"/>
      <c r="I19" s="255"/>
      <c r="J19" s="255"/>
      <c r="K19" s="255"/>
      <c r="L19" s="255"/>
      <c r="M19" s="260"/>
      <c r="N19" s="260"/>
      <c r="O19" s="260"/>
      <c r="P19" s="17"/>
      <c r="Q19" s="130"/>
      <c r="R19" s="130"/>
      <c r="S19" s="130"/>
      <c r="T19" s="130"/>
      <c r="U19" s="130"/>
      <c r="V19" s="130"/>
      <c r="X19" s="246" t="s">
        <v>173</v>
      </c>
      <c r="Y19">
        <v>376</v>
      </c>
      <c r="Z19" s="328" t="e">
        <f t="shared" si="1"/>
        <v>#N/A</v>
      </c>
      <c r="AB19">
        <v>487</v>
      </c>
      <c r="AC19" s="72" t="s">
        <v>95</v>
      </c>
      <c r="AD19" s="273">
        <v>10.71</v>
      </c>
      <c r="AE19" s="273">
        <v>10.9</v>
      </c>
      <c r="AF19" s="269">
        <v>0.11700000000000001</v>
      </c>
      <c r="AG19" s="29" t="s">
        <v>374</v>
      </c>
    </row>
    <row r="20" spans="1:33" ht="14.5" thickBot="1" x14ac:dyDescent="0.3">
      <c r="A20" s="388" t="s">
        <v>599</v>
      </c>
      <c r="B20" s="17"/>
      <c r="C20" s="17"/>
      <c r="D20" s="259"/>
      <c r="E20" s="17"/>
      <c r="F20" s="17"/>
      <c r="G20" s="17"/>
      <c r="H20" s="17"/>
      <c r="I20" s="255"/>
      <c r="J20" s="255"/>
      <c r="K20" s="255"/>
      <c r="L20" s="255"/>
      <c r="M20" s="260"/>
      <c r="N20" s="260"/>
      <c r="O20" s="260"/>
      <c r="P20" s="17"/>
      <c r="Q20" s="130"/>
      <c r="R20" s="130"/>
      <c r="S20" s="130"/>
      <c r="T20" s="259">
        <v>0.75</v>
      </c>
      <c r="U20" s="130"/>
      <c r="V20" s="130"/>
      <c r="X20" s="246" t="s">
        <v>174</v>
      </c>
      <c r="Y20">
        <v>377</v>
      </c>
      <c r="Z20" s="328" t="e">
        <f t="shared" si="1"/>
        <v>#N/A</v>
      </c>
      <c r="AB20">
        <v>488</v>
      </c>
      <c r="AC20" s="72" t="s">
        <v>96</v>
      </c>
      <c r="AD20" s="273">
        <v>16.190000000000001</v>
      </c>
      <c r="AE20" s="273">
        <v>16.47</v>
      </c>
      <c r="AF20" s="269">
        <v>0.24199999999999999</v>
      </c>
      <c r="AG20" s="29" t="s">
        <v>374</v>
      </c>
    </row>
    <row r="21" spans="1:33" ht="14.5" thickBot="1" x14ac:dyDescent="0.3">
      <c r="A21" s="388" t="s">
        <v>600</v>
      </c>
      <c r="B21" s="17"/>
      <c r="C21" s="17"/>
      <c r="D21" s="259"/>
      <c r="E21" s="17"/>
      <c r="F21" s="17"/>
      <c r="G21" s="17"/>
      <c r="H21" s="17"/>
      <c r="I21" s="255"/>
      <c r="J21" s="255"/>
      <c r="K21" s="255"/>
      <c r="L21" s="255"/>
      <c r="M21" s="260"/>
      <c r="N21" s="260"/>
      <c r="O21" s="260"/>
      <c r="P21" s="17"/>
      <c r="Q21" s="130"/>
      <c r="R21" s="130"/>
      <c r="S21" s="130"/>
      <c r="T21" s="259">
        <v>1</v>
      </c>
      <c r="U21" s="130"/>
      <c r="V21" s="130"/>
      <c r="X21" s="246" t="s">
        <v>175</v>
      </c>
      <c r="Y21">
        <v>378</v>
      </c>
      <c r="Z21" s="328" t="e">
        <f t="shared" si="1"/>
        <v>#N/A</v>
      </c>
      <c r="AB21">
        <v>489</v>
      </c>
      <c r="AC21" s="72" t="s">
        <v>97</v>
      </c>
      <c r="AD21" s="273">
        <v>22.76</v>
      </c>
      <c r="AE21" s="273">
        <v>23.16</v>
      </c>
      <c r="AF21" s="269">
        <v>0.47099999999999997</v>
      </c>
      <c r="AG21" s="29" t="s">
        <v>374</v>
      </c>
    </row>
    <row r="22" spans="1:33" ht="14.5" thickBot="1" x14ac:dyDescent="0.3">
      <c r="A22" s="388"/>
      <c r="B22" s="17"/>
      <c r="C22" s="17"/>
      <c r="D22" s="259"/>
      <c r="E22" s="17"/>
      <c r="F22" s="17"/>
      <c r="G22" s="17"/>
      <c r="H22" s="17"/>
      <c r="I22" s="255"/>
      <c r="J22" s="255"/>
      <c r="K22" s="255"/>
      <c r="L22" s="255"/>
      <c r="M22" s="260"/>
      <c r="N22" s="260"/>
      <c r="O22" s="260"/>
      <c r="P22" s="17"/>
      <c r="Q22" s="130"/>
      <c r="R22" s="130"/>
      <c r="S22" s="130"/>
      <c r="T22" s="130"/>
      <c r="U22" s="130"/>
      <c r="V22" s="130"/>
      <c r="X22" s="246" t="s">
        <v>331</v>
      </c>
      <c r="Y22">
        <v>390</v>
      </c>
      <c r="Z22" s="328">
        <f t="shared" si="1"/>
        <v>7.0999999999999994E-2</v>
      </c>
      <c r="AB22">
        <v>428</v>
      </c>
      <c r="AC22" s="72" t="s">
        <v>98</v>
      </c>
      <c r="AD22" s="273">
        <v>9.34</v>
      </c>
      <c r="AE22" s="273">
        <v>9.5</v>
      </c>
      <c r="AF22" s="269">
        <v>0.11700000000000001</v>
      </c>
      <c r="AG22" s="29" t="s">
        <v>374</v>
      </c>
    </row>
    <row r="23" spans="1:33" ht="14.5" thickBot="1" x14ac:dyDescent="0.3">
      <c r="A23" s="388" t="s">
        <v>601</v>
      </c>
      <c r="B23" s="17"/>
      <c r="C23" s="17"/>
      <c r="D23" s="259"/>
      <c r="E23" s="17"/>
      <c r="F23" s="17"/>
      <c r="G23" s="17"/>
      <c r="H23" s="17"/>
      <c r="I23" s="255"/>
      <c r="J23" s="255"/>
      <c r="K23" s="255"/>
      <c r="L23" s="255"/>
      <c r="M23" s="260"/>
      <c r="N23" s="260"/>
      <c r="O23" s="260"/>
      <c r="P23" s="17"/>
      <c r="Q23" s="130"/>
      <c r="R23" s="130"/>
      <c r="S23" s="130"/>
      <c r="T23" s="130"/>
      <c r="U23" s="130"/>
      <c r="V23" s="255">
        <v>5.55</v>
      </c>
      <c r="X23" s="246" t="s">
        <v>332</v>
      </c>
      <c r="Y23">
        <v>391</v>
      </c>
      <c r="Z23" s="328">
        <f t="shared" si="1"/>
        <v>0.122</v>
      </c>
      <c r="AC23" s="66"/>
      <c r="AD23" s="274"/>
      <c r="AE23" s="274"/>
      <c r="AF23" s="269"/>
    </row>
    <row r="24" spans="1:33" ht="14.5" thickBo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82"/>
      <c r="R24" s="82"/>
      <c r="S24" s="82"/>
      <c r="T24" s="82"/>
      <c r="U24" s="82"/>
      <c r="V24" s="82"/>
      <c r="X24" s="246" t="s">
        <v>333</v>
      </c>
      <c r="Y24">
        <v>392</v>
      </c>
      <c r="Z24" s="328">
        <f t="shared" si="1"/>
        <v>0.19400000000000001</v>
      </c>
      <c r="AC24" s="226" t="s">
        <v>99</v>
      </c>
      <c r="AD24" s="278"/>
      <c r="AE24" s="278"/>
      <c r="AF24" s="269"/>
    </row>
    <row r="25" spans="1:33" ht="14.5" thickBot="1" x14ac:dyDescent="0.35">
      <c r="A25" s="158" t="s">
        <v>259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0"/>
      <c r="S25" s="160"/>
      <c r="T25" s="160"/>
      <c r="U25" s="160"/>
      <c r="V25" s="82"/>
      <c r="X25" s="246" t="s">
        <v>334</v>
      </c>
      <c r="Y25">
        <v>393</v>
      </c>
      <c r="Z25" s="328">
        <f t="shared" si="1"/>
        <v>4.8000000000000001E-2</v>
      </c>
      <c r="AB25">
        <v>451</v>
      </c>
      <c r="AC25" s="227" t="s">
        <v>101</v>
      </c>
      <c r="AD25" s="360">
        <v>23.86</v>
      </c>
      <c r="AE25" s="373">
        <v>24.28</v>
      </c>
      <c r="AF25" s="269">
        <v>0.35</v>
      </c>
      <c r="AG25" s="29" t="s">
        <v>374</v>
      </c>
    </row>
    <row r="26" spans="1:33" ht="13.5" thickBot="1" x14ac:dyDescent="0.35">
      <c r="A26" s="158" t="s">
        <v>258</v>
      </c>
      <c r="B26" s="371">
        <v>1120</v>
      </c>
      <c r="C26" s="371">
        <v>1113.8687772505175</v>
      </c>
      <c r="D26" s="371">
        <v>4249.195555555556</v>
      </c>
      <c r="E26" s="371">
        <v>914.29989312700866</v>
      </c>
      <c r="F26" s="371">
        <v>4214.3963337494151</v>
      </c>
      <c r="G26" s="371">
        <v>2547.2051380195412</v>
      </c>
      <c r="H26" s="371">
        <v>43134.993485024788</v>
      </c>
      <c r="I26" s="371">
        <v>32193</v>
      </c>
      <c r="J26" s="371">
        <v>31887</v>
      </c>
      <c r="K26" s="371">
        <v>1288759</v>
      </c>
      <c r="L26" s="371">
        <v>194032</v>
      </c>
      <c r="M26" s="371">
        <v>5852624</v>
      </c>
      <c r="N26" s="371">
        <v>50490867</v>
      </c>
      <c r="O26" s="371">
        <v>0</v>
      </c>
      <c r="P26" s="371">
        <v>3373</v>
      </c>
      <c r="Q26" s="371">
        <v>149.80000000000001</v>
      </c>
      <c r="R26" s="371">
        <v>0</v>
      </c>
      <c r="S26" s="371">
        <v>6800</v>
      </c>
      <c r="T26" s="371">
        <v>6</v>
      </c>
      <c r="U26" s="263"/>
      <c r="V26" s="82"/>
      <c r="X26" s="246" t="s">
        <v>335</v>
      </c>
      <c r="Y26">
        <v>396</v>
      </c>
      <c r="Z26" s="328">
        <f t="shared" si="1"/>
        <v>7.0999999999999994E-2</v>
      </c>
      <c r="AD26" s="269"/>
      <c r="AE26" s="269"/>
      <c r="AF26" s="269"/>
    </row>
    <row r="27" spans="1:33" ht="14.5" thickBot="1" x14ac:dyDescent="0.3">
      <c r="A27" s="17"/>
      <c r="P27" s="17"/>
      <c r="Q27" s="17"/>
      <c r="R27" s="17"/>
      <c r="S27" s="17"/>
      <c r="T27" s="17"/>
      <c r="U27" s="17"/>
      <c r="X27" s="246" t="s">
        <v>336</v>
      </c>
      <c r="Y27">
        <v>397</v>
      </c>
      <c r="Z27" s="328">
        <f t="shared" si="1"/>
        <v>0.122</v>
      </c>
      <c r="AC27" s="229" t="s">
        <v>323</v>
      </c>
      <c r="AD27" s="361"/>
      <c r="AE27" s="270"/>
      <c r="AF27" s="269"/>
    </row>
    <row r="28" spans="1:33" ht="14.5" thickBot="1" x14ac:dyDescent="0.3">
      <c r="P28" s="17"/>
      <c r="Q28" s="17"/>
      <c r="R28" s="17"/>
      <c r="S28" s="17"/>
      <c r="T28" s="17"/>
      <c r="U28" s="17"/>
      <c r="X28" s="246" t="s">
        <v>337</v>
      </c>
      <c r="Y28">
        <v>398</v>
      </c>
      <c r="Z28" s="328">
        <f t="shared" si="1"/>
        <v>0.19400000000000001</v>
      </c>
      <c r="AB28">
        <v>390</v>
      </c>
      <c r="AC28" s="227" t="s">
        <v>324</v>
      </c>
      <c r="AD28" s="360">
        <v>9.92</v>
      </c>
      <c r="AE28" s="373">
        <v>9.58</v>
      </c>
      <c r="AF28" s="269">
        <v>7.0999999999999994E-2</v>
      </c>
    </row>
    <row r="29" spans="1:33" ht="14.5" thickBot="1" x14ac:dyDescent="0.35">
      <c r="A29" s="2" t="s">
        <v>57</v>
      </c>
      <c r="B29" s="25" t="s">
        <v>228</v>
      </c>
      <c r="C29" s="3" t="s">
        <v>77</v>
      </c>
      <c r="D29" s="3" t="s">
        <v>78</v>
      </c>
      <c r="E29" s="3" t="s">
        <v>7</v>
      </c>
      <c r="F29" s="3" t="s">
        <v>7</v>
      </c>
      <c r="G29" s="25" t="s">
        <v>60</v>
      </c>
      <c r="H29" s="25" t="s">
        <v>60</v>
      </c>
      <c r="I29" s="3" t="s">
        <v>12</v>
      </c>
      <c r="J29" s="3" t="s">
        <v>12</v>
      </c>
      <c r="K29" s="3" t="s">
        <v>26</v>
      </c>
      <c r="L29" s="3" t="s">
        <v>26</v>
      </c>
      <c r="M29" s="3" t="s">
        <v>18</v>
      </c>
      <c r="N29" s="25" t="s">
        <v>61</v>
      </c>
      <c r="O29" s="25" t="s">
        <v>61</v>
      </c>
      <c r="P29" s="85" t="s">
        <v>221</v>
      </c>
      <c r="Q29" s="83" t="s">
        <v>222</v>
      </c>
      <c r="R29" s="85" t="s">
        <v>344</v>
      </c>
      <c r="S29" s="85" t="s">
        <v>344</v>
      </c>
      <c r="T29" s="85" t="s">
        <v>594</v>
      </c>
      <c r="U29" s="243" t="s">
        <v>419</v>
      </c>
      <c r="V29" s="86" t="s">
        <v>418</v>
      </c>
      <c r="X29" s="246" t="s">
        <v>338</v>
      </c>
      <c r="Y29">
        <v>399</v>
      </c>
      <c r="Z29" s="328">
        <f t="shared" si="1"/>
        <v>4.3999999999999997E-2</v>
      </c>
      <c r="AB29">
        <v>391</v>
      </c>
      <c r="AC29" s="227" t="s">
        <v>325</v>
      </c>
      <c r="AD29" s="360">
        <v>11.98</v>
      </c>
      <c r="AE29" s="373">
        <v>11.55</v>
      </c>
      <c r="AF29" s="269">
        <v>0.122</v>
      </c>
    </row>
    <row r="30" spans="1:33" ht="14.5" thickBot="1" x14ac:dyDescent="0.35">
      <c r="B30" s="85"/>
      <c r="C30" s="85"/>
      <c r="D30" s="85"/>
      <c r="E30" s="85" t="s">
        <v>32</v>
      </c>
      <c r="F30" s="85" t="s">
        <v>33</v>
      </c>
      <c r="G30" s="85" t="s">
        <v>32</v>
      </c>
      <c r="H30" s="85" t="s">
        <v>33</v>
      </c>
      <c r="I30" s="85" t="s">
        <v>13</v>
      </c>
      <c r="J30" s="85" t="s">
        <v>14</v>
      </c>
      <c r="K30" s="85" t="s">
        <v>13</v>
      </c>
      <c r="L30" s="85" t="s">
        <v>14</v>
      </c>
      <c r="M30" s="85"/>
      <c r="N30" s="85" t="s">
        <v>62</v>
      </c>
      <c r="O30" s="85" t="s">
        <v>13</v>
      </c>
      <c r="P30" s="85"/>
      <c r="Q30" s="17"/>
      <c r="R30" s="85" t="s">
        <v>13</v>
      </c>
      <c r="S30" s="85" t="s">
        <v>14</v>
      </c>
      <c r="T30" s="85"/>
      <c r="U30" s="17"/>
      <c r="X30" s="246"/>
      <c r="Z30" s="328"/>
      <c r="AB30">
        <v>392</v>
      </c>
      <c r="AC30" s="227" t="s">
        <v>326</v>
      </c>
      <c r="AD30" s="360">
        <v>15.22</v>
      </c>
      <c r="AE30" s="373">
        <v>14.86</v>
      </c>
      <c r="AF30" s="269">
        <v>0.19400000000000001</v>
      </c>
    </row>
    <row r="31" spans="1:33" ht="14.5" thickBo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X31" s="246" t="s">
        <v>176</v>
      </c>
      <c r="Y31">
        <v>401</v>
      </c>
      <c r="Z31" s="328">
        <f t="shared" ref="Z31:Z62" si="2">VLOOKUP(Y31,$AB$9:$AF$130,5,FALSE)</f>
        <v>8.3000000000000004E-2</v>
      </c>
      <c r="AB31">
        <v>393</v>
      </c>
      <c r="AC31" s="227" t="s">
        <v>463</v>
      </c>
      <c r="AD31" s="360">
        <v>8.57</v>
      </c>
      <c r="AE31" s="373">
        <v>7.84</v>
      </c>
      <c r="AF31" s="269">
        <v>4.8000000000000001E-2</v>
      </c>
      <c r="AG31" s="356" t="s">
        <v>466</v>
      </c>
    </row>
    <row r="32" spans="1:33" ht="14.5" thickBot="1" x14ac:dyDescent="0.3">
      <c r="A32" s="17" t="s">
        <v>8</v>
      </c>
      <c r="B32" s="255">
        <f>0.61*365.25/12</f>
        <v>18.566875</v>
      </c>
      <c r="C32" s="255">
        <f>0.61*365.25/12</f>
        <v>18.566875</v>
      </c>
      <c r="D32" s="255">
        <f>0.61*365.25/12</f>
        <v>18.566875</v>
      </c>
      <c r="E32" s="255">
        <f>1.35*365.25/12</f>
        <v>41.090625000000003</v>
      </c>
      <c r="F32" s="255">
        <f>2.15*365.25/12</f>
        <v>65.440624999999997</v>
      </c>
      <c r="G32" s="255">
        <f>2.8*365.25/12</f>
        <v>85.224999999999994</v>
      </c>
      <c r="H32" s="255">
        <f>4.6*365.25/12</f>
        <v>140.01249999999999</v>
      </c>
      <c r="I32" s="255">
        <f>7.89*365.25/12</f>
        <v>240.15187499999999</v>
      </c>
      <c r="J32" s="255">
        <f>2.96*365.25/12</f>
        <v>90.095000000000013</v>
      </c>
      <c r="K32" s="255">
        <f>10.84*365.25/12</f>
        <v>329.9425</v>
      </c>
      <c r="L32" s="255">
        <f>7.32*365.25/12</f>
        <v>222.80250000000001</v>
      </c>
      <c r="M32" s="255">
        <f>49.28*365.25/12</f>
        <v>1499.96</v>
      </c>
      <c r="N32" s="255">
        <f>49.28*365.25/12</f>
        <v>1499.96</v>
      </c>
      <c r="O32" s="255">
        <f>10.84*365.25/12</f>
        <v>329.9425</v>
      </c>
      <c r="P32" s="255">
        <v>0</v>
      </c>
      <c r="Q32" s="255">
        <f>0.13*365.25/12</f>
        <v>3.9568750000000001</v>
      </c>
      <c r="R32" s="255">
        <f>7.89*365.25/12</f>
        <v>240.15187499999999</v>
      </c>
      <c r="S32" s="255">
        <f>2.96*365.25/12</f>
        <v>90.095000000000013</v>
      </c>
      <c r="T32" s="244"/>
      <c r="U32" s="255">
        <v>7.25</v>
      </c>
      <c r="V32" s="255"/>
      <c r="X32" s="246" t="s">
        <v>366</v>
      </c>
      <c r="Y32" t="s">
        <v>361</v>
      </c>
      <c r="Z32" s="328">
        <f t="shared" si="2"/>
        <v>2.1999999999999999E-2</v>
      </c>
      <c r="AB32" s="29" t="s">
        <v>361</v>
      </c>
      <c r="AC32" s="227" t="s">
        <v>356</v>
      </c>
      <c r="AD32" s="360">
        <v>8.67</v>
      </c>
      <c r="AE32" s="373">
        <v>8.25</v>
      </c>
      <c r="AF32" s="269">
        <v>2.1999999999999999E-2</v>
      </c>
    </row>
    <row r="33" spans="1:33" ht="14.5" thickBot="1" x14ac:dyDescent="0.3">
      <c r="A33" s="17"/>
      <c r="B33" s="35"/>
      <c r="C33" s="35"/>
      <c r="D33" s="256"/>
      <c r="E33" s="17"/>
      <c r="F33" s="257"/>
      <c r="G33" s="257"/>
      <c r="H33" s="257"/>
      <c r="I33" s="257"/>
      <c r="J33" s="17"/>
      <c r="K33" s="17"/>
      <c r="L33" s="17"/>
      <c r="M33" s="17"/>
      <c r="N33" s="17"/>
      <c r="O33" s="17"/>
      <c r="P33" s="257"/>
      <c r="Q33" s="257"/>
      <c r="R33" s="17"/>
      <c r="S33" s="17"/>
      <c r="T33" s="17"/>
      <c r="U33" s="17"/>
      <c r="X33" s="246" t="s">
        <v>367</v>
      </c>
      <c r="Y33" t="s">
        <v>362</v>
      </c>
      <c r="Z33" s="328">
        <f t="shared" si="2"/>
        <v>0.03</v>
      </c>
      <c r="AB33" s="29" t="s">
        <v>362</v>
      </c>
      <c r="AC33" s="227" t="s">
        <v>357</v>
      </c>
      <c r="AD33" s="360">
        <v>11.28</v>
      </c>
      <c r="AE33" s="373">
        <v>10.8</v>
      </c>
      <c r="AF33" s="269">
        <v>0.03</v>
      </c>
    </row>
    <row r="34" spans="1:33" ht="14.5" thickBot="1" x14ac:dyDescent="0.3">
      <c r="A34" s="87" t="s">
        <v>353</v>
      </c>
      <c r="B34" s="258">
        <v>9.9500000000000005E-2</v>
      </c>
      <c r="C34" s="245"/>
      <c r="D34" s="258">
        <v>4.4760000000000001E-2</v>
      </c>
      <c r="E34" s="258">
        <v>0.12469000000000001</v>
      </c>
      <c r="F34" s="258">
        <v>0.12469000000000001</v>
      </c>
      <c r="G34" s="258">
        <v>0.10078999999999999</v>
      </c>
      <c r="H34" s="258">
        <v>0.10078999999999999</v>
      </c>
      <c r="I34" s="258">
        <v>3.2140000000000002E-2</v>
      </c>
      <c r="J34" s="258">
        <v>3.2479999999999995E-2</v>
      </c>
      <c r="K34" s="258">
        <v>3.1279999999999995E-2</v>
      </c>
      <c r="L34" s="258">
        <v>3.2099999999999997E-2</v>
      </c>
      <c r="M34" s="258">
        <v>3.066E-2</v>
      </c>
      <c r="N34" s="258">
        <v>3.0509999999999999E-2</v>
      </c>
      <c r="O34" s="258">
        <v>3.1279999999999995E-2</v>
      </c>
      <c r="P34" s="258">
        <v>7.1779999999999997E-2</v>
      </c>
      <c r="Q34" s="258">
        <v>8.8480000000000003E-2</v>
      </c>
      <c r="R34" s="258">
        <v>3.1279999999999995E-2</v>
      </c>
      <c r="S34" s="258">
        <v>3.2099999999999997E-2</v>
      </c>
      <c r="T34" s="259"/>
      <c r="U34" s="36"/>
      <c r="V34" s="36"/>
      <c r="X34" s="246" t="s">
        <v>368</v>
      </c>
      <c r="Y34" t="s">
        <v>363</v>
      </c>
      <c r="Z34" s="328">
        <f t="shared" si="2"/>
        <v>9.6000000000000002E-2</v>
      </c>
      <c r="AB34" s="29" t="s">
        <v>363</v>
      </c>
      <c r="AC34" s="227" t="s">
        <v>358</v>
      </c>
      <c r="AD34" s="360">
        <v>13.1</v>
      </c>
      <c r="AE34" s="373">
        <v>12.7</v>
      </c>
      <c r="AF34" s="269">
        <v>9.6000000000000002E-2</v>
      </c>
    </row>
    <row r="35" spans="1:33" ht="14.5" thickBot="1" x14ac:dyDescent="0.3">
      <c r="A35" s="17" t="s">
        <v>29</v>
      </c>
      <c r="B35" s="36"/>
      <c r="C35" s="258">
        <v>0.22123999999999999</v>
      </c>
      <c r="D35" s="36"/>
      <c r="E35" s="36"/>
      <c r="F35" s="36"/>
      <c r="G35" s="36"/>
      <c r="H35" s="36"/>
      <c r="I35" s="258"/>
      <c r="J35" s="36"/>
      <c r="K35" s="36"/>
      <c r="L35" s="36"/>
      <c r="M35" s="36"/>
      <c r="N35" s="36"/>
      <c r="O35" s="36"/>
      <c r="P35" s="17"/>
      <c r="Q35" s="17"/>
      <c r="R35" s="17"/>
      <c r="S35" s="17"/>
      <c r="T35" s="259"/>
      <c r="U35" s="17"/>
      <c r="X35" s="246" t="s">
        <v>369</v>
      </c>
      <c r="Y35" t="s">
        <v>364</v>
      </c>
      <c r="Z35" s="328">
        <f t="shared" si="2"/>
        <v>0.17499999999999999</v>
      </c>
      <c r="AB35" s="29" t="s">
        <v>364</v>
      </c>
      <c r="AC35" s="227" t="s">
        <v>359</v>
      </c>
      <c r="AD35" s="360">
        <v>15.49</v>
      </c>
      <c r="AE35" s="373">
        <v>15.06</v>
      </c>
      <c r="AF35" s="269">
        <v>0.17499999999999999</v>
      </c>
    </row>
    <row r="36" spans="1:33" ht="14.5" thickBot="1" x14ac:dyDescent="0.3">
      <c r="A36" s="17" t="s">
        <v>30</v>
      </c>
      <c r="B36" s="36"/>
      <c r="C36" s="258">
        <v>6.5119999999999997E-2</v>
      </c>
      <c r="D36" s="36"/>
      <c r="E36" s="36"/>
      <c r="F36" s="36"/>
      <c r="G36" s="36"/>
      <c r="H36" s="36"/>
      <c r="I36" s="258"/>
      <c r="J36" s="36"/>
      <c r="K36" s="36"/>
      <c r="L36" s="36"/>
      <c r="M36" s="36"/>
      <c r="N36" s="36"/>
      <c r="O36" s="36"/>
      <c r="P36" s="17"/>
      <c r="Q36" s="17"/>
      <c r="R36" s="17"/>
      <c r="S36" s="17"/>
      <c r="T36" s="17"/>
      <c r="U36" s="24"/>
      <c r="V36" s="24"/>
      <c r="X36" s="246" t="s">
        <v>370</v>
      </c>
      <c r="Y36" t="s">
        <v>365</v>
      </c>
      <c r="Z36" s="328">
        <f t="shared" si="2"/>
        <v>0.29699999999999999</v>
      </c>
      <c r="AB36" s="29" t="s">
        <v>365</v>
      </c>
      <c r="AC36" s="227" t="s">
        <v>360</v>
      </c>
      <c r="AD36" s="360">
        <v>22.2</v>
      </c>
      <c r="AE36" s="373">
        <v>21.83</v>
      </c>
      <c r="AF36" s="269">
        <v>0.29699999999999999</v>
      </c>
    </row>
    <row r="37" spans="1:33" ht="13" thickBot="1" x14ac:dyDescent="0.3">
      <c r="A37" s="17"/>
      <c r="B37" s="17"/>
      <c r="C37" s="36"/>
      <c r="D37" s="17"/>
      <c r="E37" s="17"/>
      <c r="F37" s="17"/>
      <c r="G37" s="17"/>
      <c r="H37" s="17"/>
      <c r="I37" s="257"/>
      <c r="J37" s="17"/>
      <c r="K37" s="17"/>
      <c r="L37" s="17"/>
      <c r="M37" s="17"/>
      <c r="N37" s="17"/>
      <c r="O37" s="17"/>
      <c r="P37" s="17"/>
      <c r="Q37" s="130"/>
      <c r="R37" s="130"/>
      <c r="S37" s="130"/>
      <c r="T37" s="130"/>
      <c r="U37" s="17"/>
      <c r="X37" s="246" t="s">
        <v>177</v>
      </c>
      <c r="Y37">
        <v>404</v>
      </c>
      <c r="Z37" s="328">
        <f t="shared" si="2"/>
        <v>0.20699999999999999</v>
      </c>
      <c r="AD37" s="269"/>
      <c r="AE37" s="269"/>
      <c r="AF37" s="269"/>
    </row>
    <row r="38" spans="1:33" ht="14.5" thickBot="1" x14ac:dyDescent="0.3">
      <c r="A38" s="17" t="s">
        <v>10</v>
      </c>
      <c r="B38" s="17"/>
      <c r="C38" s="36"/>
      <c r="D38" s="17"/>
      <c r="E38" s="17"/>
      <c r="F38" s="37"/>
      <c r="G38" s="17"/>
      <c r="H38" s="37"/>
      <c r="I38" s="257"/>
      <c r="J38" s="17"/>
      <c r="K38" s="35"/>
      <c r="L38" s="35"/>
      <c r="M38" s="38"/>
      <c r="N38" s="38"/>
      <c r="O38" s="38"/>
      <c r="P38" s="17"/>
      <c r="Q38" s="82"/>
      <c r="R38" s="82"/>
      <c r="S38" s="82"/>
      <c r="T38" s="82"/>
      <c r="U38" s="24"/>
      <c r="V38" s="24"/>
      <c r="X38" s="246" t="s">
        <v>178</v>
      </c>
      <c r="Y38">
        <v>409</v>
      </c>
      <c r="Z38" s="328">
        <f t="shared" si="2"/>
        <v>0.47099999999999997</v>
      </c>
      <c r="AC38" s="66"/>
      <c r="AD38" s="274"/>
      <c r="AE38" s="248"/>
      <c r="AF38" s="269"/>
    </row>
    <row r="39" spans="1:33" ht="14.5" thickBot="1" x14ac:dyDescent="0.3">
      <c r="A39" s="58" t="s">
        <v>49</v>
      </c>
      <c r="B39" s="17"/>
      <c r="C39" s="17"/>
      <c r="D39" s="17"/>
      <c r="E39" s="17"/>
      <c r="F39" s="17"/>
      <c r="G39" s="17"/>
      <c r="H39" s="17"/>
      <c r="I39" s="259">
        <v>26.52</v>
      </c>
      <c r="J39" s="259">
        <v>26.569999999999997</v>
      </c>
      <c r="K39" s="35"/>
      <c r="L39" s="35"/>
      <c r="M39" s="38"/>
      <c r="N39" s="38"/>
      <c r="O39" s="38"/>
      <c r="P39" s="17"/>
      <c r="Q39" s="82"/>
      <c r="R39" s="82"/>
      <c r="S39" s="82"/>
      <c r="T39" s="82"/>
      <c r="U39" s="24"/>
      <c r="V39" s="24"/>
      <c r="X39" s="246" t="s">
        <v>179</v>
      </c>
      <c r="Y39">
        <v>410</v>
      </c>
      <c r="Z39" s="328">
        <f t="shared" si="2"/>
        <v>0.06</v>
      </c>
      <c r="AC39" s="69" t="s">
        <v>103</v>
      </c>
      <c r="AD39" s="275"/>
      <c r="AE39" s="247"/>
      <c r="AF39" s="269"/>
    </row>
    <row r="40" spans="1:33" ht="14.5" thickBot="1" x14ac:dyDescent="0.3">
      <c r="A40" s="58" t="s">
        <v>50</v>
      </c>
      <c r="B40" s="17"/>
      <c r="C40" s="17"/>
      <c r="D40" s="17"/>
      <c r="E40" s="17"/>
      <c r="F40" s="17"/>
      <c r="G40" s="17"/>
      <c r="H40" s="17"/>
      <c r="I40" s="259">
        <v>23.8</v>
      </c>
      <c r="J40" s="259">
        <v>23.8</v>
      </c>
      <c r="K40" s="35"/>
      <c r="L40" s="35"/>
      <c r="M40" s="38"/>
      <c r="N40" s="38"/>
      <c r="O40" s="38"/>
      <c r="P40" s="17"/>
      <c r="Q40" s="82"/>
      <c r="R40" s="82"/>
      <c r="S40" s="82"/>
      <c r="T40" s="82"/>
      <c r="U40" s="24"/>
      <c r="V40" s="24"/>
      <c r="X40" s="246" t="s">
        <v>180</v>
      </c>
      <c r="Y40">
        <v>411</v>
      </c>
      <c r="Z40" s="328">
        <f t="shared" si="2"/>
        <v>8.3000000000000004E-2</v>
      </c>
      <c r="AC40" s="70" t="s">
        <v>86</v>
      </c>
      <c r="AD40" s="276"/>
      <c r="AE40" s="249"/>
      <c r="AF40" s="269"/>
    </row>
    <row r="41" spans="1:33" ht="14.5" thickBot="1" x14ac:dyDescent="0.3">
      <c r="A41" s="17" t="s">
        <v>29</v>
      </c>
      <c r="B41" s="17"/>
      <c r="C41" s="17"/>
      <c r="D41" s="259">
        <v>10.37</v>
      </c>
      <c r="E41" s="17"/>
      <c r="F41" s="17"/>
      <c r="G41" s="17"/>
      <c r="H41" s="17"/>
      <c r="I41" s="257"/>
      <c r="J41" s="257"/>
      <c r="K41" s="255">
        <v>8.36</v>
      </c>
      <c r="L41" s="255">
        <v>8.25</v>
      </c>
      <c r="M41" s="260">
        <v>8.0399999999999991</v>
      </c>
      <c r="N41" s="260">
        <v>4.3499999999999996</v>
      </c>
      <c r="O41" s="260">
        <v>7.51</v>
      </c>
      <c r="P41" s="17"/>
      <c r="Q41" s="130"/>
      <c r="R41" s="370">
        <v>16.260000000000002</v>
      </c>
      <c r="S41" s="370">
        <v>19.61</v>
      </c>
      <c r="T41" s="130"/>
      <c r="U41" s="24"/>
      <c r="V41" s="24"/>
      <c r="X41" s="246" t="s">
        <v>181</v>
      </c>
      <c r="Y41">
        <v>412</v>
      </c>
      <c r="Z41" s="328">
        <f t="shared" si="2"/>
        <v>8.3000000000000004E-2</v>
      </c>
      <c r="AB41">
        <v>467</v>
      </c>
      <c r="AC41" s="71" t="s">
        <v>104</v>
      </c>
      <c r="AD41" s="372">
        <v>13.38</v>
      </c>
      <c r="AE41" s="372">
        <v>13.61</v>
      </c>
      <c r="AF41" s="269">
        <v>8.3000000000000004E-2</v>
      </c>
      <c r="AG41" s="29" t="s">
        <v>374</v>
      </c>
    </row>
    <row r="42" spans="1:33" ht="14.5" thickBot="1" x14ac:dyDescent="0.3">
      <c r="A42" s="17" t="s">
        <v>28</v>
      </c>
      <c r="B42" s="17"/>
      <c r="C42" s="17"/>
      <c r="D42" s="257"/>
      <c r="E42" s="17"/>
      <c r="F42" s="17"/>
      <c r="G42" s="17"/>
      <c r="H42" s="17"/>
      <c r="I42" s="257"/>
      <c r="J42" s="257"/>
      <c r="K42" s="255">
        <v>6.71</v>
      </c>
      <c r="L42" s="255">
        <v>6.64</v>
      </c>
      <c r="M42" s="260">
        <v>6.46</v>
      </c>
      <c r="N42" s="260">
        <v>3.17</v>
      </c>
      <c r="O42" s="260">
        <v>5.94</v>
      </c>
      <c r="P42" s="17"/>
      <c r="Q42" s="82"/>
      <c r="R42" s="267"/>
      <c r="S42" s="267"/>
      <c r="T42" s="82"/>
      <c r="U42" s="24"/>
      <c r="V42" s="24"/>
      <c r="X42" s="246" t="s">
        <v>182</v>
      </c>
      <c r="Y42">
        <v>413</v>
      </c>
      <c r="Z42" s="328">
        <f t="shared" si="2"/>
        <v>0.11700000000000001</v>
      </c>
      <c r="AB42">
        <v>468</v>
      </c>
      <c r="AC42" s="72" t="s">
        <v>105</v>
      </c>
      <c r="AD42" s="273">
        <v>13.56</v>
      </c>
      <c r="AE42" s="273">
        <v>13.8</v>
      </c>
      <c r="AF42" s="269">
        <v>0.11700000000000001</v>
      </c>
      <c r="AG42" s="29" t="s">
        <v>374</v>
      </c>
    </row>
    <row r="43" spans="1:33" ht="14.5" thickBot="1" x14ac:dyDescent="0.3">
      <c r="A43" s="186" t="s">
        <v>79</v>
      </c>
      <c r="B43" s="17"/>
      <c r="C43" s="258"/>
      <c r="D43" s="259">
        <v>4.01</v>
      </c>
      <c r="E43" s="17"/>
      <c r="F43" s="17"/>
      <c r="G43" s="17"/>
      <c r="H43" s="17"/>
      <c r="I43" s="257"/>
      <c r="J43" s="257"/>
      <c r="K43" s="255">
        <v>2.79</v>
      </c>
      <c r="L43" s="255">
        <v>3.25</v>
      </c>
      <c r="M43" s="260">
        <v>2.16</v>
      </c>
      <c r="N43" s="260">
        <v>1.49</v>
      </c>
      <c r="O43" s="260">
        <v>2.93</v>
      </c>
      <c r="P43" s="17"/>
      <c r="Q43" s="130"/>
      <c r="R43" s="370">
        <v>2.5099999999999998</v>
      </c>
      <c r="S43" s="370">
        <v>2.93</v>
      </c>
      <c r="T43" s="130"/>
      <c r="U43" s="24"/>
      <c r="V43" s="24"/>
      <c r="X43" s="246" t="s">
        <v>183</v>
      </c>
      <c r="Y43">
        <v>414</v>
      </c>
      <c r="Z43" s="328">
        <f t="shared" si="2"/>
        <v>8.3000000000000004E-2</v>
      </c>
      <c r="AB43">
        <v>401</v>
      </c>
      <c r="AC43" s="72" t="s">
        <v>106</v>
      </c>
      <c r="AD43" s="273">
        <v>18.14</v>
      </c>
      <c r="AE43" s="273">
        <v>18.45</v>
      </c>
      <c r="AF43" s="269">
        <v>8.3000000000000004E-2</v>
      </c>
      <c r="AG43" s="29" t="s">
        <v>374</v>
      </c>
    </row>
    <row r="44" spans="1:33" ht="14.5" thickBot="1" x14ac:dyDescent="0.3">
      <c r="A44" s="266" t="s">
        <v>349</v>
      </c>
      <c r="B44" s="17"/>
      <c r="C44" s="17"/>
      <c r="D44" s="259"/>
      <c r="E44" s="17"/>
      <c r="F44" s="17"/>
      <c r="G44" s="17"/>
      <c r="H44" s="17"/>
      <c r="I44" s="255">
        <v>0.92</v>
      </c>
      <c r="J44" s="255">
        <v>1.36</v>
      </c>
      <c r="K44" s="255">
        <v>0.92</v>
      </c>
      <c r="L44" s="255">
        <v>1.36</v>
      </c>
      <c r="M44" s="260"/>
      <c r="N44" s="260"/>
      <c r="O44" s="260"/>
      <c r="P44" s="17"/>
      <c r="Q44" s="130"/>
      <c r="R44" s="130"/>
      <c r="S44" s="130"/>
      <c r="T44" s="130"/>
      <c r="U44" s="130"/>
      <c r="V44" s="130"/>
      <c r="X44" s="246" t="s">
        <v>184</v>
      </c>
      <c r="Y44">
        <v>415</v>
      </c>
      <c r="Z44" s="328">
        <f t="shared" si="2"/>
        <v>0.11700000000000001</v>
      </c>
      <c r="AB44">
        <v>411</v>
      </c>
      <c r="AC44" s="72" t="s">
        <v>107</v>
      </c>
      <c r="AD44" s="273">
        <v>25.76</v>
      </c>
      <c r="AE44" s="273">
        <v>26.21</v>
      </c>
      <c r="AF44" s="269">
        <v>8.3000000000000004E-2</v>
      </c>
      <c r="AG44" s="29" t="s">
        <v>374</v>
      </c>
    </row>
    <row r="45" spans="1:33" ht="14.5" thickBot="1" x14ac:dyDescent="0.3">
      <c r="A45" s="266"/>
      <c r="B45" s="17"/>
      <c r="C45" s="17"/>
      <c r="D45" s="259"/>
      <c r="E45" s="17"/>
      <c r="F45" s="17"/>
      <c r="G45" s="17"/>
      <c r="H45" s="17"/>
      <c r="I45" s="255"/>
      <c r="J45" s="255"/>
      <c r="K45" s="255"/>
      <c r="L45" s="255"/>
      <c r="M45" s="260"/>
      <c r="N45" s="260"/>
      <c r="O45" s="260"/>
      <c r="P45" s="17"/>
      <c r="Q45" s="130"/>
      <c r="R45" s="130"/>
      <c r="S45" s="130"/>
      <c r="T45" s="130"/>
      <c r="U45" s="130"/>
      <c r="V45" s="130"/>
      <c r="X45" s="246" t="s">
        <v>185</v>
      </c>
      <c r="Y45">
        <v>420</v>
      </c>
      <c r="Z45" s="328">
        <f t="shared" si="2"/>
        <v>0.11700000000000001</v>
      </c>
      <c r="AB45">
        <v>420</v>
      </c>
      <c r="AC45" s="66" t="s">
        <v>108</v>
      </c>
      <c r="AD45" s="374">
        <v>18.46</v>
      </c>
      <c r="AE45" s="374">
        <v>18.78</v>
      </c>
      <c r="AF45" s="269">
        <v>0.11700000000000001</v>
      </c>
      <c r="AG45" s="29" t="s">
        <v>374</v>
      </c>
    </row>
    <row r="46" spans="1:33" ht="14.5" thickBot="1" x14ac:dyDescent="0.3">
      <c r="A46" s="87" t="s">
        <v>598</v>
      </c>
      <c r="B46" s="17"/>
      <c r="C46" s="17"/>
      <c r="D46" s="259"/>
      <c r="E46" s="17"/>
      <c r="F46" s="17"/>
      <c r="G46" s="17"/>
      <c r="H46" s="17"/>
      <c r="I46" s="255"/>
      <c r="J46" s="255"/>
      <c r="K46" s="255"/>
      <c r="L46" s="255"/>
      <c r="M46" s="260"/>
      <c r="N46" s="260"/>
      <c r="O46" s="260"/>
      <c r="P46" s="17"/>
      <c r="Q46" s="130"/>
      <c r="R46" s="130"/>
      <c r="S46" s="130"/>
      <c r="T46" s="130"/>
      <c r="U46" s="130"/>
      <c r="V46" s="130"/>
      <c r="X46" s="246" t="s">
        <v>186</v>
      </c>
      <c r="Y46">
        <v>421</v>
      </c>
      <c r="Z46" s="328">
        <f t="shared" si="2"/>
        <v>0.10199999999999999</v>
      </c>
      <c r="AB46">
        <v>430</v>
      </c>
      <c r="AC46" s="71" t="s">
        <v>109</v>
      </c>
      <c r="AD46" s="372">
        <v>26.21</v>
      </c>
      <c r="AE46" s="372">
        <v>26.67</v>
      </c>
      <c r="AF46" s="269">
        <v>0.11700000000000001</v>
      </c>
      <c r="AG46" s="29" t="s">
        <v>374</v>
      </c>
    </row>
    <row r="47" spans="1:33" ht="14.5" thickBot="1" x14ac:dyDescent="0.3">
      <c r="A47" s="388" t="s">
        <v>599</v>
      </c>
      <c r="B47" s="17"/>
      <c r="C47" s="17"/>
      <c r="D47" s="259"/>
      <c r="E47" s="17"/>
      <c r="F47" s="17"/>
      <c r="G47" s="17"/>
      <c r="H47" s="17"/>
      <c r="I47" s="255"/>
      <c r="J47" s="255"/>
      <c r="K47" s="255"/>
      <c r="L47" s="255"/>
      <c r="M47" s="260"/>
      <c r="N47" s="260"/>
      <c r="O47" s="260"/>
      <c r="P47" s="17"/>
      <c r="Q47" s="130"/>
      <c r="R47" s="130"/>
      <c r="S47" s="130"/>
      <c r="T47" s="259">
        <v>0.75</v>
      </c>
      <c r="U47" s="130"/>
      <c r="V47" s="130"/>
      <c r="X47" s="246" t="s">
        <v>187</v>
      </c>
      <c r="Y47">
        <v>422</v>
      </c>
      <c r="Z47" s="328">
        <f t="shared" si="2"/>
        <v>0.20100000000000001</v>
      </c>
      <c r="AC47" s="363" t="s">
        <v>110</v>
      </c>
      <c r="AD47" s="364">
        <v>35.69</v>
      </c>
      <c r="AE47" s="364">
        <v>36.31</v>
      </c>
      <c r="AF47" s="269">
        <v>8.3000000000000004E-2</v>
      </c>
      <c r="AG47" s="358" t="s">
        <v>467</v>
      </c>
    </row>
    <row r="48" spans="1:33" ht="14.5" thickBot="1" x14ac:dyDescent="0.3">
      <c r="A48" s="388" t="s">
        <v>600</v>
      </c>
      <c r="B48" s="17"/>
      <c r="C48" s="17"/>
      <c r="D48" s="259"/>
      <c r="E48" s="17"/>
      <c r="F48" s="17"/>
      <c r="G48" s="17"/>
      <c r="H48" s="17"/>
      <c r="I48" s="255"/>
      <c r="J48" s="255"/>
      <c r="K48" s="255"/>
      <c r="L48" s="255"/>
      <c r="M48" s="260"/>
      <c r="N48" s="260"/>
      <c r="O48" s="260"/>
      <c r="P48" s="17"/>
      <c r="Q48" s="130"/>
      <c r="R48" s="130"/>
      <c r="S48" s="130"/>
      <c r="T48" s="259">
        <v>1</v>
      </c>
      <c r="U48" s="130"/>
      <c r="V48" s="130"/>
      <c r="X48" s="246" t="s">
        <v>188</v>
      </c>
      <c r="Y48">
        <v>424</v>
      </c>
      <c r="Z48" s="328">
        <f t="shared" si="2"/>
        <v>0.32700000000000001</v>
      </c>
      <c r="AC48" s="363" t="s">
        <v>111</v>
      </c>
      <c r="AD48" s="364">
        <v>35.85</v>
      </c>
      <c r="AE48" s="364">
        <v>36.479999999999997</v>
      </c>
      <c r="AF48" s="269">
        <v>0.11700000000000001</v>
      </c>
      <c r="AG48" s="358" t="s">
        <v>467</v>
      </c>
    </row>
    <row r="49" spans="1:33" ht="14.5" thickBot="1" x14ac:dyDescent="0.3">
      <c r="A49" s="38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X49" s="246" t="s">
        <v>189</v>
      </c>
      <c r="Y49">
        <v>425</v>
      </c>
      <c r="Z49" s="328">
        <f t="shared" si="2"/>
        <v>0.44700000000000001</v>
      </c>
      <c r="AB49">
        <v>476</v>
      </c>
      <c r="AC49" s="72" t="s">
        <v>112</v>
      </c>
      <c r="AD49" s="273">
        <v>20.399999999999999</v>
      </c>
      <c r="AE49" s="273">
        <v>20.76</v>
      </c>
      <c r="AF49" s="269">
        <v>8.3000000000000004E-2</v>
      </c>
      <c r="AG49" s="29" t="s">
        <v>374</v>
      </c>
    </row>
    <row r="50" spans="1:33" ht="14.5" thickBot="1" x14ac:dyDescent="0.3">
      <c r="A50" s="388" t="s">
        <v>601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55">
        <v>5.55</v>
      </c>
      <c r="X50" s="246" t="s">
        <v>190</v>
      </c>
      <c r="Y50">
        <v>426</v>
      </c>
      <c r="Z50" s="328">
        <f t="shared" si="2"/>
        <v>8.3000000000000004E-2</v>
      </c>
      <c r="AB50">
        <v>492</v>
      </c>
      <c r="AC50" s="72" t="s">
        <v>113</v>
      </c>
      <c r="AD50" s="273">
        <v>18.07</v>
      </c>
      <c r="AE50" s="273">
        <v>18.39</v>
      </c>
      <c r="AF50" s="269">
        <v>8.3000000000000004E-2</v>
      </c>
      <c r="AG50" s="29" t="s">
        <v>374</v>
      </c>
    </row>
    <row r="51" spans="1:33" ht="14.5" thickBot="1" x14ac:dyDescent="0.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X51" s="246" t="s">
        <v>191</v>
      </c>
      <c r="Y51">
        <v>428</v>
      </c>
      <c r="Z51" s="328">
        <f t="shared" si="2"/>
        <v>0.11700000000000001</v>
      </c>
      <c r="AB51">
        <v>477</v>
      </c>
      <c r="AC51" s="72" t="s">
        <v>114</v>
      </c>
      <c r="AD51" s="273">
        <v>25</v>
      </c>
      <c r="AE51" s="273">
        <v>25.44</v>
      </c>
      <c r="AF51" s="269">
        <v>0.11700000000000001</v>
      </c>
      <c r="AG51" s="29" t="s">
        <v>374</v>
      </c>
    </row>
    <row r="52" spans="1:33" ht="14.5" thickBot="1" x14ac:dyDescent="0.3">
      <c r="A52" t="s">
        <v>446</v>
      </c>
      <c r="B52" s="17">
        <v>-6.8000000000000005E-4</v>
      </c>
      <c r="C52" s="17">
        <v>-6.8000000000000005E-4</v>
      </c>
      <c r="D52" s="17">
        <v>-6.8000000000000005E-4</v>
      </c>
      <c r="E52" s="17">
        <v>-6.8000000000000005E-4</v>
      </c>
      <c r="F52" s="17">
        <v>-6.8000000000000005E-4</v>
      </c>
      <c r="G52" s="17">
        <v>-6.8000000000000005E-4</v>
      </c>
      <c r="H52" s="17">
        <v>-6.8000000000000005E-4</v>
      </c>
      <c r="I52" s="17">
        <v>-6.8000000000000005E-4</v>
      </c>
      <c r="J52" s="17">
        <v>-6.8000000000000005E-4</v>
      </c>
      <c r="K52" s="17">
        <v>-6.8000000000000005E-4</v>
      </c>
      <c r="L52" s="17">
        <v>-6.8000000000000005E-4</v>
      </c>
      <c r="M52" s="17">
        <v>-6.8000000000000005E-4</v>
      </c>
      <c r="N52" s="17">
        <v>-6.8000000000000005E-4</v>
      </c>
      <c r="O52" s="17">
        <v>-6.8000000000000005E-4</v>
      </c>
      <c r="P52" s="17">
        <v>-6.8000000000000005E-4</v>
      </c>
      <c r="Q52" s="17">
        <v>-6.8000000000000005E-4</v>
      </c>
      <c r="R52" s="17">
        <v>-6.8000000000000005E-4</v>
      </c>
      <c r="S52" s="17">
        <v>-6.8000000000000005E-4</v>
      </c>
      <c r="T52" s="17">
        <v>-6.8000000000000005E-4</v>
      </c>
      <c r="U52" s="17"/>
      <c r="X52" s="246" t="s">
        <v>192</v>
      </c>
      <c r="Y52">
        <v>430</v>
      </c>
      <c r="Z52" s="328">
        <f t="shared" si="2"/>
        <v>0.11700000000000001</v>
      </c>
      <c r="AB52">
        <v>497</v>
      </c>
      <c r="AC52" s="72" t="s">
        <v>115</v>
      </c>
      <c r="AD52" s="273">
        <v>17.78</v>
      </c>
      <c r="AE52" s="273">
        <v>18.09</v>
      </c>
      <c r="AF52" s="269">
        <v>0.11700000000000001</v>
      </c>
      <c r="AG52" s="29" t="s">
        <v>374</v>
      </c>
    </row>
    <row r="53" spans="1:33" ht="14.5" thickBot="1" x14ac:dyDescent="0.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X53" s="246" t="s">
        <v>193</v>
      </c>
      <c r="Y53">
        <v>434</v>
      </c>
      <c r="Z53" s="328" t="e">
        <f t="shared" si="2"/>
        <v>#N/A</v>
      </c>
      <c r="AB53">
        <v>478</v>
      </c>
      <c r="AC53" s="72" t="s">
        <v>116</v>
      </c>
      <c r="AD53" s="273">
        <v>32.21</v>
      </c>
      <c r="AE53" s="273">
        <v>32.770000000000003</v>
      </c>
      <c r="AF53" s="269">
        <v>0.24199999999999999</v>
      </c>
      <c r="AG53" s="29" t="s">
        <v>374</v>
      </c>
    </row>
    <row r="54" spans="1:33" ht="14.5" thickBot="1" x14ac:dyDescent="0.3">
      <c r="A54" s="17"/>
      <c r="B54" s="17"/>
      <c r="C54" s="17"/>
      <c r="D54" s="17"/>
      <c r="E54" s="17"/>
      <c r="F54" s="17"/>
      <c r="G54" s="17"/>
      <c r="H54" s="17"/>
      <c r="I54" s="257"/>
      <c r="J54" s="17"/>
      <c r="K54" s="17"/>
      <c r="L54" s="17"/>
      <c r="M54" s="17"/>
      <c r="N54" s="17"/>
      <c r="O54" s="17"/>
      <c r="P54" s="17"/>
      <c r="Q54" s="82"/>
      <c r="R54" s="82"/>
      <c r="S54" s="82"/>
      <c r="T54" s="82"/>
      <c r="U54" s="24"/>
      <c r="V54" s="24"/>
      <c r="X54" s="246" t="s">
        <v>194</v>
      </c>
      <c r="Y54">
        <v>440</v>
      </c>
      <c r="Z54" s="328">
        <f t="shared" si="2"/>
        <v>0.06</v>
      </c>
      <c r="AB54">
        <v>498</v>
      </c>
      <c r="AC54" s="72" t="s">
        <v>117</v>
      </c>
      <c r="AD54" s="273">
        <v>20.78</v>
      </c>
      <c r="AE54" s="273">
        <v>21.14</v>
      </c>
      <c r="AF54" s="269">
        <v>0.24199999999999999</v>
      </c>
      <c r="AG54" s="29" t="s">
        <v>374</v>
      </c>
    </row>
    <row r="55" spans="1:33" ht="14.5" thickBo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X55" s="246" t="s">
        <v>195</v>
      </c>
      <c r="Y55">
        <v>446</v>
      </c>
      <c r="Z55" s="328">
        <f t="shared" si="2"/>
        <v>0.20699999999999999</v>
      </c>
      <c r="AB55">
        <v>479</v>
      </c>
      <c r="AC55" s="72" t="s">
        <v>118</v>
      </c>
      <c r="AD55" s="273">
        <v>39.56</v>
      </c>
      <c r="AE55" s="273">
        <v>40.25</v>
      </c>
      <c r="AF55" s="269">
        <v>0.47099999999999997</v>
      </c>
      <c r="AG55" s="29" t="s">
        <v>374</v>
      </c>
    </row>
    <row r="56" spans="1:33" ht="14.5" thickBot="1" x14ac:dyDescent="0.3">
      <c r="I56" s="27"/>
      <c r="M56" s="17"/>
      <c r="N56" s="17"/>
      <c r="O56" s="17"/>
      <c r="P56" s="17"/>
      <c r="Q56" s="17"/>
      <c r="R56" s="17"/>
      <c r="S56" s="17"/>
      <c r="T56" s="17"/>
      <c r="U56" s="17"/>
      <c r="X56" s="246" t="s">
        <v>196</v>
      </c>
      <c r="Y56">
        <v>447</v>
      </c>
      <c r="Z56" s="328">
        <f t="shared" si="2"/>
        <v>0.29399999999999998</v>
      </c>
      <c r="AB56">
        <v>499</v>
      </c>
      <c r="AC56" s="72" t="s">
        <v>119</v>
      </c>
      <c r="AD56" s="273">
        <v>25.05</v>
      </c>
      <c r="AE56" s="273">
        <v>25.49</v>
      </c>
      <c r="AF56" s="269">
        <v>0.47099999999999997</v>
      </c>
      <c r="AG56" s="29" t="s">
        <v>374</v>
      </c>
    </row>
    <row r="57" spans="1:33" ht="14.5" thickBot="1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O57" s="17"/>
      <c r="P57" s="17"/>
      <c r="Q57" s="17"/>
      <c r="R57" s="401" t="s">
        <v>83</v>
      </c>
      <c r="S57" s="402"/>
      <c r="T57" s="206"/>
      <c r="U57" s="206"/>
      <c r="X57" s="246" t="s">
        <v>197</v>
      </c>
      <c r="Y57">
        <v>448</v>
      </c>
      <c r="Z57" s="328">
        <f t="shared" si="2"/>
        <v>0.45300000000000001</v>
      </c>
      <c r="AB57">
        <v>300</v>
      </c>
      <c r="AC57" s="72" t="s">
        <v>120</v>
      </c>
      <c r="AD57" s="273">
        <v>26.1</v>
      </c>
      <c r="AE57" s="273">
        <v>26.56</v>
      </c>
      <c r="AF57" s="269">
        <v>0.06</v>
      </c>
      <c r="AG57" s="29" t="s">
        <v>374</v>
      </c>
    </row>
    <row r="58" spans="1:33" ht="14.5" thickBot="1" x14ac:dyDescent="0.35">
      <c r="M58" s="10"/>
      <c r="O58" s="17"/>
      <c r="P58" s="17"/>
      <c r="Q58" s="17"/>
      <c r="R58" s="403" t="s">
        <v>311</v>
      </c>
      <c r="S58" s="404"/>
      <c r="T58" s="206"/>
      <c r="U58" s="206"/>
      <c r="X58" s="246" t="s">
        <v>198</v>
      </c>
      <c r="Y58">
        <v>450</v>
      </c>
      <c r="Z58" s="328">
        <f t="shared" si="2"/>
        <v>0.15</v>
      </c>
      <c r="AB58">
        <v>301</v>
      </c>
      <c r="AC58" s="72" t="s">
        <v>121</v>
      </c>
      <c r="AD58" s="273">
        <v>27.16</v>
      </c>
      <c r="AE58" s="273">
        <v>27.64</v>
      </c>
      <c r="AF58" s="269">
        <v>0.11700000000000001</v>
      </c>
      <c r="AG58" s="29" t="s">
        <v>374</v>
      </c>
    </row>
    <row r="59" spans="1:33" ht="14.5" thickBot="1" x14ac:dyDescent="0.35">
      <c r="A59" s="397" t="s">
        <v>322</v>
      </c>
      <c r="M59" s="10" t="s">
        <v>474</v>
      </c>
      <c r="O59" s="17"/>
      <c r="P59" s="17"/>
      <c r="Q59" s="17"/>
      <c r="R59" s="405" t="s">
        <v>312</v>
      </c>
      <c r="S59" s="406"/>
      <c r="T59" s="206"/>
      <c r="U59" s="206"/>
      <c r="X59" s="246" t="s">
        <v>199</v>
      </c>
      <c r="Y59">
        <v>451</v>
      </c>
      <c r="Z59" s="328">
        <f t="shared" si="2"/>
        <v>0.35</v>
      </c>
      <c r="AB59">
        <v>414</v>
      </c>
      <c r="AC59" s="72" t="s">
        <v>452</v>
      </c>
      <c r="AD59" s="273">
        <v>35.69</v>
      </c>
      <c r="AE59" s="273">
        <v>36.31</v>
      </c>
      <c r="AF59" s="269">
        <v>8.3000000000000004E-2</v>
      </c>
      <c r="AG59" s="358" t="s">
        <v>458</v>
      </c>
    </row>
    <row r="60" spans="1:33" ht="14.5" thickBot="1" x14ac:dyDescent="0.3">
      <c r="B60" s="39" t="s">
        <v>596</v>
      </c>
      <c r="C60" s="39" t="s">
        <v>319</v>
      </c>
      <c r="D60" s="39" t="s">
        <v>235</v>
      </c>
      <c r="E60" s="39" t="s">
        <v>236</v>
      </c>
      <c r="F60" s="39" t="s">
        <v>472</v>
      </c>
      <c r="G60" s="39" t="s">
        <v>53</v>
      </c>
      <c r="H60" s="39" t="s">
        <v>238</v>
      </c>
      <c r="I60" s="39" t="s">
        <v>237</v>
      </c>
      <c r="J60" s="39" t="s">
        <v>239</v>
      </c>
      <c r="K60" s="39" t="s">
        <v>473</v>
      </c>
      <c r="M60" s="39" t="s">
        <v>238</v>
      </c>
      <c r="N60" s="39" t="s">
        <v>237</v>
      </c>
      <c r="O60" s="39" t="s">
        <v>239</v>
      </c>
      <c r="P60" s="17"/>
      <c r="Q60" s="39" t="s">
        <v>473</v>
      </c>
      <c r="R60" s="193"/>
      <c r="S60" s="191"/>
      <c r="T60" s="10"/>
      <c r="U60" s="10"/>
      <c r="X60" s="246" t="s">
        <v>200</v>
      </c>
      <c r="Y60">
        <v>452</v>
      </c>
      <c r="Z60" s="328">
        <f t="shared" si="2"/>
        <v>1.08</v>
      </c>
      <c r="AB60">
        <v>415</v>
      </c>
      <c r="AC60" s="72" t="s">
        <v>453</v>
      </c>
      <c r="AD60" s="273">
        <v>35.85</v>
      </c>
      <c r="AE60" s="273">
        <v>36.479999999999997</v>
      </c>
      <c r="AF60" s="269">
        <v>0.11700000000000001</v>
      </c>
      <c r="AG60" s="358" t="s">
        <v>458</v>
      </c>
    </row>
    <row r="61" spans="1:33" ht="14.5" thickBot="1" x14ac:dyDescent="0.3">
      <c r="B61" s="39"/>
      <c r="C61" s="39"/>
      <c r="D61" s="39"/>
      <c r="E61" s="157" t="s">
        <v>252</v>
      </c>
      <c r="F61" s="157"/>
      <c r="G61" s="39" t="s">
        <v>0</v>
      </c>
      <c r="H61" s="39"/>
      <c r="I61" s="39"/>
      <c r="J61" s="39"/>
      <c r="K61" s="39"/>
      <c r="M61" s="10"/>
      <c r="R61" s="193" t="s">
        <v>34</v>
      </c>
      <c r="S61" s="191">
        <v>407</v>
      </c>
      <c r="T61" s="10"/>
      <c r="U61" s="10"/>
      <c r="X61" s="246" t="s">
        <v>201</v>
      </c>
      <c r="Y61">
        <v>454</v>
      </c>
      <c r="Z61" s="328">
        <f t="shared" si="2"/>
        <v>0.15</v>
      </c>
      <c r="AC61" s="75"/>
      <c r="AD61" s="281"/>
      <c r="AE61" s="281"/>
      <c r="AF61" s="269"/>
    </row>
    <row r="62" spans="1:33" ht="14.5" thickBot="1" x14ac:dyDescent="0.3">
      <c r="B62" s="39"/>
      <c r="M62" s="10"/>
      <c r="R62" s="193" t="s">
        <v>35</v>
      </c>
      <c r="S62" s="191">
        <v>344</v>
      </c>
      <c r="T62" s="10"/>
      <c r="U62" s="10"/>
      <c r="X62" s="246" t="s">
        <v>202</v>
      </c>
      <c r="Y62">
        <v>455</v>
      </c>
      <c r="Z62" s="328">
        <f t="shared" si="2"/>
        <v>0.35</v>
      </c>
      <c r="AC62" s="70" t="s">
        <v>99</v>
      </c>
      <c r="AD62" s="275"/>
      <c r="AE62" s="275"/>
      <c r="AF62" s="269"/>
    </row>
    <row r="63" spans="1:33" ht="14.5" thickBot="1" x14ac:dyDescent="0.3">
      <c r="B63" s="39"/>
      <c r="C63" s="137"/>
      <c r="D63" s="137"/>
      <c r="E63" s="137"/>
      <c r="F63" s="137"/>
      <c r="L63" s="44"/>
      <c r="R63" s="193" t="s">
        <v>36</v>
      </c>
      <c r="S63" s="191">
        <v>347</v>
      </c>
      <c r="T63" s="10"/>
      <c r="U63" s="10"/>
      <c r="X63" s="246" t="s">
        <v>203</v>
      </c>
      <c r="Y63">
        <v>456</v>
      </c>
      <c r="Z63" s="328">
        <f t="shared" ref="Z63:Z83" si="3">VLOOKUP(Y63,$AB$9:$AF$130,5,FALSE)</f>
        <v>0.20699999999999999</v>
      </c>
      <c r="AB63">
        <v>491</v>
      </c>
      <c r="AC63" s="72" t="s">
        <v>124</v>
      </c>
      <c r="AD63" s="273">
        <v>25.81</v>
      </c>
      <c r="AE63" s="273">
        <v>26.26</v>
      </c>
      <c r="AF63" s="269">
        <v>0.35</v>
      </c>
      <c r="AG63" s="29" t="s">
        <v>374</v>
      </c>
    </row>
    <row r="64" spans="1:33" ht="14.5" thickBot="1" x14ac:dyDescent="0.3">
      <c r="A64" s="44" t="s">
        <v>306</v>
      </c>
      <c r="B64" s="354">
        <v>618097983.19000006</v>
      </c>
      <c r="C64" s="354">
        <v>-7618544.3663145658</v>
      </c>
      <c r="D64" s="354">
        <v>4527948.8117393581</v>
      </c>
      <c r="E64" s="354">
        <v>20254321.93</v>
      </c>
      <c r="F64" s="354">
        <v>3380362.7899999991</v>
      </c>
      <c r="G64" s="355">
        <v>5941714960.3296461</v>
      </c>
      <c r="H64" s="151">
        <f>+C64/$G64</f>
        <v>-1.2822130339776329E-3</v>
      </c>
      <c r="I64" s="151">
        <f>+D64/$G64</f>
        <v>7.6206092718526298E-4</v>
      </c>
      <c r="J64" s="151">
        <f t="shared" ref="J64:J75" si="4">+E64/$G64</f>
        <v>3.4088343290160608E-3</v>
      </c>
      <c r="K64" s="151">
        <f>F64/G64</f>
        <v>5.6892038957931715E-4</v>
      </c>
      <c r="L64" s="8"/>
      <c r="M64" s="137"/>
      <c r="R64" s="193" t="s">
        <v>37</v>
      </c>
      <c r="S64" s="191">
        <v>301</v>
      </c>
      <c r="T64" s="10"/>
      <c r="U64" s="10"/>
      <c r="X64" s="246" t="s">
        <v>204</v>
      </c>
      <c r="Y64">
        <v>457</v>
      </c>
      <c r="Z64" s="328">
        <f t="shared" si="3"/>
        <v>0.29399999999999998</v>
      </c>
      <c r="AB64">
        <v>495</v>
      </c>
      <c r="AC64" s="227" t="s">
        <v>125</v>
      </c>
      <c r="AD64" s="360">
        <v>40.549999999999997</v>
      </c>
      <c r="AE64" s="373">
        <v>41.26</v>
      </c>
      <c r="AF64" s="269">
        <v>0.35</v>
      </c>
      <c r="AG64" s="29" t="s">
        <v>374</v>
      </c>
    </row>
    <row r="65" spans="1:33" ht="14.5" thickBot="1" x14ac:dyDescent="0.3">
      <c r="A65" s="29" t="s">
        <v>318</v>
      </c>
      <c r="B65" s="354">
        <v>176901.03999999998</v>
      </c>
      <c r="C65" s="354">
        <v>-2472.7821951143037</v>
      </c>
      <c r="D65" s="354">
        <v>1186.0807102662934</v>
      </c>
      <c r="E65" s="354">
        <v>5116.8900000000003</v>
      </c>
      <c r="F65" s="354">
        <v>1140.3199999999997</v>
      </c>
      <c r="G65" s="355">
        <v>1904870.4999767551</v>
      </c>
      <c r="H65" s="151">
        <f t="shared" ref="H65:H75" si="5">+C65/$G65</f>
        <v>-1.2981366424355246E-3</v>
      </c>
      <c r="I65" s="151">
        <f t="shared" ref="I65:I75" si="6">+D65/$G65</f>
        <v>6.2265687367239243E-4</v>
      </c>
      <c r="J65" s="151">
        <f t="shared" si="4"/>
        <v>2.686214102251277E-3</v>
      </c>
      <c r="K65" s="151">
        <f t="shared" ref="K65:K83" si="7">F65/G65</f>
        <v>5.9863387039376954E-4</v>
      </c>
      <c r="L65" s="8"/>
      <c r="M65" s="151"/>
      <c r="N65" s="151"/>
      <c r="O65" s="151"/>
      <c r="P65" s="185"/>
      <c r="R65" s="193" t="s">
        <v>38</v>
      </c>
      <c r="S65" s="191">
        <v>281</v>
      </c>
      <c r="T65" s="10"/>
      <c r="U65" s="10"/>
      <c r="X65" s="246" t="s">
        <v>372</v>
      </c>
      <c r="Y65" s="29" t="s">
        <v>371</v>
      </c>
      <c r="Z65" s="328">
        <f t="shared" si="3"/>
        <v>2.1999999999999999E-2</v>
      </c>
      <c r="AC65" s="228"/>
      <c r="AD65" s="271"/>
      <c r="AE65" s="271"/>
      <c r="AF65" s="269"/>
    </row>
    <row r="66" spans="1:33" ht="14.5" thickBot="1" x14ac:dyDescent="0.3">
      <c r="A66" s="186" t="s">
        <v>73</v>
      </c>
      <c r="B66" s="354">
        <f>102089168-15036</f>
        <v>102074132</v>
      </c>
      <c r="C66" s="354">
        <v>-925244.35000000009</v>
      </c>
      <c r="D66" s="354">
        <v>1376979.1</v>
      </c>
      <c r="E66" s="354">
        <v>6355519.6799999997</v>
      </c>
      <c r="F66" s="354">
        <v>1352740.97</v>
      </c>
      <c r="G66" s="355">
        <v>694982033.44026601</v>
      </c>
      <c r="H66" s="151">
        <f t="shared" si="5"/>
        <v>-1.331321250737808E-3</v>
      </c>
      <c r="I66" s="151">
        <f t="shared" si="6"/>
        <v>1.9813161114162125E-3</v>
      </c>
      <c r="J66" s="151">
        <f t="shared" si="4"/>
        <v>9.1448690386127223E-3</v>
      </c>
      <c r="K66" s="151">
        <f t="shared" si="7"/>
        <v>1.9464402026390926E-3</v>
      </c>
      <c r="L66" s="8"/>
      <c r="M66" s="137"/>
      <c r="R66" s="193" t="s">
        <v>39</v>
      </c>
      <c r="S66" s="191">
        <v>257</v>
      </c>
      <c r="T66" s="10"/>
      <c r="U66" s="10"/>
      <c r="X66" s="246" t="s">
        <v>205</v>
      </c>
      <c r="Y66">
        <v>458</v>
      </c>
      <c r="Z66" s="328">
        <f t="shared" si="3"/>
        <v>0.45300000000000001</v>
      </c>
      <c r="AC66" s="229" t="s">
        <v>327</v>
      </c>
      <c r="AD66" s="362"/>
      <c r="AE66" s="270"/>
      <c r="AF66" s="269"/>
    </row>
    <row r="67" spans="1:33" ht="14.5" thickBot="1" x14ac:dyDescent="0.3">
      <c r="A67" s="186" t="s">
        <v>75</v>
      </c>
      <c r="B67" s="354">
        <f>122139690-21263</f>
        <v>122118427</v>
      </c>
      <c r="C67" s="354">
        <v>-1343877.36</v>
      </c>
      <c r="D67" s="354">
        <v>2551676.02</v>
      </c>
      <c r="E67" s="354">
        <v>13368455.82</v>
      </c>
      <c r="F67" s="354">
        <v>3432806.59</v>
      </c>
      <c r="G67" s="355">
        <v>983167862.05655277</v>
      </c>
      <c r="H67" s="151">
        <f t="shared" si="5"/>
        <v>-1.3668849561344785E-3</v>
      </c>
      <c r="I67" s="151">
        <f t="shared" si="6"/>
        <v>2.5953615028287257E-3</v>
      </c>
      <c r="J67" s="151">
        <f t="shared" si="4"/>
        <v>1.3597327919198231E-2</v>
      </c>
      <c r="K67" s="151">
        <f t="shared" si="7"/>
        <v>3.4915773007667145E-3</v>
      </c>
      <c r="L67" s="8"/>
      <c r="M67" s="151">
        <f>(C67+C66)/($G$67+$G$66)</f>
        <v>-1.3521567507700039E-3</v>
      </c>
      <c r="N67" s="151">
        <f>(D67+D66)/($G$67+$G$66)</f>
        <v>2.3410632927024174E-3</v>
      </c>
      <c r="O67" s="151">
        <f>(E67+E66)/($G$67+$G$66)</f>
        <v>1.1753405075987379E-2</v>
      </c>
      <c r="P67" s="185"/>
      <c r="Q67" s="151">
        <f>(F67+F66)/($G$67+$G$66)</f>
        <v>2.8516806352290903E-3</v>
      </c>
      <c r="R67" s="193" t="s">
        <v>40</v>
      </c>
      <c r="S67" s="191">
        <v>273</v>
      </c>
      <c r="T67" s="10"/>
      <c r="U67" s="10"/>
      <c r="X67" s="246" t="s">
        <v>206</v>
      </c>
      <c r="Y67">
        <v>459</v>
      </c>
      <c r="Z67" s="328">
        <f t="shared" si="3"/>
        <v>1.08</v>
      </c>
      <c r="AB67" s="29" t="s">
        <v>371</v>
      </c>
      <c r="AC67" s="227" t="s">
        <v>373</v>
      </c>
      <c r="AD67" s="360">
        <v>4</v>
      </c>
      <c r="AE67" s="373">
        <v>4.03</v>
      </c>
      <c r="AF67" s="269">
        <v>2.1999999999999999E-2</v>
      </c>
    </row>
    <row r="68" spans="1:33" ht="14.5" thickBot="1" x14ac:dyDescent="0.3">
      <c r="A68" s="17" t="s">
        <v>74</v>
      </c>
      <c r="B68" s="354">
        <v>688299</v>
      </c>
      <c r="C68" s="354">
        <v>-7081</v>
      </c>
      <c r="D68" s="354">
        <v>18558.8</v>
      </c>
      <c r="E68" s="354">
        <v>54680.62</v>
      </c>
      <c r="F68" s="354">
        <v>9655.4699999999993</v>
      </c>
      <c r="G68" s="355">
        <v>5699944.813463022</v>
      </c>
      <c r="H68" s="151">
        <f t="shared" si="5"/>
        <v>-1.2422927294445001E-3</v>
      </c>
      <c r="I68" s="151">
        <f t="shared" si="6"/>
        <v>3.255961348286201E-3</v>
      </c>
      <c r="J68" s="151">
        <f t="shared" si="4"/>
        <v>9.59318410782623E-3</v>
      </c>
      <c r="K68" s="151">
        <f t="shared" si="7"/>
        <v>1.6939585059129341E-3</v>
      </c>
      <c r="L68" s="8"/>
      <c r="M68" s="137"/>
      <c r="R68" s="193" t="s">
        <v>41</v>
      </c>
      <c r="S68" s="191">
        <v>299</v>
      </c>
      <c r="T68" s="10"/>
      <c r="U68" s="10"/>
      <c r="X68" s="246" t="s">
        <v>207</v>
      </c>
      <c r="Y68">
        <v>460</v>
      </c>
      <c r="Z68" s="328">
        <f t="shared" si="3"/>
        <v>0.15</v>
      </c>
      <c r="AB68">
        <v>396</v>
      </c>
      <c r="AC68" s="227" t="s">
        <v>328</v>
      </c>
      <c r="AD68" s="360">
        <v>5.24</v>
      </c>
      <c r="AE68" s="373">
        <v>5.35</v>
      </c>
      <c r="AF68" s="269">
        <v>7.0999999999999994E-2</v>
      </c>
    </row>
    <row r="69" spans="1:33" ht="14.5" thickBot="1" x14ac:dyDescent="0.3">
      <c r="A69" s="186" t="s">
        <v>76</v>
      </c>
      <c r="B69" s="354">
        <v>11125664</v>
      </c>
      <c r="C69" s="354">
        <v>-164211</v>
      </c>
      <c r="D69" s="354">
        <v>403346.35</v>
      </c>
      <c r="E69" s="354">
        <v>1217544.1000000001</v>
      </c>
      <c r="F69" s="354">
        <v>268069.68</v>
      </c>
      <c r="G69" s="355">
        <v>122849053.87387803</v>
      </c>
      <c r="H69" s="151">
        <f t="shared" si="5"/>
        <v>-1.3366891711562212E-3</v>
      </c>
      <c r="I69" s="151">
        <f t="shared" si="6"/>
        <v>3.2832678582457148E-3</v>
      </c>
      <c r="J69" s="151">
        <f t="shared" si="4"/>
        <v>9.9108952133240003E-3</v>
      </c>
      <c r="K69" s="151">
        <f t="shared" si="7"/>
        <v>2.1821061827241384E-3</v>
      </c>
      <c r="L69" s="8"/>
      <c r="M69" s="151">
        <f>(C69+C68)/($G$69+$G$68)</f>
        <v>-1.3325035725608348E-3</v>
      </c>
      <c r="N69" s="151">
        <f>(D69+D68)/($G$69+$G$68)</f>
        <v>3.2820570701306236E-3</v>
      </c>
      <c r="O69" s="151">
        <f>(E69+E68)/($G$69+$G$68)</f>
        <v>9.8968076997186551E-3</v>
      </c>
      <c r="P69" s="185"/>
      <c r="Q69" s="151">
        <f>(F69+F68)/($G$69+$G$68)</f>
        <v>2.1604614025464916E-3</v>
      </c>
      <c r="R69" s="193" t="s">
        <v>42</v>
      </c>
      <c r="S69" s="191">
        <v>322</v>
      </c>
      <c r="T69" s="10"/>
      <c r="U69" s="10"/>
      <c r="X69" s="246" t="s">
        <v>208</v>
      </c>
      <c r="Y69">
        <v>461</v>
      </c>
      <c r="Z69" s="328">
        <f t="shared" si="3"/>
        <v>0.6</v>
      </c>
      <c r="AB69">
        <v>397</v>
      </c>
      <c r="AC69" s="227" t="s">
        <v>329</v>
      </c>
      <c r="AD69" s="373">
        <v>7.3</v>
      </c>
      <c r="AE69" s="375">
        <v>7.33</v>
      </c>
      <c r="AF69" s="269">
        <v>0.122</v>
      </c>
    </row>
    <row r="70" spans="1:33" ht="14.5" thickBot="1" x14ac:dyDescent="0.3">
      <c r="A70" s="135" t="s">
        <v>229</v>
      </c>
      <c r="B70" s="354">
        <v>172805799.66999999</v>
      </c>
      <c r="C70" s="354">
        <v>-2364958.6532779844</v>
      </c>
      <c r="D70" s="354">
        <v>445411.97423447174</v>
      </c>
      <c r="E70" s="354">
        <v>2653375.92</v>
      </c>
      <c r="F70" s="354">
        <v>276969.3200000003</v>
      </c>
      <c r="G70" s="355">
        <v>1699193305.9239185</v>
      </c>
      <c r="H70" s="151">
        <f t="shared" si="5"/>
        <v>-1.3918126001514954E-3</v>
      </c>
      <c r="I70" s="151">
        <f t="shared" si="6"/>
        <v>2.6213143182804834E-4</v>
      </c>
      <c r="J70" s="151">
        <f t="shared" si="4"/>
        <v>1.5615503608385831E-3</v>
      </c>
      <c r="K70" s="151">
        <f t="shared" si="7"/>
        <v>1.6300047736440506E-4</v>
      </c>
      <c r="L70" s="8"/>
      <c r="M70" s="137"/>
      <c r="P70" s="48"/>
      <c r="Q70" s="48"/>
      <c r="R70" s="193" t="s">
        <v>43</v>
      </c>
      <c r="S70" s="191">
        <v>368</v>
      </c>
      <c r="T70" s="10"/>
      <c r="U70" s="10"/>
      <c r="X70" s="246" t="s">
        <v>385</v>
      </c>
      <c r="Y70" t="s">
        <v>375</v>
      </c>
      <c r="Z70" s="328">
        <f t="shared" si="3"/>
        <v>0.04</v>
      </c>
      <c r="AB70">
        <v>398</v>
      </c>
      <c r="AC70" s="71" t="s">
        <v>330</v>
      </c>
      <c r="AD70" s="372">
        <v>10.54</v>
      </c>
      <c r="AE70" s="376">
        <v>10.64</v>
      </c>
      <c r="AF70" s="269">
        <v>0.19400000000000001</v>
      </c>
    </row>
    <row r="71" spans="1:33" ht="14.5" thickBot="1" x14ac:dyDescent="0.3">
      <c r="A71" s="135" t="s">
        <v>230</v>
      </c>
      <c r="B71" s="354">
        <v>9596001.9299999997</v>
      </c>
      <c r="C71" s="354">
        <v>-109228.06513963292</v>
      </c>
      <c r="D71" s="354">
        <v>30951.367135949818</v>
      </c>
      <c r="E71" s="354">
        <v>193985.02</v>
      </c>
      <c r="F71" s="354">
        <v>23865.339999999997</v>
      </c>
      <c r="G71" s="355">
        <v>78721459.472374186</v>
      </c>
      <c r="H71" s="151">
        <f t="shared" si="5"/>
        <v>-1.3875259156998284E-3</v>
      </c>
      <c r="I71" s="151">
        <f t="shared" si="6"/>
        <v>3.9317572798318887E-4</v>
      </c>
      <c r="J71" s="151">
        <f t="shared" si="4"/>
        <v>2.4641949133079192E-3</v>
      </c>
      <c r="K71" s="151">
        <f t="shared" si="7"/>
        <v>3.0316180822809934E-4</v>
      </c>
      <c r="L71" s="8"/>
      <c r="M71" s="137"/>
      <c r="R71" s="193" t="s">
        <v>44</v>
      </c>
      <c r="S71" s="191">
        <v>386</v>
      </c>
      <c r="T71" s="10"/>
      <c r="U71" s="10"/>
      <c r="X71" s="246" t="s">
        <v>386</v>
      </c>
      <c r="Y71" t="s">
        <v>376</v>
      </c>
      <c r="Z71" s="328">
        <f t="shared" si="3"/>
        <v>5.7000000000000002E-2</v>
      </c>
      <c r="AB71">
        <v>399</v>
      </c>
      <c r="AC71" s="227" t="s">
        <v>456</v>
      </c>
      <c r="AD71" s="360">
        <v>7.41</v>
      </c>
      <c r="AE71" s="373">
        <v>7.14</v>
      </c>
      <c r="AF71" s="269">
        <v>4.3999999999999997E-2</v>
      </c>
      <c r="AG71" s="356" t="s">
        <v>457</v>
      </c>
    </row>
    <row r="72" spans="1:33" ht="14.5" thickBot="1" x14ac:dyDescent="0.3">
      <c r="A72" t="s">
        <v>231</v>
      </c>
      <c r="B72" s="354">
        <v>136359801.58000001</v>
      </c>
      <c r="C72" s="354">
        <v>-2485003.899587696</v>
      </c>
      <c r="D72" s="354">
        <v>216464.38582098318</v>
      </c>
      <c r="E72" s="354">
        <v>1625818.53</v>
      </c>
      <c r="F72" s="354">
        <v>214930.25</v>
      </c>
      <c r="G72" s="355">
        <v>1784202423.7330589</v>
      </c>
      <c r="H72" s="151">
        <f t="shared" si="5"/>
        <v>-1.3927813719635919E-3</v>
      </c>
      <c r="I72" s="151">
        <f t="shared" si="6"/>
        <v>1.2132277310109137E-4</v>
      </c>
      <c r="J72" s="151">
        <f t="shared" si="4"/>
        <v>9.1122986292010814E-4</v>
      </c>
      <c r="K72" s="151">
        <f t="shared" si="7"/>
        <v>1.2046292906065266E-4</v>
      </c>
      <c r="L72" s="8"/>
      <c r="M72" s="137"/>
      <c r="R72" s="194" t="s">
        <v>45</v>
      </c>
      <c r="S72" s="192">
        <v>415</v>
      </c>
      <c r="T72" s="10"/>
      <c r="U72" s="10"/>
      <c r="X72" s="246" t="s">
        <v>387</v>
      </c>
      <c r="Y72" t="s">
        <v>377</v>
      </c>
      <c r="Z72" s="328">
        <f t="shared" si="3"/>
        <v>8.6999999999999994E-2</v>
      </c>
      <c r="AB72" s="29" t="s">
        <v>375</v>
      </c>
      <c r="AC72" s="227" t="s">
        <v>395</v>
      </c>
      <c r="AD72" s="360">
        <v>8.83</v>
      </c>
      <c r="AE72" s="373">
        <v>8.69</v>
      </c>
      <c r="AF72" s="269">
        <v>0.04</v>
      </c>
    </row>
    <row r="73" spans="1:33" ht="14.5" thickBot="1" x14ac:dyDescent="0.3">
      <c r="A73" t="s">
        <v>232</v>
      </c>
      <c r="B73" s="354">
        <v>253873125.96000001</v>
      </c>
      <c r="C73" s="354">
        <v>-5543738.9095587237</v>
      </c>
      <c r="D73" s="354">
        <v>0</v>
      </c>
      <c r="E73" s="354">
        <v>3406423.46</v>
      </c>
      <c r="F73" s="354">
        <v>493746.78000000026</v>
      </c>
      <c r="G73" s="355">
        <v>3951918370.8715663</v>
      </c>
      <c r="H73" s="151">
        <f t="shared" si="5"/>
        <v>-1.4027969176742114E-3</v>
      </c>
      <c r="I73" s="151">
        <f t="shared" si="6"/>
        <v>0</v>
      </c>
      <c r="J73" s="151">
        <f t="shared" si="4"/>
        <v>8.6196706012648197E-4</v>
      </c>
      <c r="K73" s="151">
        <f t="shared" si="7"/>
        <v>1.2493850673618749E-4</v>
      </c>
      <c r="L73" s="8"/>
      <c r="M73" s="137"/>
      <c r="X73" s="246" t="s">
        <v>388</v>
      </c>
      <c r="Y73" t="s">
        <v>378</v>
      </c>
      <c r="Z73" s="328">
        <f t="shared" si="3"/>
        <v>0.14299999999999999</v>
      </c>
      <c r="AB73" s="29" t="s">
        <v>376</v>
      </c>
      <c r="AC73" s="227" t="s">
        <v>396</v>
      </c>
      <c r="AD73" s="360">
        <v>6.87</v>
      </c>
      <c r="AE73" s="373">
        <v>6.81</v>
      </c>
      <c r="AF73" s="269">
        <v>5.7000000000000002E-2</v>
      </c>
    </row>
    <row r="74" spans="1:33" ht="14.5" thickBot="1" x14ac:dyDescent="0.3">
      <c r="A74" t="s">
        <v>233</v>
      </c>
      <c r="B74" s="354">
        <v>83372894.969999999</v>
      </c>
      <c r="C74" s="354">
        <v>-1949137.2568893384</v>
      </c>
      <c r="D74" s="354">
        <v>0</v>
      </c>
      <c r="E74" s="354">
        <v>715817.02</v>
      </c>
      <c r="F74" s="354">
        <v>101736.87</v>
      </c>
      <c r="G74" s="355">
        <v>1404629846.8926115</v>
      </c>
      <c r="H74" s="151">
        <f t="shared" si="5"/>
        <v>-1.3876518865103941E-3</v>
      </c>
      <c r="I74" s="151">
        <f t="shared" si="6"/>
        <v>0</v>
      </c>
      <c r="J74" s="151">
        <f t="shared" si="4"/>
        <v>5.096125656047849E-4</v>
      </c>
      <c r="K74" s="151">
        <f t="shared" si="7"/>
        <v>7.2429665527232751E-5</v>
      </c>
      <c r="L74" s="8"/>
      <c r="M74" s="137"/>
      <c r="X74" s="246" t="s">
        <v>389</v>
      </c>
      <c r="Y74" t="s">
        <v>379</v>
      </c>
      <c r="Z74" s="328">
        <f t="shared" si="3"/>
        <v>0.22</v>
      </c>
      <c r="AB74" s="29" t="s">
        <v>377</v>
      </c>
      <c r="AC74" s="227" t="s">
        <v>397</v>
      </c>
      <c r="AD74" s="360">
        <v>8</v>
      </c>
      <c r="AE74" s="373">
        <v>8.16</v>
      </c>
      <c r="AF74" s="269">
        <v>8.6999999999999994E-2</v>
      </c>
    </row>
    <row r="75" spans="1:33" ht="14.5" thickBot="1" x14ac:dyDescent="0.3">
      <c r="A75" t="s">
        <v>234</v>
      </c>
      <c r="B75" s="354">
        <v>33355735.760000005</v>
      </c>
      <c r="C75" s="354">
        <v>-846209.60722108465</v>
      </c>
      <c r="D75" s="354">
        <v>0</v>
      </c>
      <c r="E75" s="354">
        <v>322190.33</v>
      </c>
      <c r="F75" s="354">
        <v>46513.76999999996</v>
      </c>
      <c r="G75" s="355">
        <v>605890404.67000008</v>
      </c>
      <c r="H75" s="151">
        <f t="shared" si="5"/>
        <v>-1.3966380729894131E-3</v>
      </c>
      <c r="I75" s="151">
        <f t="shared" si="6"/>
        <v>0</v>
      </c>
      <c r="J75" s="151">
        <f t="shared" si="4"/>
        <v>5.3176338083036961E-4</v>
      </c>
      <c r="K75" s="151">
        <f t="shared" si="7"/>
        <v>7.6769279792991303E-5</v>
      </c>
      <c r="L75" s="8"/>
      <c r="M75" s="137"/>
      <c r="X75" s="246" t="s">
        <v>390</v>
      </c>
      <c r="Y75" t="s">
        <v>380</v>
      </c>
      <c r="Z75" s="328">
        <f t="shared" si="3"/>
        <v>0.38</v>
      </c>
      <c r="AB75" s="236" t="s">
        <v>378</v>
      </c>
      <c r="AC75" s="227" t="s">
        <v>399</v>
      </c>
      <c r="AD75" s="360">
        <v>9.74</v>
      </c>
      <c r="AE75" s="373">
        <v>10.050000000000001</v>
      </c>
      <c r="AF75" s="269">
        <v>0.14299999999999999</v>
      </c>
    </row>
    <row r="76" spans="1:33" ht="14.5" thickBot="1" x14ac:dyDescent="0.35">
      <c r="A76" s="81" t="s">
        <v>246</v>
      </c>
      <c r="B76" s="354">
        <v>30288636.960000005</v>
      </c>
      <c r="C76" s="354">
        <v>-160141.10999999984</v>
      </c>
      <c r="D76" s="354">
        <v>0</v>
      </c>
      <c r="E76" s="354">
        <v>2485958.1700000023</v>
      </c>
      <c r="F76" s="354">
        <v>498207.01999999711</v>
      </c>
      <c r="G76" s="355">
        <v>120148466.08000028</v>
      </c>
      <c r="H76" s="153">
        <f t="shared" ref="H76:H82" si="8">+C76/G76</f>
        <v>-1.3328602122424987E-3</v>
      </c>
      <c r="I76" s="153">
        <f t="shared" ref="I76:J83" si="9">+D76/$G76</f>
        <v>0</v>
      </c>
      <c r="J76" s="153">
        <f t="shared" si="9"/>
        <v>2.0690719166940832E-2</v>
      </c>
      <c r="K76" s="151">
        <f t="shared" si="7"/>
        <v>4.1465949275479586E-3</v>
      </c>
      <c r="L76" s="8"/>
      <c r="M76" s="398"/>
      <c r="X76" s="246" t="s">
        <v>391</v>
      </c>
      <c r="Y76" t="s">
        <v>381</v>
      </c>
      <c r="Z76" s="328">
        <f t="shared" si="3"/>
        <v>0.03</v>
      </c>
      <c r="AB76" s="236" t="s">
        <v>379</v>
      </c>
      <c r="AC76" s="227" t="s">
        <v>400</v>
      </c>
      <c r="AD76" s="360">
        <v>14.13</v>
      </c>
      <c r="AE76" s="373">
        <v>14.59</v>
      </c>
      <c r="AF76" s="269">
        <v>0.22</v>
      </c>
    </row>
    <row r="77" spans="1:33" ht="14.5" thickBot="1" x14ac:dyDescent="0.3">
      <c r="A77" s="29" t="s">
        <v>271</v>
      </c>
      <c r="B77" s="354">
        <v>305908.54000000004</v>
      </c>
      <c r="C77" s="354">
        <v>-5826.5688376810076</v>
      </c>
      <c r="D77" s="354">
        <v>0</v>
      </c>
      <c r="E77" s="354">
        <v>27953.08</v>
      </c>
      <c r="F77" s="354">
        <v>7850.3600000000006</v>
      </c>
      <c r="G77" s="355">
        <v>4371371.0279999999</v>
      </c>
      <c r="H77" s="153">
        <f t="shared" si="8"/>
        <v>-1.3328927698792918E-3</v>
      </c>
      <c r="I77" s="153">
        <f t="shared" si="9"/>
        <v>0</v>
      </c>
      <c r="J77" s="153">
        <f t="shared" si="9"/>
        <v>6.3945796000732429E-3</v>
      </c>
      <c r="K77" s="151">
        <f t="shared" si="7"/>
        <v>1.7958576267527939E-3</v>
      </c>
      <c r="L77" s="8"/>
      <c r="M77" s="137"/>
      <c r="X77" s="246" t="s">
        <v>392</v>
      </c>
      <c r="Y77" t="s">
        <v>382</v>
      </c>
      <c r="Z77" s="328">
        <f t="shared" si="3"/>
        <v>9.6000000000000002E-2</v>
      </c>
      <c r="AB77" s="236" t="s">
        <v>380</v>
      </c>
      <c r="AC77" s="227" t="s">
        <v>398</v>
      </c>
      <c r="AD77" s="360">
        <v>21.32</v>
      </c>
      <c r="AE77" s="373">
        <v>20.29</v>
      </c>
      <c r="AF77" s="269">
        <v>0.38</v>
      </c>
    </row>
    <row r="78" spans="1:33" ht="14.5" thickBot="1" x14ac:dyDescent="0.3">
      <c r="A78" s="44" t="s">
        <v>274</v>
      </c>
      <c r="B78" s="354">
        <v>271053.7</v>
      </c>
      <c r="C78" s="354">
        <v>-3281.0253594040855</v>
      </c>
      <c r="D78" s="354">
        <v>0</v>
      </c>
      <c r="E78" s="354">
        <v>16450.64</v>
      </c>
      <c r="F78" s="354">
        <v>3802.3100000000013</v>
      </c>
      <c r="G78" s="355">
        <v>2392654.4840000002</v>
      </c>
      <c r="H78" s="153">
        <f t="shared" si="8"/>
        <v>-1.3712909161538952E-3</v>
      </c>
      <c r="I78" s="153">
        <f t="shared" si="9"/>
        <v>0</v>
      </c>
      <c r="J78" s="153">
        <f t="shared" si="9"/>
        <v>6.8754766348453674E-3</v>
      </c>
      <c r="K78" s="151">
        <f t="shared" si="7"/>
        <v>1.5891596657296554E-3</v>
      </c>
      <c r="L78" s="8"/>
      <c r="M78" s="137"/>
      <c r="X78" s="246" t="s">
        <v>393</v>
      </c>
      <c r="Y78" t="s">
        <v>383</v>
      </c>
      <c r="Z78" s="328">
        <f t="shared" si="3"/>
        <v>0.17499999999999999</v>
      </c>
      <c r="AB78" s="236" t="s">
        <v>381</v>
      </c>
      <c r="AC78" s="227" t="s">
        <v>401</v>
      </c>
      <c r="AD78" s="360">
        <v>8.17</v>
      </c>
      <c r="AE78" s="373">
        <v>8.18</v>
      </c>
      <c r="AF78" s="269">
        <v>0.03</v>
      </c>
    </row>
    <row r="79" spans="1:33" ht="14.5" thickBot="1" x14ac:dyDescent="0.3">
      <c r="A79" s="44" t="s">
        <v>584</v>
      </c>
      <c r="B79" s="387">
        <v>0</v>
      </c>
      <c r="C79" s="354">
        <v>0</v>
      </c>
      <c r="D79" s="354">
        <v>0</v>
      </c>
      <c r="E79" s="354">
        <v>0</v>
      </c>
      <c r="F79" s="354">
        <v>0</v>
      </c>
      <c r="G79" s="355">
        <v>0</v>
      </c>
      <c r="H79" s="153">
        <f>IF(G79=0,0,+C79/G79)</f>
        <v>0</v>
      </c>
      <c r="I79" s="153">
        <f>IF(G79=0,0,+D79/$G79)</f>
        <v>0</v>
      </c>
      <c r="J79" s="153">
        <f>IF(G79=0,0,+E79/$G79)</f>
        <v>0</v>
      </c>
      <c r="K79" s="151">
        <f>IF(G79=0,0,F79/G79)</f>
        <v>0</v>
      </c>
      <c r="L79" s="8"/>
      <c r="M79" s="137"/>
      <c r="X79" s="246" t="s">
        <v>394</v>
      </c>
      <c r="Y79" t="s">
        <v>384</v>
      </c>
      <c r="Z79" s="328">
        <f t="shared" si="3"/>
        <v>0.29699999999999999</v>
      </c>
      <c r="AB79" s="236" t="s">
        <v>382</v>
      </c>
      <c r="AC79" s="227" t="s">
        <v>402</v>
      </c>
      <c r="AD79" s="360">
        <v>10</v>
      </c>
      <c r="AE79" s="373">
        <v>10.09</v>
      </c>
      <c r="AF79" s="269">
        <v>9.6000000000000002E-2</v>
      </c>
    </row>
    <row r="80" spans="1:33" ht="14.5" thickBot="1" x14ac:dyDescent="0.3">
      <c r="A80" s="44" t="s">
        <v>585</v>
      </c>
      <c r="B80" s="354">
        <v>95673.21</v>
      </c>
      <c r="C80" s="354">
        <v>-437.80259518466971</v>
      </c>
      <c r="D80" s="354">
        <v>127.52360696730841</v>
      </c>
      <c r="E80" s="354">
        <v>446.64</v>
      </c>
      <c r="F80" s="354">
        <v>41.300000000000011</v>
      </c>
      <c r="G80" s="355">
        <v>326404.50364979997</v>
      </c>
      <c r="H80" s="153">
        <f t="shared" si="8"/>
        <v>-1.3412884635145505E-3</v>
      </c>
      <c r="I80" s="153">
        <f t="shared" si="9"/>
        <v>3.9069193452100385E-4</v>
      </c>
      <c r="J80" s="153">
        <f t="shared" si="9"/>
        <v>1.3683634723349312E-3</v>
      </c>
      <c r="K80" s="151">
        <f t="shared" si="7"/>
        <v>1.2653011688929043E-4</v>
      </c>
      <c r="L80" s="8"/>
      <c r="M80" s="137"/>
      <c r="X80" s="246" t="s">
        <v>405</v>
      </c>
      <c r="Y80" t="s">
        <v>409</v>
      </c>
      <c r="Z80" s="328">
        <f t="shared" si="3"/>
        <v>0</v>
      </c>
      <c r="AB80" s="236" t="s">
        <v>383</v>
      </c>
      <c r="AC80" s="227" t="s">
        <v>403</v>
      </c>
      <c r="AD80" s="360">
        <v>12.38</v>
      </c>
      <c r="AE80" s="373">
        <v>12.44</v>
      </c>
      <c r="AF80" s="269">
        <v>0.17499999999999999</v>
      </c>
    </row>
    <row r="81" spans="1:33" ht="14.5" thickBot="1" x14ac:dyDescent="0.3">
      <c r="A81" s="44" t="s">
        <v>355</v>
      </c>
      <c r="B81" s="354">
        <v>200859.1200000002</v>
      </c>
      <c r="C81" s="354">
        <v>0</v>
      </c>
      <c r="D81" s="354">
        <v>0</v>
      </c>
      <c r="E81" s="354">
        <v>0</v>
      </c>
      <c r="F81" s="354">
        <v>0</v>
      </c>
      <c r="G81" s="355">
        <v>0</v>
      </c>
      <c r="H81" s="153">
        <f>IF(G81=0,0,+C81/G81)</f>
        <v>0</v>
      </c>
      <c r="I81" s="153">
        <f>IF(G81=0,0,+D81/$G81)</f>
        <v>0</v>
      </c>
      <c r="J81" s="153">
        <f>IF(G81=0,0,+E81/$G81)</f>
        <v>0</v>
      </c>
      <c r="K81" s="151">
        <f>IF(G81=0,0,F81/G81)</f>
        <v>0</v>
      </c>
      <c r="L81" s="8"/>
      <c r="M81" s="137"/>
      <c r="X81" s="246" t="s">
        <v>406</v>
      </c>
      <c r="Y81" t="s">
        <v>410</v>
      </c>
      <c r="Z81" s="328">
        <f t="shared" si="3"/>
        <v>0</v>
      </c>
      <c r="AB81" s="236" t="s">
        <v>384</v>
      </c>
      <c r="AC81" s="227" t="s">
        <v>404</v>
      </c>
      <c r="AD81" s="360">
        <v>19.09</v>
      </c>
      <c r="AE81" s="373">
        <v>19.22</v>
      </c>
      <c r="AF81" s="269">
        <v>0.29699999999999999</v>
      </c>
    </row>
    <row r="82" spans="1:33" ht="14.5" thickBot="1" x14ac:dyDescent="0.3">
      <c r="A82" s="44" t="s">
        <v>595</v>
      </c>
      <c r="B82" s="354">
        <v>1672.3715999999999</v>
      </c>
      <c r="C82" s="354">
        <v>0</v>
      </c>
      <c r="D82" s="354">
        <v>0</v>
      </c>
      <c r="E82" s="354">
        <v>0</v>
      </c>
      <c r="F82" s="354">
        <v>0</v>
      </c>
      <c r="G82" s="355">
        <v>10950</v>
      </c>
      <c r="H82" s="153">
        <f t="shared" si="8"/>
        <v>0</v>
      </c>
      <c r="I82" s="153">
        <f t="shared" si="9"/>
        <v>0</v>
      </c>
      <c r="J82" s="153">
        <f t="shared" si="9"/>
        <v>0</v>
      </c>
      <c r="K82" s="151">
        <f t="shared" si="7"/>
        <v>0</v>
      </c>
      <c r="L82" s="8"/>
      <c r="M82" s="137"/>
      <c r="X82" s="246" t="s">
        <v>407</v>
      </c>
      <c r="Y82" t="s">
        <v>411</v>
      </c>
      <c r="Z82" s="328">
        <f t="shared" si="3"/>
        <v>0</v>
      </c>
      <c r="AB82" s="236" t="s">
        <v>455</v>
      </c>
      <c r="AC82" s="227" t="s">
        <v>449</v>
      </c>
      <c r="AD82" s="360" t="s">
        <v>417</v>
      </c>
      <c r="AE82" s="373">
        <v>21.7</v>
      </c>
      <c r="AF82" s="269">
        <v>7.9000000000000001E-2</v>
      </c>
      <c r="AG82" s="356" t="s">
        <v>454</v>
      </c>
    </row>
    <row r="83" spans="1:33" ht="14.5" thickBot="1" x14ac:dyDescent="0.3">
      <c r="A83" s="29" t="s">
        <v>240</v>
      </c>
      <c r="B83" s="241">
        <f t="shared" ref="B83:G83" si="10">SUM(B64:B82)</f>
        <v>1574808570.0015998</v>
      </c>
      <c r="C83" s="241">
        <f t="shared" si="10"/>
        <v>-23529393.756976407</v>
      </c>
      <c r="D83" s="241">
        <f t="shared" si="10"/>
        <v>9572650.4132479951</v>
      </c>
      <c r="E83" s="241">
        <f t="shared" si="10"/>
        <v>52704057.850000009</v>
      </c>
      <c r="F83" s="241">
        <f t="shared" si="10"/>
        <v>10112439.139999995</v>
      </c>
      <c r="G83" s="241">
        <f t="shared" si="10"/>
        <v>17402124382.67297</v>
      </c>
      <c r="H83" s="151">
        <f>+C83/$G83</f>
        <v>-1.3520989299676692E-3</v>
      </c>
      <c r="I83" s="151">
        <f t="shared" si="9"/>
        <v>5.5008516217590862E-4</v>
      </c>
      <c r="J83" s="151">
        <f t="shared" si="9"/>
        <v>3.0285990773906107E-3</v>
      </c>
      <c r="K83" s="151">
        <f t="shared" si="7"/>
        <v>5.8110371570891631E-4</v>
      </c>
      <c r="L83" s="8"/>
      <c r="M83" s="137"/>
      <c r="X83" s="246" t="s">
        <v>408</v>
      </c>
      <c r="Y83" t="s">
        <v>412</v>
      </c>
      <c r="Z83" s="328">
        <f t="shared" si="3"/>
        <v>0</v>
      </c>
      <c r="AB83" s="236" t="s">
        <v>409</v>
      </c>
      <c r="AC83" s="227" t="s">
        <v>413</v>
      </c>
      <c r="AD83" s="360">
        <v>12.12</v>
      </c>
      <c r="AE83" s="373">
        <v>12.77</v>
      </c>
      <c r="AF83" s="269"/>
    </row>
    <row r="84" spans="1:33" ht="14.5" thickBot="1" x14ac:dyDescent="0.3">
      <c r="A84" s="29" t="s">
        <v>241</v>
      </c>
      <c r="B84" s="354">
        <v>-18634070.16</v>
      </c>
      <c r="C84" s="17"/>
      <c r="D84" s="17"/>
      <c r="E84" s="17"/>
      <c r="F84" s="17"/>
      <c r="G84" s="17"/>
      <c r="H84" s="137"/>
      <c r="I84" s="137"/>
      <c r="J84" s="137"/>
      <c r="K84" s="137"/>
      <c r="L84" s="137"/>
      <c r="M84" s="137"/>
      <c r="X84" s="246"/>
      <c r="Z84" s="328"/>
      <c r="AB84" s="236" t="s">
        <v>410</v>
      </c>
      <c r="AC84" s="227" t="s">
        <v>414</v>
      </c>
      <c r="AD84" s="360">
        <v>11.64</v>
      </c>
      <c r="AE84" s="373">
        <v>11.81</v>
      </c>
      <c r="AF84" s="269"/>
    </row>
    <row r="85" spans="1:33" ht="14.5" thickBot="1" x14ac:dyDescent="0.3">
      <c r="A85" s="29" t="s">
        <v>240</v>
      </c>
      <c r="B85" s="152">
        <f>+B83+B84</f>
        <v>1556174499.8415997</v>
      </c>
      <c r="C85" s="17"/>
      <c r="D85" s="17"/>
      <c r="E85" s="17"/>
      <c r="F85" s="17"/>
      <c r="G85" s="138" t="s">
        <v>242</v>
      </c>
      <c r="H85" s="151">
        <f>MIN(H64:H78)</f>
        <v>-1.4027969176742114E-3</v>
      </c>
      <c r="I85" s="151">
        <f>MIN(I64:I73)</f>
        <v>0</v>
      </c>
      <c r="J85" s="151">
        <f>MIN(J64:J83)</f>
        <v>0</v>
      </c>
      <c r="K85" s="151"/>
      <c r="L85" s="327"/>
      <c r="M85" s="137"/>
      <c r="X85" s="246" t="s">
        <v>209</v>
      </c>
      <c r="Y85">
        <v>462</v>
      </c>
      <c r="Z85" s="328">
        <f>VLOOKUP(Y85,$AB$9:$AF$130,5,FALSE)</f>
        <v>8.3000000000000004E-2</v>
      </c>
      <c r="AB85" s="236" t="s">
        <v>411</v>
      </c>
      <c r="AC85" s="227" t="s">
        <v>415</v>
      </c>
      <c r="AD85" s="360">
        <v>8.01</v>
      </c>
      <c r="AE85" s="373">
        <v>8.77</v>
      </c>
      <c r="AF85" s="269"/>
    </row>
    <row r="86" spans="1:33" ht="14.5" thickBot="1" x14ac:dyDescent="0.3">
      <c r="A86" s="44" t="s">
        <v>604</v>
      </c>
      <c r="G86" s="32" t="s">
        <v>243</v>
      </c>
      <c r="H86" s="151">
        <f>MAX(H64:H78)</f>
        <v>-1.2422927294445001E-3</v>
      </c>
      <c r="I86" s="151">
        <f>MAX(I64:I75)</f>
        <v>3.2832678582457148E-3</v>
      </c>
      <c r="J86" s="151">
        <f>MAX(J64:J83)</f>
        <v>2.0690719166940832E-2</v>
      </c>
      <c r="K86" s="151"/>
      <c r="L86" s="137"/>
      <c r="M86" s="137"/>
      <c r="X86" s="246" t="s">
        <v>210</v>
      </c>
      <c r="Y86">
        <v>463</v>
      </c>
      <c r="Z86" s="328">
        <f>VLOOKUP(Y86,$AB$9:$AF$130,5,FALSE)</f>
        <v>0.11700000000000001</v>
      </c>
      <c r="AB86" s="236" t="s">
        <v>412</v>
      </c>
      <c r="AC86" s="227" t="s">
        <v>416</v>
      </c>
      <c r="AD86" s="360">
        <v>15.02</v>
      </c>
      <c r="AE86" s="373">
        <v>14.67</v>
      </c>
      <c r="AF86" s="269"/>
    </row>
    <row r="87" spans="1:33" ht="14.5" thickBot="1" x14ac:dyDescent="0.3">
      <c r="G87" s="32" t="s">
        <v>244</v>
      </c>
      <c r="H87" s="151">
        <f>+H86-H85</f>
        <v>1.6050418822971123E-4</v>
      </c>
      <c r="I87" s="151">
        <f t="shared" ref="I87:J87" si="11">+I86-I85</f>
        <v>3.2832678582457148E-3</v>
      </c>
      <c r="J87" s="151">
        <f t="shared" si="11"/>
        <v>2.0690719166940832E-2</v>
      </c>
      <c r="K87" s="151"/>
      <c r="L87" s="137"/>
      <c r="M87" s="137"/>
      <c r="X87" s="246" t="s">
        <v>211</v>
      </c>
      <c r="Y87">
        <v>464</v>
      </c>
      <c r="Z87" s="328">
        <f>VLOOKUP(Y87,$AB$9:$AF$130,5,FALSE)</f>
        <v>0.24199999999999999</v>
      </c>
      <c r="AB87" s="236" t="s">
        <v>448</v>
      </c>
      <c r="AC87" s="227" t="s">
        <v>465</v>
      </c>
      <c r="AD87" s="360" t="s">
        <v>417</v>
      </c>
      <c r="AE87" s="373">
        <v>8.61</v>
      </c>
      <c r="AF87" s="269"/>
      <c r="AG87" s="356" t="s">
        <v>454</v>
      </c>
    </row>
    <row r="88" spans="1:33" ht="14.5" thickBot="1" x14ac:dyDescent="0.3">
      <c r="H88" s="8">
        <f t="shared" ref="H88:I88" si="12">(H86-H85)/H85</f>
        <v>-0.11441726611134961</v>
      </c>
      <c r="I88" s="8" t="e">
        <f t="shared" si="12"/>
        <v>#DIV/0!</v>
      </c>
      <c r="J88" s="272" t="e">
        <f>(J86-J85)/J85</f>
        <v>#DIV/0!</v>
      </c>
      <c r="K88" s="272"/>
      <c r="M88" s="137"/>
      <c r="X88" s="246" t="s">
        <v>212</v>
      </c>
      <c r="Y88">
        <v>465</v>
      </c>
      <c r="Z88" s="328">
        <f>VLOOKUP(Y88,$AB$9:$AF$130,5,FALSE)</f>
        <v>0.47099999999999997</v>
      </c>
      <c r="AB88" s="236"/>
      <c r="AC88" s="365" t="s">
        <v>450</v>
      </c>
      <c r="AD88" s="366"/>
      <c r="AE88" s="367"/>
      <c r="AF88" s="368"/>
      <c r="AG88" s="369" t="s">
        <v>468</v>
      </c>
    </row>
    <row r="89" spans="1:33" ht="14.5" thickBot="1" x14ac:dyDescent="0.3">
      <c r="K89" s="137"/>
      <c r="AB89" s="236"/>
      <c r="AC89" s="365" t="s">
        <v>451</v>
      </c>
      <c r="AD89" s="366"/>
      <c r="AE89" s="367"/>
      <c r="AF89" s="368"/>
      <c r="AG89" s="369" t="s">
        <v>468</v>
      </c>
    </row>
    <row r="90" spans="1:33" ht="14" x14ac:dyDescent="0.25">
      <c r="A90" s="190" t="s">
        <v>577</v>
      </c>
      <c r="B90" s="144" t="s">
        <v>31</v>
      </c>
      <c r="C90" s="336" t="s">
        <v>27</v>
      </c>
      <c r="D90" s="336" t="s">
        <v>19</v>
      </c>
      <c r="E90" s="32" t="s">
        <v>575</v>
      </c>
      <c r="F90" t="s">
        <v>576</v>
      </c>
      <c r="K90" s="137"/>
      <c r="AC90" s="228"/>
      <c r="AD90" s="250"/>
      <c r="AE90" s="250"/>
      <c r="AF90" s="269"/>
    </row>
    <row r="91" spans="1:33" ht="15.5" thickBot="1" x14ac:dyDescent="0.3">
      <c r="A91" s="29" t="s">
        <v>572</v>
      </c>
      <c r="B91" s="380">
        <v>412.2</v>
      </c>
      <c r="C91" s="380"/>
      <c r="D91" s="380">
        <v>434.59999999999997</v>
      </c>
      <c r="E91" s="378">
        <f>B91/D91</f>
        <v>0.94845835250805344</v>
      </c>
      <c r="F91" s="378"/>
      <c r="K91" s="137"/>
      <c r="AC91" s="77" t="s">
        <v>148</v>
      </c>
      <c r="AD91" s="251"/>
      <c r="AE91" s="251"/>
      <c r="AF91" s="269"/>
    </row>
    <row r="92" spans="1:33" ht="14.5" thickBot="1" x14ac:dyDescent="0.3">
      <c r="A92" t="s">
        <v>231</v>
      </c>
      <c r="B92" s="380">
        <v>4745308.7806376033</v>
      </c>
      <c r="C92" s="380">
        <v>4865146.1512209326</v>
      </c>
      <c r="D92" s="380">
        <v>6217429.6823317157</v>
      </c>
      <c r="E92" s="378">
        <f>B92/D92</f>
        <v>0.76322677104374992</v>
      </c>
      <c r="F92" s="379">
        <f>C92/D92</f>
        <v>0.78250119419064534</v>
      </c>
      <c r="K92" s="137"/>
      <c r="AC92" s="60"/>
      <c r="AD92" s="252" t="s">
        <v>84</v>
      </c>
      <c r="AE92" s="252" t="s">
        <v>84</v>
      </c>
      <c r="AF92" s="269"/>
    </row>
    <row r="93" spans="1:33" ht="14.5" thickBot="1" x14ac:dyDescent="0.3">
      <c r="A93" t="s">
        <v>232</v>
      </c>
      <c r="B93" s="380">
        <v>8522176.4170680679</v>
      </c>
      <c r="C93" s="380">
        <v>8647331.7645277325</v>
      </c>
      <c r="D93" s="380">
        <v>10620000</v>
      </c>
      <c r="E93" s="378">
        <f t="shared" ref="E93:E95" si="13">B93/D93</f>
        <v>0.80246482269944142</v>
      </c>
      <c r="F93" s="379">
        <f t="shared" ref="F93:F95" si="14">C93/D93</f>
        <v>0.81424969534159441</v>
      </c>
      <c r="K93" s="137"/>
      <c r="AC93" s="61"/>
      <c r="AD93" s="247" t="s">
        <v>1</v>
      </c>
      <c r="AE93" s="247" t="s">
        <v>1</v>
      </c>
      <c r="AF93" s="269"/>
    </row>
    <row r="94" spans="1:33" ht="28.5" thickBot="1" x14ac:dyDescent="0.3">
      <c r="A94" t="s">
        <v>233</v>
      </c>
      <c r="B94" s="380">
        <v>2902956.1403650846</v>
      </c>
      <c r="C94" s="380">
        <v>2938239.5351052769</v>
      </c>
      <c r="D94" s="380">
        <v>3201299.6827141526</v>
      </c>
      <c r="E94" s="378">
        <f t="shared" si="13"/>
        <v>0.90680549404355548</v>
      </c>
      <c r="F94" s="379">
        <f t="shared" si="14"/>
        <v>0.91782707847400091</v>
      </c>
      <c r="K94" s="137"/>
      <c r="AB94">
        <v>470</v>
      </c>
      <c r="AC94" s="231" t="s">
        <v>152</v>
      </c>
      <c r="AD94" s="373">
        <v>63.76</v>
      </c>
      <c r="AE94" s="273">
        <v>64.88</v>
      </c>
      <c r="AF94" s="269">
        <v>1.08</v>
      </c>
    </row>
    <row r="95" spans="1:33" ht="14.5" thickBot="1" x14ac:dyDescent="0.3">
      <c r="A95" t="s">
        <v>586</v>
      </c>
      <c r="B95" s="380">
        <v>1647006.2999999998</v>
      </c>
      <c r="C95" s="380">
        <v>2402403.2333333334</v>
      </c>
      <c r="D95" s="380">
        <v>2437965.6</v>
      </c>
      <c r="E95" s="378">
        <f t="shared" si="13"/>
        <v>0.67556584883724358</v>
      </c>
      <c r="F95" s="379">
        <f t="shared" si="14"/>
        <v>0.98541309743391514</v>
      </c>
      <c r="K95" s="137"/>
      <c r="AB95">
        <v>490</v>
      </c>
      <c r="AC95" s="230" t="s">
        <v>122</v>
      </c>
      <c r="AD95" s="372">
        <v>18.48</v>
      </c>
      <c r="AE95" s="273">
        <v>18.8</v>
      </c>
      <c r="AF95" s="269">
        <v>0.15</v>
      </c>
    </row>
    <row r="96" spans="1:33" ht="14.5" thickBot="1" x14ac:dyDescent="0.3">
      <c r="A96" t="s">
        <v>587</v>
      </c>
      <c r="E96" s="378">
        <f>E93</f>
        <v>0.80246482269944142</v>
      </c>
      <c r="F96" s="378">
        <f>F93</f>
        <v>0.81424969534159441</v>
      </c>
      <c r="G96" t="s">
        <v>602</v>
      </c>
      <c r="K96" s="137"/>
      <c r="AB96">
        <v>494</v>
      </c>
      <c r="AC96" s="225" t="s">
        <v>123</v>
      </c>
      <c r="AD96" s="273">
        <v>32.99</v>
      </c>
      <c r="AE96" s="273">
        <v>33.57</v>
      </c>
      <c r="AF96" s="269">
        <v>0.15</v>
      </c>
    </row>
    <row r="97" spans="1:32" ht="14.5" thickBot="1" x14ac:dyDescent="0.3">
      <c r="A97" s="29" t="s">
        <v>588</v>
      </c>
      <c r="B97" s="380">
        <v>2652</v>
      </c>
      <c r="C97" s="380"/>
      <c r="D97" s="380">
        <v>8241.6</v>
      </c>
      <c r="E97" s="378">
        <f>B97/D97</f>
        <v>0.32178217821782179</v>
      </c>
      <c r="K97" s="137"/>
      <c r="AB97">
        <v>493</v>
      </c>
      <c r="AC97" s="232" t="s">
        <v>126</v>
      </c>
      <c r="AD97" s="374">
        <v>53.03</v>
      </c>
      <c r="AE97" s="273">
        <v>53.96</v>
      </c>
      <c r="AF97" s="269">
        <v>1.08</v>
      </c>
    </row>
    <row r="98" spans="1:32" ht="14.5" thickBot="1" x14ac:dyDescent="0.3">
      <c r="A98" s="29" t="s">
        <v>589</v>
      </c>
      <c r="E98" s="378">
        <f>E93</f>
        <v>0.80246482269944142</v>
      </c>
      <c r="G98" t="s">
        <v>602</v>
      </c>
      <c r="K98" s="137"/>
      <c r="AC98" s="230"/>
      <c r="AD98" s="372"/>
      <c r="AE98" s="273"/>
      <c r="AF98" s="269"/>
    </row>
    <row r="99" spans="1:32" ht="14.5" thickBot="1" x14ac:dyDescent="0.3">
      <c r="A99" t="s">
        <v>578</v>
      </c>
      <c r="AB99">
        <v>496</v>
      </c>
      <c r="AC99" s="233" t="s">
        <v>127</v>
      </c>
      <c r="AD99" s="279">
        <v>67.53</v>
      </c>
      <c r="AE99" s="273">
        <v>68.709999999999994</v>
      </c>
      <c r="AF99" s="269">
        <v>1.08</v>
      </c>
    </row>
    <row r="100" spans="1:32" ht="14.5" thickBot="1" x14ac:dyDescent="0.3">
      <c r="C100" s="87" t="s">
        <v>597</v>
      </c>
      <c r="AC100" s="64"/>
      <c r="AD100" s="277"/>
      <c r="AE100" s="277"/>
      <c r="AF100" s="269"/>
    </row>
    <row r="101" spans="1:32" ht="14.5" thickBot="1" x14ac:dyDescent="0.3">
      <c r="A101" t="s">
        <v>579</v>
      </c>
      <c r="B101" t="s">
        <v>573</v>
      </c>
      <c r="C101" t="s">
        <v>574</v>
      </c>
      <c r="D101" t="s">
        <v>31</v>
      </c>
      <c r="E101" t="s">
        <v>27</v>
      </c>
      <c r="F101" t="s">
        <v>19</v>
      </c>
      <c r="G101" t="s">
        <v>580</v>
      </c>
      <c r="H101" t="s">
        <v>581</v>
      </c>
      <c r="I101" t="s">
        <v>579</v>
      </c>
      <c r="AC101" s="76" t="s">
        <v>128</v>
      </c>
      <c r="AD101" s="276"/>
      <c r="AE101" s="276"/>
      <c r="AF101" s="269"/>
    </row>
    <row r="102" spans="1:32" ht="28.5" thickBot="1" x14ac:dyDescent="0.3">
      <c r="A102" s="29" t="s">
        <v>572</v>
      </c>
      <c r="B102" s="384">
        <v>1095</v>
      </c>
      <c r="C102" s="384">
        <f t="shared" ref="C102:C108" si="15">B102/365.25*12</f>
        <v>35.975359342915809</v>
      </c>
      <c r="D102" s="384">
        <f>B91</f>
        <v>412.2</v>
      </c>
      <c r="E102" s="384"/>
      <c r="F102" s="384">
        <f>D91</f>
        <v>434.59999999999997</v>
      </c>
      <c r="G102" s="384"/>
      <c r="H102" s="384"/>
      <c r="I102" s="384">
        <f>F102/C102</f>
        <v>12.080490867579908</v>
      </c>
      <c r="AB102">
        <v>440</v>
      </c>
      <c r="AC102" s="62" t="s">
        <v>153</v>
      </c>
      <c r="AD102" s="372">
        <v>17.03</v>
      </c>
      <c r="AE102" s="372">
        <v>17.329999999999998</v>
      </c>
      <c r="AF102" s="269">
        <v>0.06</v>
      </c>
    </row>
    <row r="103" spans="1:32" ht="14.5" thickBot="1" x14ac:dyDescent="0.3">
      <c r="A103" s="135" t="s">
        <v>229</v>
      </c>
      <c r="B103" s="384">
        <v>1620856.0850921709</v>
      </c>
      <c r="C103" s="384">
        <f t="shared" si="15"/>
        <v>53251.945300769468</v>
      </c>
      <c r="D103" s="384"/>
      <c r="E103" s="384"/>
      <c r="F103" s="384"/>
      <c r="G103" s="384">
        <v>2217792.1609504549</v>
      </c>
      <c r="H103" s="384">
        <v>3055084.3119371464</v>
      </c>
      <c r="I103" s="384">
        <f>SUM(G103:H103)/C103</f>
        <v>99.017537164250996</v>
      </c>
      <c r="AB103">
        <v>410</v>
      </c>
      <c r="AC103" s="63" t="s">
        <v>154</v>
      </c>
      <c r="AD103" s="273">
        <v>24.27</v>
      </c>
      <c r="AE103" s="273">
        <v>24.69</v>
      </c>
      <c r="AF103" s="269">
        <v>0.06</v>
      </c>
    </row>
    <row r="104" spans="1:32" ht="14.5" thickBot="1" x14ac:dyDescent="0.3">
      <c r="A104" s="135" t="s">
        <v>230</v>
      </c>
      <c r="B104" s="384">
        <v>74378.299999999901</v>
      </c>
      <c r="C104" s="384">
        <f t="shared" si="15"/>
        <v>2443.6402464065677</v>
      </c>
      <c r="D104" s="384"/>
      <c r="E104" s="384"/>
      <c r="F104" s="384"/>
      <c r="G104" s="384">
        <v>132145.36652867543</v>
      </c>
      <c r="H104" s="384">
        <v>169366.84927856489</v>
      </c>
      <c r="I104" s="384">
        <f>SUM(G104:H104)/C104</f>
        <v>123.38649940416613</v>
      </c>
      <c r="AB104">
        <v>466</v>
      </c>
      <c r="AC104" s="63" t="s">
        <v>155</v>
      </c>
      <c r="AD104" s="273">
        <v>11.85</v>
      </c>
      <c r="AE104" s="273">
        <v>12.06</v>
      </c>
      <c r="AF104" s="269">
        <v>0.06</v>
      </c>
    </row>
    <row r="105" spans="1:32" ht="14.5" thickBot="1" x14ac:dyDescent="0.3">
      <c r="A105" t="s">
        <v>231</v>
      </c>
      <c r="B105" s="384">
        <v>279693.79306982877</v>
      </c>
      <c r="C105" s="384">
        <f t="shared" si="15"/>
        <v>9189.118458146324</v>
      </c>
      <c r="D105" s="384">
        <f t="shared" ref="D105:F108" si="16">B92</f>
        <v>4745308.7806376033</v>
      </c>
      <c r="E105" s="384">
        <f t="shared" si="16"/>
        <v>4865146.1512209326</v>
      </c>
      <c r="F105" s="384">
        <f t="shared" si="16"/>
        <v>6217429.6823317157</v>
      </c>
      <c r="G105" s="384"/>
      <c r="H105" s="384"/>
      <c r="I105" s="384">
        <f>F105/C105</f>
        <v>676.60784988791272</v>
      </c>
      <c r="AB105">
        <v>412</v>
      </c>
      <c r="AC105" s="60" t="s">
        <v>156</v>
      </c>
      <c r="AD105" s="374">
        <v>35.68</v>
      </c>
      <c r="AE105" s="374">
        <v>36.299999999999997</v>
      </c>
      <c r="AF105" s="269">
        <v>8.3000000000000004E-2</v>
      </c>
    </row>
    <row r="106" spans="1:32" ht="14.5" thickBot="1" x14ac:dyDescent="0.3">
      <c r="A106" t="s">
        <v>232</v>
      </c>
      <c r="B106" s="384">
        <v>93271.293103448304</v>
      </c>
      <c r="C106" s="384">
        <f t="shared" si="15"/>
        <v>3064.3545988812584</v>
      </c>
      <c r="D106" s="384">
        <f t="shared" si="16"/>
        <v>8522176.4170680679</v>
      </c>
      <c r="E106" s="384">
        <f t="shared" si="16"/>
        <v>8647331.7645277325</v>
      </c>
      <c r="F106" s="384">
        <f t="shared" si="16"/>
        <v>10620000</v>
      </c>
      <c r="G106" s="384"/>
      <c r="H106" s="384"/>
      <c r="I106" s="384">
        <f>F106/C106</f>
        <v>3465.6563583983307</v>
      </c>
      <c r="AB106">
        <v>413</v>
      </c>
      <c r="AC106" s="74" t="s">
        <v>157</v>
      </c>
      <c r="AD106" s="279">
        <v>35.86</v>
      </c>
      <c r="AE106" s="279">
        <v>36.49</v>
      </c>
      <c r="AF106" s="269">
        <v>0.11700000000000001</v>
      </c>
    </row>
    <row r="107" spans="1:32" ht="14.5" thickBot="1" x14ac:dyDescent="0.3">
      <c r="A107" t="s">
        <v>233</v>
      </c>
      <c r="B107" s="385">
        <v>7300</v>
      </c>
      <c r="C107" s="384">
        <f t="shared" si="15"/>
        <v>239.83572895277209</v>
      </c>
      <c r="D107" s="384">
        <f t="shared" si="16"/>
        <v>2902956.1403650846</v>
      </c>
      <c r="E107" s="384">
        <f t="shared" si="16"/>
        <v>2938239.5351052769</v>
      </c>
      <c r="F107" s="384">
        <f t="shared" si="16"/>
        <v>3201299.6827141526</v>
      </c>
      <c r="G107" s="384"/>
      <c r="H107" s="384"/>
      <c r="I107" s="384">
        <f>F107/C107</f>
        <v>13347.884807207125</v>
      </c>
      <c r="AC107" s="78"/>
      <c r="AD107" s="279"/>
      <c r="AE107" s="279"/>
    </row>
    <row r="108" spans="1:32" ht="28.5" thickBot="1" x14ac:dyDescent="0.3">
      <c r="A108" t="s">
        <v>586</v>
      </c>
      <c r="B108" s="385">
        <v>365</v>
      </c>
      <c r="C108" s="384">
        <f t="shared" si="15"/>
        <v>11.991786447638603</v>
      </c>
      <c r="D108" s="384">
        <f t="shared" si="16"/>
        <v>1647006.2999999998</v>
      </c>
      <c r="E108" s="384">
        <f t="shared" si="16"/>
        <v>2402403.2333333334</v>
      </c>
      <c r="F108" s="384">
        <f t="shared" si="16"/>
        <v>2437965.6</v>
      </c>
      <c r="G108" s="384"/>
      <c r="H108" s="384"/>
      <c r="I108" s="384">
        <f>F108/C108</f>
        <v>203302.95328767126</v>
      </c>
      <c r="AB108">
        <v>461</v>
      </c>
      <c r="AC108" s="63" t="s">
        <v>129</v>
      </c>
      <c r="AD108" s="279">
        <v>9.42</v>
      </c>
      <c r="AE108" s="279">
        <v>9.58</v>
      </c>
      <c r="AF108" s="269">
        <v>0.6</v>
      </c>
    </row>
    <row r="109" spans="1:32" ht="28.5" thickBot="1" x14ac:dyDescent="0.3">
      <c r="A109" t="s">
        <v>587</v>
      </c>
      <c r="B109" s="385"/>
      <c r="C109" s="384"/>
      <c r="D109" s="385"/>
      <c r="E109" s="385"/>
      <c r="F109" s="384"/>
      <c r="G109" s="384"/>
      <c r="H109" s="384"/>
      <c r="I109" s="384">
        <v>0</v>
      </c>
      <c r="J109" t="s">
        <v>582</v>
      </c>
      <c r="AB109">
        <v>471</v>
      </c>
      <c r="AC109" s="63" t="s">
        <v>130</v>
      </c>
      <c r="AD109" s="279">
        <v>12.87</v>
      </c>
      <c r="AE109" s="279">
        <v>13.1</v>
      </c>
      <c r="AF109" s="269">
        <v>0.6</v>
      </c>
    </row>
    <row r="110" spans="1:32" ht="28.5" thickBot="1" x14ac:dyDescent="0.3">
      <c r="A110" s="29" t="s">
        <v>588</v>
      </c>
      <c r="B110" s="385">
        <v>1460</v>
      </c>
      <c r="C110" s="384">
        <f>B110/365.25*12</f>
        <v>47.967145790554412</v>
      </c>
      <c r="D110" s="385">
        <f>B97</f>
        <v>2652</v>
      </c>
      <c r="E110" s="385"/>
      <c r="F110" s="384">
        <f>D97</f>
        <v>8241.6</v>
      </c>
      <c r="G110" s="384"/>
      <c r="H110" s="384"/>
      <c r="I110" s="384">
        <f>F110/C110</f>
        <v>171.81760273972606</v>
      </c>
      <c r="AB110">
        <v>409</v>
      </c>
      <c r="AC110" s="63" t="s">
        <v>131</v>
      </c>
      <c r="AD110" s="279">
        <v>14.58</v>
      </c>
      <c r="AE110" s="279">
        <v>14.84</v>
      </c>
      <c r="AF110" s="269">
        <v>0.47099999999999997</v>
      </c>
    </row>
    <row r="111" spans="1:32" ht="28.5" thickBot="1" x14ac:dyDescent="0.3">
      <c r="A111" s="29" t="s">
        <v>589</v>
      </c>
      <c r="B111" s="385"/>
      <c r="C111" s="384"/>
      <c r="D111" s="385"/>
      <c r="E111" s="385"/>
      <c r="F111" s="384"/>
      <c r="G111" s="384"/>
      <c r="H111" s="384"/>
      <c r="I111" s="384">
        <v>0</v>
      </c>
      <c r="J111" t="s">
        <v>583</v>
      </c>
      <c r="AB111">
        <v>426</v>
      </c>
      <c r="AC111" s="63" t="s">
        <v>132</v>
      </c>
      <c r="AD111" s="279">
        <v>9.16</v>
      </c>
      <c r="AE111" s="279">
        <v>9.32</v>
      </c>
      <c r="AF111" s="269">
        <v>8.3000000000000004E-2</v>
      </c>
    </row>
    <row r="112" spans="1:32" ht="28.5" thickBot="1" x14ac:dyDescent="0.3">
      <c r="B112" s="152"/>
      <c r="C112" s="152"/>
      <c r="D112" s="152"/>
      <c r="E112" s="152"/>
      <c r="F112" s="137"/>
      <c r="AB112">
        <v>450</v>
      </c>
      <c r="AC112" s="253" t="s">
        <v>100</v>
      </c>
      <c r="AD112" s="279">
        <v>17.100000000000001</v>
      </c>
      <c r="AE112" s="279">
        <v>17.399999999999999</v>
      </c>
      <c r="AF112" s="269">
        <v>0.15</v>
      </c>
    </row>
    <row r="113" spans="2:32" ht="28.5" thickBot="1" x14ac:dyDescent="0.3">
      <c r="B113" s="152"/>
      <c r="C113" s="152"/>
      <c r="D113" s="152"/>
      <c r="E113" s="152"/>
      <c r="F113" s="137"/>
      <c r="AB113">
        <v>454</v>
      </c>
      <c r="AC113" s="254" t="s">
        <v>134</v>
      </c>
      <c r="AD113" s="279">
        <v>22.05</v>
      </c>
      <c r="AE113" s="279">
        <v>22.44</v>
      </c>
      <c r="AF113" s="269">
        <v>0.15</v>
      </c>
    </row>
    <row r="114" spans="2:32" ht="28.5" thickBot="1" x14ac:dyDescent="0.3">
      <c r="B114" s="152"/>
      <c r="C114" s="152"/>
      <c r="D114" s="152"/>
      <c r="E114" s="152"/>
      <c r="F114" s="137"/>
      <c r="AB114">
        <v>455</v>
      </c>
      <c r="AC114" s="254" t="s">
        <v>135</v>
      </c>
      <c r="AD114" s="279">
        <v>28.81</v>
      </c>
      <c r="AE114" s="279">
        <v>29.31</v>
      </c>
      <c r="AF114" s="269">
        <v>0.35</v>
      </c>
    </row>
    <row r="115" spans="2:32" ht="28.5" thickBot="1" x14ac:dyDescent="0.3">
      <c r="B115" s="152"/>
      <c r="C115" s="152"/>
      <c r="D115" s="152"/>
      <c r="E115" s="152"/>
      <c r="F115" s="137"/>
      <c r="AB115">
        <v>452</v>
      </c>
      <c r="AC115" s="254" t="s">
        <v>102</v>
      </c>
      <c r="AD115" s="279">
        <v>49.26</v>
      </c>
      <c r="AE115" s="279">
        <v>50.12</v>
      </c>
      <c r="AF115" s="269">
        <v>1.08</v>
      </c>
    </row>
    <row r="116" spans="2:32" ht="28.5" thickBot="1" x14ac:dyDescent="0.3">
      <c r="B116" s="152"/>
      <c r="C116" s="152"/>
      <c r="D116" s="152"/>
      <c r="E116" s="152"/>
      <c r="F116" s="137"/>
      <c r="AB116">
        <v>459</v>
      </c>
      <c r="AC116" s="254" t="s">
        <v>136</v>
      </c>
      <c r="AD116" s="279">
        <v>54.2</v>
      </c>
      <c r="AE116" s="279">
        <v>55.15</v>
      </c>
      <c r="AF116" s="269">
        <v>1.08</v>
      </c>
    </row>
    <row r="117" spans="2:32" ht="28.5" thickBot="1" x14ac:dyDescent="0.3">
      <c r="B117" s="152"/>
      <c r="C117" s="152"/>
      <c r="D117" s="152"/>
      <c r="E117" s="152"/>
      <c r="F117" s="137"/>
      <c r="AB117">
        <v>446</v>
      </c>
      <c r="AC117" s="254" t="s">
        <v>137</v>
      </c>
      <c r="AD117" s="279">
        <v>11.61</v>
      </c>
      <c r="AE117" s="279">
        <v>11.81</v>
      </c>
      <c r="AF117" s="269">
        <v>0.20699999999999999</v>
      </c>
    </row>
    <row r="118" spans="2:32" ht="28.5" thickBot="1" x14ac:dyDescent="0.3">
      <c r="B118" s="152"/>
      <c r="C118" s="152"/>
      <c r="D118" s="152"/>
      <c r="E118" s="152"/>
      <c r="F118" s="137"/>
      <c r="AB118">
        <v>456</v>
      </c>
      <c r="AC118" s="254" t="s">
        <v>138</v>
      </c>
      <c r="AD118" s="279">
        <v>13.87</v>
      </c>
      <c r="AE118" s="279">
        <v>14.11</v>
      </c>
      <c r="AF118" s="269">
        <v>0.20699999999999999</v>
      </c>
    </row>
    <row r="119" spans="2:32" ht="28.5" thickBot="1" x14ac:dyDescent="0.3">
      <c r="B119" s="152"/>
      <c r="C119" s="152"/>
      <c r="D119" s="152"/>
      <c r="E119" s="152"/>
      <c r="F119" s="137"/>
      <c r="AB119">
        <v>447</v>
      </c>
      <c r="AC119" s="254" t="s">
        <v>139</v>
      </c>
      <c r="AD119" s="279">
        <v>13.69</v>
      </c>
      <c r="AE119" s="279">
        <v>13.93</v>
      </c>
      <c r="AF119" s="269">
        <v>0.29399999999999998</v>
      </c>
    </row>
    <row r="120" spans="2:32" ht="28.5" thickBot="1" x14ac:dyDescent="0.3">
      <c r="B120" s="152"/>
      <c r="C120" s="152"/>
      <c r="D120" s="152"/>
      <c r="E120" s="152"/>
      <c r="F120" s="137"/>
      <c r="AB120">
        <v>457</v>
      </c>
      <c r="AC120" s="254" t="s">
        <v>140</v>
      </c>
      <c r="AD120" s="279">
        <v>15.6</v>
      </c>
      <c r="AE120" s="279">
        <v>15.87</v>
      </c>
      <c r="AF120" s="269">
        <v>0.29399999999999998</v>
      </c>
    </row>
    <row r="121" spans="2:32" ht="28.5" thickBot="1" x14ac:dyDescent="0.3">
      <c r="B121" s="152"/>
      <c r="C121" s="152"/>
      <c r="D121" s="152"/>
      <c r="E121" s="152"/>
      <c r="F121" s="137"/>
      <c r="AB121">
        <v>448</v>
      </c>
      <c r="AC121" s="254" t="s">
        <v>141</v>
      </c>
      <c r="AD121" s="279">
        <v>14.88</v>
      </c>
      <c r="AE121" s="279">
        <v>15.14</v>
      </c>
      <c r="AF121" s="269">
        <v>0.45300000000000001</v>
      </c>
    </row>
    <row r="122" spans="2:32" ht="28.5" thickBot="1" x14ac:dyDescent="0.3">
      <c r="B122" s="152"/>
      <c r="C122" s="152"/>
      <c r="D122" s="152"/>
      <c r="E122" s="152"/>
      <c r="F122" s="137"/>
      <c r="AB122">
        <v>458</v>
      </c>
      <c r="AC122" s="254" t="s">
        <v>142</v>
      </c>
      <c r="AD122" s="279">
        <v>17.45</v>
      </c>
      <c r="AE122" s="279">
        <v>17.760000000000002</v>
      </c>
      <c r="AF122" s="269">
        <v>0.45300000000000001</v>
      </c>
    </row>
    <row r="123" spans="2:32" ht="28.5" thickBot="1" x14ac:dyDescent="0.3">
      <c r="B123" s="152"/>
      <c r="C123" s="152"/>
      <c r="D123" s="152"/>
      <c r="E123" s="152"/>
      <c r="F123" s="137"/>
      <c r="AB123">
        <v>404</v>
      </c>
      <c r="AC123" s="254" t="s">
        <v>143</v>
      </c>
      <c r="AD123" s="279">
        <v>12.34</v>
      </c>
      <c r="AE123" s="279">
        <v>12.56</v>
      </c>
      <c r="AF123" s="269">
        <v>0.20699999999999999</v>
      </c>
    </row>
    <row r="124" spans="2:32" ht="14.5" thickBot="1" x14ac:dyDescent="0.3">
      <c r="B124" s="152"/>
      <c r="C124" s="152"/>
      <c r="D124" s="152"/>
      <c r="E124" s="152"/>
      <c r="F124" s="137"/>
      <c r="AB124">
        <v>421</v>
      </c>
      <c r="AC124" s="254" t="s">
        <v>144</v>
      </c>
      <c r="AD124" s="279">
        <v>3.96</v>
      </c>
      <c r="AE124" s="279">
        <v>4.03</v>
      </c>
      <c r="AF124" s="269">
        <v>0.10199999999999999</v>
      </c>
    </row>
    <row r="125" spans="2:32" ht="14.5" thickBot="1" x14ac:dyDescent="0.3">
      <c r="B125" s="152"/>
      <c r="C125" s="152"/>
      <c r="D125" s="152"/>
      <c r="E125" s="152"/>
      <c r="F125" s="137"/>
      <c r="AB125">
        <v>422</v>
      </c>
      <c r="AC125" s="254" t="s">
        <v>145</v>
      </c>
      <c r="AD125" s="279">
        <v>5.13</v>
      </c>
      <c r="AE125" s="279">
        <v>5.22</v>
      </c>
      <c r="AF125" s="269">
        <v>0.20100000000000001</v>
      </c>
    </row>
    <row r="126" spans="2:32" ht="14.5" thickBot="1" x14ac:dyDescent="0.3">
      <c r="B126" s="152"/>
      <c r="C126" s="152"/>
      <c r="D126" s="152"/>
      <c r="E126" s="152"/>
      <c r="F126" s="137"/>
      <c r="AB126">
        <v>424</v>
      </c>
      <c r="AC126" s="254" t="s">
        <v>146</v>
      </c>
      <c r="AD126" s="279">
        <v>7.82</v>
      </c>
      <c r="AE126" s="279">
        <v>7.96</v>
      </c>
      <c r="AF126" s="269">
        <v>0.32700000000000001</v>
      </c>
    </row>
    <row r="127" spans="2:32" ht="14.5" thickBot="1" x14ac:dyDescent="0.3">
      <c r="B127" s="152"/>
      <c r="C127" s="152"/>
      <c r="D127" s="152"/>
      <c r="E127" s="152"/>
      <c r="F127" s="137"/>
      <c r="AB127">
        <v>425</v>
      </c>
      <c r="AC127" s="254" t="s">
        <v>147</v>
      </c>
      <c r="AD127" s="279">
        <v>10.18</v>
      </c>
      <c r="AE127" s="279">
        <v>10.36</v>
      </c>
      <c r="AF127" s="269">
        <v>0.44700000000000001</v>
      </c>
    </row>
    <row r="128" spans="2:32" ht="28.5" thickBot="1" x14ac:dyDescent="0.3">
      <c r="B128" s="152"/>
      <c r="C128" s="152"/>
      <c r="D128" s="152"/>
      <c r="E128" s="152"/>
      <c r="F128" s="137"/>
      <c r="AB128">
        <v>460</v>
      </c>
      <c r="AC128" s="254" t="s">
        <v>150</v>
      </c>
      <c r="AD128" s="279">
        <v>32.79</v>
      </c>
      <c r="AE128" s="279">
        <v>33.36</v>
      </c>
      <c r="AF128" s="269">
        <v>0.15</v>
      </c>
    </row>
    <row r="129" spans="2:32" ht="28.5" thickBot="1" x14ac:dyDescent="0.3">
      <c r="B129" s="152"/>
      <c r="C129" s="152"/>
      <c r="D129" s="152"/>
      <c r="E129" s="152"/>
      <c r="F129" s="137"/>
      <c r="AB129">
        <v>469</v>
      </c>
      <c r="AC129" s="254" t="s">
        <v>151</v>
      </c>
      <c r="AD129" s="279">
        <v>38.61</v>
      </c>
      <c r="AE129" s="279">
        <v>39.29</v>
      </c>
      <c r="AF129" s="269">
        <v>0.35</v>
      </c>
    </row>
    <row r="130" spans="2:32" ht="14.5" thickBot="1" x14ac:dyDescent="0.3">
      <c r="B130" s="152"/>
      <c r="C130" s="152"/>
      <c r="D130" s="152"/>
      <c r="E130" s="152"/>
      <c r="F130" s="137"/>
      <c r="AC130" s="254"/>
      <c r="AD130" s="280"/>
      <c r="AE130" s="279"/>
    </row>
    <row r="131" spans="2:32" x14ac:dyDescent="0.25">
      <c r="B131" s="152"/>
      <c r="C131" s="152"/>
      <c r="D131" s="152"/>
      <c r="E131" s="152"/>
      <c r="F131" s="137"/>
      <c r="AC131" s="65"/>
      <c r="AD131" s="65"/>
      <c r="AE131" s="251"/>
    </row>
    <row r="132" spans="2:32" x14ac:dyDescent="0.25">
      <c r="B132" s="152"/>
      <c r="C132" s="152"/>
      <c r="D132" s="152"/>
      <c r="E132" s="152"/>
      <c r="F132" s="137"/>
    </row>
    <row r="133" spans="2:32" x14ac:dyDescent="0.25">
      <c r="B133" s="152"/>
      <c r="C133" s="152"/>
      <c r="D133" s="152"/>
      <c r="E133" s="152"/>
      <c r="F133" s="137"/>
    </row>
    <row r="134" spans="2:32" x14ac:dyDescent="0.25">
      <c r="B134" s="152"/>
      <c r="C134" s="152"/>
      <c r="D134" s="152"/>
      <c r="E134" s="152"/>
      <c r="F134" s="137"/>
    </row>
    <row r="135" spans="2:32" x14ac:dyDescent="0.25">
      <c r="B135" s="152"/>
      <c r="C135" s="152"/>
      <c r="D135" s="152"/>
      <c r="E135" s="152"/>
      <c r="F135" s="137"/>
    </row>
    <row r="136" spans="2:32" x14ac:dyDescent="0.25">
      <c r="B136" s="152"/>
      <c r="C136" s="152"/>
      <c r="D136" s="152"/>
      <c r="E136" s="152"/>
      <c r="F136" s="137"/>
    </row>
    <row r="137" spans="2:32" x14ac:dyDescent="0.25">
      <c r="B137" s="152"/>
      <c r="C137" s="152"/>
      <c r="D137" s="152"/>
      <c r="E137" s="152"/>
      <c r="F137" s="137"/>
    </row>
    <row r="138" spans="2:32" x14ac:dyDescent="0.25">
      <c r="B138" s="152"/>
      <c r="C138" s="152"/>
      <c r="D138" s="152"/>
      <c r="E138" s="152"/>
      <c r="F138" s="137"/>
    </row>
    <row r="139" spans="2:32" x14ac:dyDescent="0.25">
      <c r="B139" s="152"/>
      <c r="C139" s="152"/>
      <c r="D139" s="152"/>
      <c r="E139" s="152"/>
      <c r="F139" s="137"/>
    </row>
  </sheetData>
  <mergeCells count="3">
    <mergeCell ref="R57:S57"/>
    <mergeCell ref="R58:S58"/>
    <mergeCell ref="R59:S59"/>
  </mergeCells>
  <phoneticPr fontId="6" type="noConversion"/>
  <pageMargins left="0.75" right="0.75" top="1" bottom="1" header="0.5" footer="0.5"/>
  <pageSetup paperSize="3" scale="5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59999389629810485"/>
    <pageSetUpPr fitToPage="1"/>
  </sheetPr>
  <dimension ref="A1:AH41"/>
  <sheetViews>
    <sheetView zoomScale="80" zoomScaleNormal="80" zoomScaleSheetLayoutView="90" workbookViewId="0">
      <selection sqref="A1:O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2.1796875" bestFit="1" customWidth="1"/>
    <col min="7" max="7" width="9.26953125" bestFit="1" customWidth="1"/>
    <col min="8" max="8" width="10.7265625" bestFit="1" customWidth="1"/>
    <col min="9" max="9" width="10" customWidth="1"/>
    <col min="10" max="11" width="10.54296875" bestFit="1" customWidth="1"/>
    <col min="12" max="12" width="9.26953125" bestFit="1" customWidth="1"/>
    <col min="13" max="15" width="9.26953125" customWidth="1"/>
    <col min="16" max="19" width="3.54296875" customWidth="1"/>
    <col min="20" max="20" width="11.81640625" customWidth="1"/>
    <col min="21" max="21" width="9.81640625" customWidth="1"/>
    <col min="22" max="22" width="9.54296875" customWidth="1"/>
    <col min="23" max="23" width="7.1796875" customWidth="1"/>
    <col min="24" max="24" width="11.54296875" customWidth="1"/>
    <col min="25" max="25" width="9.54296875" customWidth="1"/>
    <col min="27" max="27" width="11.81640625" bestFit="1" customWidth="1"/>
    <col min="28" max="28" width="9" bestFit="1" customWidth="1"/>
    <col min="29" max="30" width="3" customWidth="1"/>
    <col min="32" max="32" width="2.7265625" customWidth="1"/>
  </cols>
  <sheetData>
    <row r="1" spans="1:34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37"/>
    </row>
    <row r="2" spans="1:34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337"/>
    </row>
    <row r="3" spans="1:34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338"/>
    </row>
    <row r="4" spans="1:34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337"/>
    </row>
    <row r="5" spans="1:34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4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97"/>
    </row>
    <row r="7" spans="1:34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M7" s="198"/>
      <c r="N7" s="198"/>
      <c r="O7" s="198" t="str">
        <f>+'Rate Case Constants'!C25</f>
        <v>SCHEDULE N</v>
      </c>
    </row>
    <row r="8" spans="1:34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M8" s="197"/>
      <c r="N8" s="197"/>
      <c r="O8" s="197" t="str">
        <f>+'Rate Case Constants'!L27</f>
        <v>PAGE 20 of 24</v>
      </c>
    </row>
    <row r="9" spans="1:34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M9" s="197"/>
      <c r="N9" s="197"/>
      <c r="O9" s="197" t="str">
        <f>+'Rate Case Constants'!C36</f>
        <v>WITNESS:   R. M. CONROY</v>
      </c>
    </row>
    <row r="10" spans="1:34" ht="13" x14ac:dyDescent="0.3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T10" s="2" t="s">
        <v>68</v>
      </c>
      <c r="U10" s="2">
        <f>+INPUT!H78</f>
        <v>-1.3712909161538952E-3</v>
      </c>
    </row>
    <row r="11" spans="1:34" ht="13" x14ac:dyDescent="0.3">
      <c r="A11" s="124" t="s">
        <v>223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" t="s">
        <v>69</v>
      </c>
      <c r="U11" s="2">
        <f>+INPUT!J78</f>
        <v>6.8754766348453674E-3</v>
      </c>
      <c r="V11" s="2"/>
      <c r="W11" s="29"/>
      <c r="X11" s="32"/>
      <c r="Y11" s="29"/>
      <c r="Z11" s="29"/>
      <c r="AA11" s="29"/>
      <c r="AB11" s="29"/>
    </row>
    <row r="12" spans="1:34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4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8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4" ht="13" x14ac:dyDescent="0.3">
      <c r="C14" s="195" t="s">
        <v>313</v>
      </c>
      <c r="D14" s="195" t="s">
        <v>313</v>
      </c>
      <c r="E14" s="195" t="s">
        <v>69</v>
      </c>
      <c r="H14" s="29"/>
      <c r="I14" s="29"/>
      <c r="J14" s="3" t="s">
        <v>5</v>
      </c>
      <c r="K14" s="3" t="s">
        <v>5</v>
      </c>
      <c r="M14" s="85" t="s">
        <v>592</v>
      </c>
      <c r="N14" s="85" t="s">
        <v>5</v>
      </c>
      <c r="O14" s="17"/>
      <c r="T14" s="46" t="s">
        <v>56</v>
      </c>
      <c r="U14" s="46"/>
      <c r="V14" s="46"/>
      <c r="X14" s="46" t="s">
        <v>57</v>
      </c>
      <c r="Y14" s="46"/>
      <c r="Z14" s="46"/>
      <c r="AA14" s="46"/>
      <c r="AB14" s="46"/>
    </row>
    <row r="15" spans="1:34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13" t="s">
        <v>245</v>
      </c>
      <c r="I15" s="413"/>
      <c r="J15" s="3" t="s">
        <v>1</v>
      </c>
      <c r="K15" s="3" t="s">
        <v>71</v>
      </c>
      <c r="L15" s="3"/>
      <c r="M15" s="85" t="s">
        <v>593</v>
      </c>
      <c r="N15" s="85" t="s">
        <v>71</v>
      </c>
      <c r="O15" s="85"/>
      <c r="T15" s="25" t="s">
        <v>59</v>
      </c>
      <c r="U15" s="3"/>
      <c r="V15" s="25"/>
      <c r="X15" s="25" t="s">
        <v>59</v>
      </c>
      <c r="Y15" s="3"/>
      <c r="Z15" s="25"/>
      <c r="AA15" s="86"/>
      <c r="AB15" s="85" t="s">
        <v>592</v>
      </c>
    </row>
    <row r="16" spans="1:34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50" t="s">
        <v>69</v>
      </c>
      <c r="J16" s="3" t="s">
        <v>4</v>
      </c>
      <c r="K16" s="3" t="s">
        <v>4</v>
      </c>
      <c r="L16" s="3" t="s">
        <v>72</v>
      </c>
      <c r="M16" s="85" t="s">
        <v>439</v>
      </c>
      <c r="N16" s="85" t="s">
        <v>443</v>
      </c>
      <c r="O16" s="85" t="s">
        <v>72</v>
      </c>
      <c r="P16" s="3"/>
      <c r="Q16" s="3"/>
      <c r="R16" s="3"/>
      <c r="S16" s="3"/>
      <c r="T16" s="25" t="s">
        <v>58</v>
      </c>
      <c r="U16" s="3" t="s">
        <v>53</v>
      </c>
      <c r="V16" s="25" t="s">
        <v>5</v>
      </c>
      <c r="X16" s="25" t="s">
        <v>58</v>
      </c>
      <c r="Y16" s="3" t="s">
        <v>53</v>
      </c>
      <c r="Z16" s="25" t="s">
        <v>5</v>
      </c>
      <c r="AA16" s="86" t="s">
        <v>69</v>
      </c>
      <c r="AB16" s="85" t="s">
        <v>593</v>
      </c>
      <c r="AD16" s="2"/>
      <c r="AE16" s="85"/>
      <c r="AF16" s="85"/>
      <c r="AG16" s="85"/>
      <c r="AH16" s="3"/>
    </row>
    <row r="17" spans="1:34" ht="13" x14ac:dyDescent="0.3">
      <c r="A17" s="3" t="s">
        <v>46</v>
      </c>
      <c r="B17" s="3"/>
      <c r="C17" s="3"/>
      <c r="D17" s="3"/>
      <c r="E17" s="85"/>
      <c r="F17" s="3" t="s">
        <v>66</v>
      </c>
      <c r="G17" s="25" t="s">
        <v>67</v>
      </c>
      <c r="H17" s="49"/>
      <c r="I17" s="52"/>
      <c r="J17" s="3" t="s">
        <v>66</v>
      </c>
      <c r="K17" s="3" t="s">
        <v>66</v>
      </c>
      <c r="L17" s="25" t="s">
        <v>67</v>
      </c>
      <c r="M17" s="86"/>
      <c r="N17" s="86" t="s">
        <v>439</v>
      </c>
      <c r="O17" s="86" t="s">
        <v>67</v>
      </c>
      <c r="P17" s="3"/>
      <c r="Q17" s="3"/>
      <c r="R17" s="3"/>
      <c r="S17" s="3"/>
      <c r="T17" s="79" t="s">
        <v>3</v>
      </c>
      <c r="U17" s="80" t="s">
        <v>3</v>
      </c>
      <c r="V17" s="79" t="s">
        <v>4</v>
      </c>
      <c r="X17" s="79" t="s">
        <v>3</v>
      </c>
      <c r="Y17" s="80" t="s">
        <v>3</v>
      </c>
      <c r="Z17" s="79" t="s">
        <v>4</v>
      </c>
      <c r="AA17" s="386" t="s">
        <v>471</v>
      </c>
      <c r="AB17" s="348" t="s">
        <v>439</v>
      </c>
      <c r="AD17" s="2"/>
      <c r="AE17" s="85"/>
      <c r="AF17" s="85"/>
      <c r="AG17" s="85"/>
      <c r="AH17" s="3"/>
    </row>
    <row r="18" spans="1:34" ht="13" x14ac:dyDescent="0.3">
      <c r="A18" s="80"/>
      <c r="B18" s="80"/>
      <c r="C18" s="80"/>
      <c r="D18" s="80"/>
      <c r="E18" s="349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221"/>
      <c r="I18" s="221"/>
      <c r="J18" s="345" t="str">
        <f>("["&amp;C13&amp;"+"&amp;E13&amp;"+"&amp;$H$13&amp;"+"&amp;$I$13&amp;"]")</f>
        <v>[A+C+F+G]</v>
      </c>
      <c r="K18" s="345" t="str">
        <f>("["&amp;D13&amp;"+"&amp;$H$13&amp;"+"&amp;$I$13&amp;"]")</f>
        <v>[B+F+G]</v>
      </c>
      <c r="L18" s="345" t="str">
        <f>("[("&amp;K13&amp;" - "&amp;J13&amp;")/"&amp;J13&amp;"]")</f>
        <v>[(I - H)/H]</v>
      </c>
      <c r="M18" s="344"/>
      <c r="N18" s="344" t="str">
        <f>("["&amp;K13&amp;" + "&amp;$M13&amp;"]")</f>
        <v>[I + K]</v>
      </c>
      <c r="O18" s="345" t="str">
        <f>("[("&amp;N13&amp;" - "&amp;J13&amp;")/"&amp;J13&amp;"]")</f>
        <v>[(L - H)/H]</v>
      </c>
      <c r="P18" s="3"/>
      <c r="Q18" s="3"/>
      <c r="R18" s="3"/>
      <c r="S18" s="3"/>
      <c r="T18" s="25"/>
      <c r="U18" s="31">
        <f>+INPUT!$Q$6</f>
        <v>8.6889999999999995E-2</v>
      </c>
      <c r="V18" s="25"/>
      <c r="X18" s="25"/>
      <c r="Y18" s="31">
        <f>INPUT!$Q$34</f>
        <v>8.8480000000000003E-2</v>
      </c>
      <c r="Z18" s="25"/>
      <c r="AA18" s="86">
        <f>INPUT!K78</f>
        <v>1.5891596657296554E-3</v>
      </c>
      <c r="AB18" s="86">
        <f>INPUT!Q52</f>
        <v>-6.8000000000000005E-4</v>
      </c>
      <c r="AD18" s="2"/>
      <c r="AE18" s="85"/>
      <c r="AF18" s="85"/>
      <c r="AG18" s="85"/>
      <c r="AH18" s="3"/>
    </row>
    <row r="19" spans="1:34" ht="13" x14ac:dyDescent="0.3">
      <c r="A19" s="3"/>
      <c r="B19" s="3"/>
      <c r="C19" s="3"/>
      <c r="D19" s="3"/>
      <c r="E19" s="85"/>
      <c r="F19" s="3"/>
      <c r="G19" s="3"/>
      <c r="H19" s="29"/>
      <c r="I19" s="29"/>
      <c r="J19" s="3"/>
      <c r="K19" s="3"/>
      <c r="L19" s="3"/>
      <c r="M19" s="85"/>
      <c r="N19" s="85"/>
      <c r="O19" s="85"/>
      <c r="P19" s="3"/>
      <c r="Q19" s="3"/>
      <c r="R19" s="3"/>
      <c r="S19" s="3"/>
      <c r="T19" s="25"/>
      <c r="U19" s="3" t="s">
        <v>11</v>
      </c>
      <c r="V19" s="25"/>
      <c r="X19" s="25"/>
      <c r="Y19" s="3" t="s">
        <v>11</v>
      </c>
      <c r="Z19" s="25"/>
      <c r="AA19" s="86" t="s">
        <v>11</v>
      </c>
      <c r="AB19" s="86" t="s">
        <v>11</v>
      </c>
      <c r="AD19" s="2"/>
      <c r="AE19" s="85"/>
      <c r="AF19" s="85"/>
      <c r="AG19" s="85"/>
      <c r="AH19" s="3"/>
    </row>
    <row r="20" spans="1:34" ht="13" x14ac:dyDescent="0.3">
      <c r="A20" s="3"/>
      <c r="B20" s="3"/>
      <c r="C20" s="3"/>
      <c r="D20" s="3"/>
      <c r="E20" s="85"/>
      <c r="F20" s="3"/>
      <c r="G20" s="3"/>
      <c r="H20" s="3"/>
      <c r="I20" s="3"/>
      <c r="J20" s="3"/>
      <c r="K20" s="3"/>
      <c r="L20" s="3"/>
      <c r="M20" s="85"/>
      <c r="N20" s="85"/>
      <c r="O20" s="85"/>
      <c r="P20" s="3"/>
      <c r="Q20" s="3"/>
      <c r="R20" s="3"/>
      <c r="S20" s="3"/>
      <c r="U20" s="3"/>
      <c r="V20" s="3"/>
      <c r="Y20" s="3"/>
      <c r="Z20" s="3"/>
      <c r="AA20" s="85"/>
      <c r="AB20" s="85"/>
      <c r="AE20" s="17"/>
      <c r="AF20" s="17"/>
      <c r="AG20" s="17"/>
    </row>
    <row r="21" spans="1:34" x14ac:dyDescent="0.25">
      <c r="A21" s="1">
        <v>50</v>
      </c>
      <c r="C21" s="28">
        <f>+V21</f>
        <v>8.3013750000000002</v>
      </c>
      <c r="D21" s="28">
        <f>+Z21</f>
        <v>8.3808749999999996</v>
      </c>
      <c r="E21" s="28">
        <f>AA21</f>
        <v>7.9457983286482764E-2</v>
      </c>
      <c r="F21" s="90">
        <f>+D21-(E21+C21)</f>
        <v>4.2016713516446202E-5</v>
      </c>
      <c r="G21" s="54">
        <f>ROUND(+F21/C21,4)</f>
        <v>0</v>
      </c>
      <c r="H21" s="28">
        <f>ROUND($U$10*$A21,2)</f>
        <v>-7.0000000000000007E-2</v>
      </c>
      <c r="I21" s="28">
        <f>ROUND($U$11*$A21,2)</f>
        <v>0.34</v>
      </c>
      <c r="J21" s="28">
        <f>+C21+E21+H21+I21</f>
        <v>8.6508329832864828</v>
      </c>
      <c r="K21" s="28">
        <f>+D21+H21+I21</f>
        <v>8.6508749999999992</v>
      </c>
      <c r="L21" s="54">
        <f>ROUND((K21-J21)/J21,4)</f>
        <v>0</v>
      </c>
      <c r="M21" s="28">
        <f>AB21</f>
        <v>-3.4000000000000002E-2</v>
      </c>
      <c r="N21" s="90">
        <f>K21+M21</f>
        <v>8.6168749999999985</v>
      </c>
      <c r="O21" s="91">
        <f>ROUND((N21-J21)/J21,4)</f>
        <v>-3.8999999999999998E-3</v>
      </c>
      <c r="T21" s="7">
        <f>+INPUT!$Q$4</f>
        <v>3.9568750000000001</v>
      </c>
      <c r="U21" s="6">
        <f>A21*$U$18</f>
        <v>4.3445</v>
      </c>
      <c r="V21" s="6">
        <f>T21+U21</f>
        <v>8.3013750000000002</v>
      </c>
      <c r="X21" s="7">
        <f>INPUT!$Q$32</f>
        <v>3.9568750000000001</v>
      </c>
      <c r="Y21" s="6">
        <f>A21*$Y$18</f>
        <v>4.4240000000000004</v>
      </c>
      <c r="Z21" s="6">
        <f>X21+Y21</f>
        <v>8.3808749999999996</v>
      </c>
      <c r="AA21" s="84">
        <f>$AA$18*A21</f>
        <v>7.9457983286482764E-2</v>
      </c>
      <c r="AB21" s="84">
        <f>$AB$18*A21</f>
        <v>-3.4000000000000002E-2</v>
      </c>
      <c r="AE21" s="84"/>
      <c r="AF21" s="17"/>
      <c r="AG21" s="141"/>
      <c r="AH21" s="8"/>
    </row>
    <row r="22" spans="1:34" x14ac:dyDescent="0.25">
      <c r="A22" s="1"/>
      <c r="F22" s="90"/>
      <c r="J22" s="28"/>
      <c r="L22" s="54"/>
      <c r="N22" s="17"/>
      <c r="O22" s="17"/>
      <c r="T22" s="7"/>
      <c r="U22" s="6"/>
      <c r="V22" s="6"/>
      <c r="X22" s="7"/>
      <c r="Y22" s="6"/>
      <c r="Z22" s="6"/>
      <c r="AA22" s="84"/>
      <c r="AB22" s="84"/>
      <c r="AE22" s="17"/>
      <c r="AF22" s="17"/>
      <c r="AG22" s="141"/>
      <c r="AH22" s="8"/>
    </row>
    <row r="23" spans="1:34" x14ac:dyDescent="0.25">
      <c r="A23" s="1">
        <v>100</v>
      </c>
      <c r="C23" s="28">
        <f>+V23</f>
        <v>12.645875</v>
      </c>
      <c r="D23" s="28">
        <f>+Z23</f>
        <v>12.804875000000001</v>
      </c>
      <c r="E23" s="28">
        <f t="shared" ref="E23:E35" si="0">AA23</f>
        <v>0.15891596657296553</v>
      </c>
      <c r="F23" s="90">
        <f t="shared" ref="F23:F35" si="1">+D23-(E23+C23)</f>
        <v>8.4033427034668762E-5</v>
      </c>
      <c r="G23" s="54">
        <f>ROUND(+F23/C23,4)</f>
        <v>0</v>
      </c>
      <c r="H23" s="28">
        <f>ROUND($U$10*$A23,2)</f>
        <v>-0.14000000000000001</v>
      </c>
      <c r="I23" s="28">
        <f>ROUND($U$11*$A23,2)</f>
        <v>0.69</v>
      </c>
      <c r="J23" s="28">
        <f t="shared" ref="J23:J33" si="2">+C23+E23+H23+I23</f>
        <v>13.354790966572965</v>
      </c>
      <c r="K23" s="28">
        <f>+D23+H23+I23</f>
        <v>13.354875</v>
      </c>
      <c r="L23" s="54">
        <f>ROUND((K23-J23)/J23,4)</f>
        <v>0</v>
      </c>
      <c r="M23" s="28">
        <f t="shared" ref="M23:M35" si="3">AB23</f>
        <v>-6.8000000000000005E-2</v>
      </c>
      <c r="N23" s="90">
        <f t="shared" ref="N23:N35" si="4">K23+M23</f>
        <v>13.286875</v>
      </c>
      <c r="O23" s="91">
        <f t="shared" ref="O23:O35" si="5">ROUND((N23-J23)/J23,4)</f>
        <v>-5.1000000000000004E-3</v>
      </c>
      <c r="T23" s="7">
        <f>$T$21</f>
        <v>3.9568750000000001</v>
      </c>
      <c r="U23" s="6">
        <f>A23*$U$18</f>
        <v>8.6890000000000001</v>
      </c>
      <c r="V23" s="6">
        <f>T23+U23</f>
        <v>12.645875</v>
      </c>
      <c r="X23" s="7">
        <f>+$X$21</f>
        <v>3.9568750000000001</v>
      </c>
      <c r="Y23" s="6">
        <f>A23*$Y$18</f>
        <v>8.8480000000000008</v>
      </c>
      <c r="Z23" s="6">
        <f>X23+Y23</f>
        <v>12.804875000000001</v>
      </c>
      <c r="AA23" s="84">
        <f t="shared" ref="AA23:AA33" si="6">$AA$18*A23</f>
        <v>0.15891596657296553</v>
      </c>
      <c r="AB23" s="84">
        <f t="shared" ref="AB23:AB33" si="7">$AB$18*A23</f>
        <v>-6.8000000000000005E-2</v>
      </c>
      <c r="AE23" s="84"/>
      <c r="AF23" s="17"/>
      <c r="AG23" s="141"/>
      <c r="AH23" s="8"/>
    </row>
    <row r="24" spans="1:34" x14ac:dyDescent="0.25">
      <c r="A24" s="1"/>
      <c r="C24" s="28"/>
      <c r="D24" s="28"/>
      <c r="E24" s="28"/>
      <c r="F24" s="90"/>
      <c r="G24" s="54"/>
      <c r="H24" s="28"/>
      <c r="I24" s="28"/>
      <c r="J24" s="28"/>
      <c r="K24" s="28"/>
      <c r="L24" s="54"/>
      <c r="M24" s="28"/>
      <c r="N24" s="90"/>
      <c r="O24" s="91"/>
      <c r="T24" s="55"/>
      <c r="U24" s="6"/>
      <c r="V24" s="6"/>
      <c r="X24" s="7"/>
      <c r="Y24" s="6"/>
      <c r="Z24" s="6"/>
      <c r="AA24" s="84"/>
      <c r="AB24" s="84"/>
      <c r="AE24" s="17"/>
      <c r="AF24" s="17"/>
      <c r="AG24" s="143"/>
      <c r="AH24" s="26"/>
    </row>
    <row r="25" spans="1:34" s="10" customFormat="1" x14ac:dyDescent="0.25">
      <c r="A25" s="1">
        <v>200</v>
      </c>
      <c r="B25"/>
      <c r="C25" s="28">
        <f>+V25</f>
        <v>21.334875</v>
      </c>
      <c r="D25" s="28">
        <f>+Z25</f>
        <v>21.652875000000002</v>
      </c>
      <c r="E25" s="28">
        <f t="shared" si="0"/>
        <v>0.31783193314593106</v>
      </c>
      <c r="F25" s="90">
        <f t="shared" si="1"/>
        <v>1.6806685406933752E-4</v>
      </c>
      <c r="G25" s="54">
        <f>ROUND(+F25/C25,4)</f>
        <v>0</v>
      </c>
      <c r="H25" s="28">
        <f>ROUND($U$10*$A25,2)</f>
        <v>-0.27</v>
      </c>
      <c r="I25" s="28">
        <f>ROUND($U$11*$A25,2)</f>
        <v>1.38</v>
      </c>
      <c r="J25" s="28">
        <f t="shared" si="2"/>
        <v>22.762706933145932</v>
      </c>
      <c r="K25" s="28">
        <f>+D25+H25+I25</f>
        <v>22.762875000000001</v>
      </c>
      <c r="L25" s="54">
        <f>ROUND((K25-J25)/J25,4)</f>
        <v>0</v>
      </c>
      <c r="M25" s="28">
        <f t="shared" si="3"/>
        <v>-0.13600000000000001</v>
      </c>
      <c r="N25" s="90">
        <f t="shared" si="4"/>
        <v>22.626875000000002</v>
      </c>
      <c r="O25" s="91">
        <f t="shared" si="5"/>
        <v>-6.0000000000000001E-3</v>
      </c>
      <c r="T25" s="55">
        <f>$T$21</f>
        <v>3.9568750000000001</v>
      </c>
      <c r="U25" s="6">
        <f>A25*$U$18</f>
        <v>17.378</v>
      </c>
      <c r="V25" s="11">
        <f>T25+U25</f>
        <v>21.334875</v>
      </c>
      <c r="X25" s="7">
        <f>+$X$21</f>
        <v>3.9568750000000001</v>
      </c>
      <c r="Y25" s="6">
        <f>A25*$Y$18</f>
        <v>17.696000000000002</v>
      </c>
      <c r="Z25" s="11">
        <f>X25+Y25</f>
        <v>21.652875000000002</v>
      </c>
      <c r="AA25" s="84">
        <f t="shared" si="6"/>
        <v>0.31783193314593106</v>
      </c>
      <c r="AB25" s="84">
        <f t="shared" si="7"/>
        <v>-0.13600000000000001</v>
      </c>
      <c r="AE25" s="145"/>
      <c r="AF25" s="144"/>
      <c r="AG25" s="143"/>
      <c r="AH25" s="26"/>
    </row>
    <row r="26" spans="1:34" x14ac:dyDescent="0.25">
      <c r="A26" s="1"/>
      <c r="F26" s="90"/>
      <c r="J26" s="28"/>
      <c r="N26" s="17"/>
      <c r="O26" s="17"/>
      <c r="T26" s="7"/>
      <c r="U26" s="6"/>
      <c r="V26" s="6"/>
      <c r="X26" s="7"/>
      <c r="Y26" s="6"/>
      <c r="Z26" s="6"/>
      <c r="AA26" s="84"/>
      <c r="AB26" s="84"/>
      <c r="AE26" s="17"/>
      <c r="AF26" s="17"/>
      <c r="AG26" s="141"/>
      <c r="AH26" s="8"/>
    </row>
    <row r="27" spans="1:34" x14ac:dyDescent="0.25">
      <c r="A27" s="1">
        <v>300</v>
      </c>
      <c r="C27" s="28">
        <f>+V27</f>
        <v>30.023875</v>
      </c>
      <c r="D27" s="28">
        <f>+Z27</f>
        <v>30.500875000000001</v>
      </c>
      <c r="E27" s="28">
        <f t="shared" si="0"/>
        <v>0.47674789971889658</v>
      </c>
      <c r="F27" s="90">
        <f t="shared" si="1"/>
        <v>2.5210028110222993E-4</v>
      </c>
      <c r="G27" s="54">
        <f>ROUND(+F27/C27,4)</f>
        <v>0</v>
      </c>
      <c r="H27" s="28">
        <f>ROUND($U$10*$A27,2)</f>
        <v>-0.41</v>
      </c>
      <c r="I27" s="28">
        <f>ROUND($U$11*$A27,2)</f>
        <v>2.06</v>
      </c>
      <c r="J27" s="28">
        <f t="shared" si="2"/>
        <v>32.150622899718897</v>
      </c>
      <c r="K27" s="28">
        <f>+D27+H27+I27</f>
        <v>32.150874999999999</v>
      </c>
      <c r="L27" s="54">
        <f>ROUND((K27-J27)/J27,4)</f>
        <v>0</v>
      </c>
      <c r="M27" s="28">
        <f t="shared" si="3"/>
        <v>-0.20400000000000001</v>
      </c>
      <c r="N27" s="90">
        <f t="shared" si="4"/>
        <v>31.946874999999999</v>
      </c>
      <c r="O27" s="91">
        <f t="shared" si="5"/>
        <v>-6.3E-3</v>
      </c>
      <c r="T27" s="7">
        <f>$T$21</f>
        <v>3.9568750000000001</v>
      </c>
      <c r="U27" s="6">
        <f>A27*$U$18</f>
        <v>26.067</v>
      </c>
      <c r="V27" s="6">
        <f>T27+U27</f>
        <v>30.023875</v>
      </c>
      <c r="X27" s="7">
        <f>+$X$21</f>
        <v>3.9568750000000001</v>
      </c>
      <c r="Y27" s="6">
        <f>A27*$Y$18</f>
        <v>26.544</v>
      </c>
      <c r="Z27" s="6">
        <f>X27+Y27</f>
        <v>30.500875000000001</v>
      </c>
      <c r="AA27" s="84">
        <f t="shared" si="6"/>
        <v>0.47674789971889658</v>
      </c>
      <c r="AB27" s="84">
        <f t="shared" si="7"/>
        <v>-0.20400000000000001</v>
      </c>
      <c r="AE27" s="84"/>
      <c r="AF27" s="17"/>
      <c r="AG27" s="141"/>
      <c r="AH27" s="8"/>
    </row>
    <row r="28" spans="1:34" x14ac:dyDescent="0.25">
      <c r="F28" s="90"/>
      <c r="J28" s="28"/>
      <c r="N28" s="17"/>
      <c r="O28" s="17"/>
      <c r="T28" s="7"/>
      <c r="U28" s="6"/>
      <c r="V28" s="6"/>
      <c r="X28" s="7"/>
      <c r="Y28" s="6"/>
      <c r="Z28" s="6"/>
      <c r="AA28" s="84"/>
      <c r="AB28" s="84"/>
      <c r="AE28" s="17"/>
      <c r="AF28" s="17"/>
      <c r="AG28" s="141"/>
      <c r="AH28" s="8"/>
    </row>
    <row r="29" spans="1:34" x14ac:dyDescent="0.25">
      <c r="A29" s="1">
        <v>400</v>
      </c>
      <c r="C29" s="28">
        <f>+V29</f>
        <v>38.712874999999997</v>
      </c>
      <c r="D29" s="28">
        <f>+Z29</f>
        <v>39.348875000000007</v>
      </c>
      <c r="E29" s="28">
        <f t="shared" si="0"/>
        <v>0.63566386629186211</v>
      </c>
      <c r="F29" s="90">
        <f t="shared" si="1"/>
        <v>3.3613370814578047E-4</v>
      </c>
      <c r="G29" s="54">
        <f>ROUND(+F29/C29,4)</f>
        <v>0</v>
      </c>
      <c r="H29" s="28">
        <f>ROUND($U$10*$A29,2)</f>
        <v>-0.55000000000000004</v>
      </c>
      <c r="I29" s="28">
        <f>ROUND($U$11*$A29,2)</f>
        <v>2.75</v>
      </c>
      <c r="J29" s="28">
        <f t="shared" si="2"/>
        <v>41.548538866291864</v>
      </c>
      <c r="K29" s="28">
        <f>+D29+H29+I29</f>
        <v>41.54887500000001</v>
      </c>
      <c r="L29" s="54">
        <f>ROUND((K29-J29)/J29,4)</f>
        <v>0</v>
      </c>
      <c r="M29" s="28">
        <f t="shared" si="3"/>
        <v>-0.27200000000000002</v>
      </c>
      <c r="N29" s="90">
        <f t="shared" si="4"/>
        <v>41.276875000000011</v>
      </c>
      <c r="O29" s="91">
        <f t="shared" si="5"/>
        <v>-6.4999999999999997E-3</v>
      </c>
      <c r="T29" s="7">
        <f>$T$21</f>
        <v>3.9568750000000001</v>
      </c>
      <c r="U29" s="6">
        <f>A29*$U$18</f>
        <v>34.756</v>
      </c>
      <c r="V29" s="6">
        <f>T29+U29</f>
        <v>38.712874999999997</v>
      </c>
      <c r="X29" s="7">
        <f>+$X$21</f>
        <v>3.9568750000000001</v>
      </c>
      <c r="Y29" s="6">
        <f>A29*$Y$18</f>
        <v>35.392000000000003</v>
      </c>
      <c r="Z29" s="6">
        <f>X29+Y29</f>
        <v>39.348875000000007</v>
      </c>
      <c r="AA29" s="84">
        <f t="shared" si="6"/>
        <v>0.63566386629186211</v>
      </c>
      <c r="AB29" s="84">
        <f t="shared" si="7"/>
        <v>-0.27200000000000002</v>
      </c>
      <c r="AE29" s="84"/>
      <c r="AF29" s="17"/>
      <c r="AG29" s="141"/>
      <c r="AH29" s="8"/>
    </row>
    <row r="30" spans="1:34" x14ac:dyDescent="0.25">
      <c r="A30" s="1"/>
      <c r="F30" s="90"/>
      <c r="J30" s="28"/>
      <c r="N30" s="17"/>
      <c r="O30" s="17"/>
      <c r="T30" s="7"/>
      <c r="U30" s="6"/>
      <c r="V30" s="6"/>
      <c r="X30" s="7"/>
      <c r="Y30" s="6"/>
      <c r="Z30" s="6"/>
      <c r="AA30" s="84"/>
      <c r="AB30" s="84"/>
      <c r="AE30" s="17"/>
      <c r="AF30" s="17"/>
      <c r="AG30" s="141"/>
      <c r="AH30" s="8"/>
    </row>
    <row r="31" spans="1:34" x14ac:dyDescent="0.25">
      <c r="A31" s="1">
        <v>500</v>
      </c>
      <c r="C31" s="28">
        <f>+V31</f>
        <v>47.401875000000004</v>
      </c>
      <c r="D31" s="28">
        <f>+Z31</f>
        <v>48.196875000000006</v>
      </c>
      <c r="E31" s="28">
        <f t="shared" si="0"/>
        <v>0.7945798328648277</v>
      </c>
      <c r="F31" s="90">
        <f t="shared" si="1"/>
        <v>4.2016713517512017E-4</v>
      </c>
      <c r="G31" s="54">
        <f>ROUND(+F31/C31,4)</f>
        <v>0</v>
      </c>
      <c r="H31" s="28">
        <f>ROUND($U$10*$A31,2)</f>
        <v>-0.69</v>
      </c>
      <c r="I31" s="28">
        <f>ROUND($U$11*$A31,2)</f>
        <v>3.44</v>
      </c>
      <c r="J31" s="28">
        <f t="shared" si="2"/>
        <v>50.946454832864831</v>
      </c>
      <c r="K31" s="28">
        <f>+D31+H31+I31</f>
        <v>50.946875000000006</v>
      </c>
      <c r="L31" s="54">
        <f>ROUND((K31-J31)/J31,4)</f>
        <v>0</v>
      </c>
      <c r="M31" s="28">
        <f t="shared" si="3"/>
        <v>-0.34</v>
      </c>
      <c r="N31" s="90">
        <f t="shared" si="4"/>
        <v>50.606875000000002</v>
      </c>
      <c r="O31" s="91">
        <f t="shared" si="5"/>
        <v>-6.7000000000000002E-3</v>
      </c>
      <c r="T31" s="7">
        <f>$T$21</f>
        <v>3.9568750000000001</v>
      </c>
      <c r="U31" s="6">
        <f>A31*$U$18</f>
        <v>43.445</v>
      </c>
      <c r="V31" s="6">
        <f>T31+U31</f>
        <v>47.401875000000004</v>
      </c>
      <c r="X31" s="7">
        <f>+$X$21</f>
        <v>3.9568750000000001</v>
      </c>
      <c r="Y31" s="6">
        <f>A31*$Y$18</f>
        <v>44.24</v>
      </c>
      <c r="Z31" s="6">
        <f>X31+Y31</f>
        <v>48.196875000000006</v>
      </c>
      <c r="AA31" s="84">
        <f t="shared" si="6"/>
        <v>0.7945798328648277</v>
      </c>
      <c r="AB31" s="84">
        <f t="shared" si="7"/>
        <v>-0.34</v>
      </c>
      <c r="AE31" s="84"/>
      <c r="AF31" s="17"/>
      <c r="AG31" s="141"/>
      <c r="AH31" s="8"/>
    </row>
    <row r="32" spans="1:34" x14ac:dyDescent="0.25">
      <c r="F32" s="90"/>
      <c r="J32" s="28"/>
      <c r="N32" s="17"/>
      <c r="O32" s="17"/>
      <c r="T32" s="7"/>
      <c r="U32" s="6"/>
      <c r="V32" s="6"/>
      <c r="X32" s="7"/>
      <c r="Y32" s="6"/>
      <c r="Z32" s="6"/>
      <c r="AA32" s="84"/>
      <c r="AB32" s="84"/>
      <c r="AE32" s="17"/>
      <c r="AF32" s="17"/>
      <c r="AG32" s="141"/>
      <c r="AH32" s="8"/>
    </row>
    <row r="33" spans="1:34" x14ac:dyDescent="0.25">
      <c r="A33" s="1">
        <v>750</v>
      </c>
      <c r="C33" s="28">
        <f>+V33</f>
        <v>69.124374999999986</v>
      </c>
      <c r="D33" s="28">
        <f>+Z33</f>
        <v>70.316874999999996</v>
      </c>
      <c r="E33" s="28">
        <f t="shared" si="0"/>
        <v>1.1918697492972414</v>
      </c>
      <c r="F33" s="90">
        <f t="shared" si="1"/>
        <v>6.3025070276978568E-4</v>
      </c>
      <c r="G33" s="54">
        <f>ROUND(+F33/C33,4)</f>
        <v>0</v>
      </c>
      <c r="H33" s="28">
        <f>ROUND($U$10*$A33,2)</f>
        <v>-1.03</v>
      </c>
      <c r="I33" s="28">
        <f>ROUND($U$11*$A33,2)</f>
        <v>5.16</v>
      </c>
      <c r="J33" s="28">
        <f t="shared" si="2"/>
        <v>74.446244749297222</v>
      </c>
      <c r="K33" s="28">
        <f>+D33+H33+I33</f>
        <v>74.446874999999991</v>
      </c>
      <c r="L33" s="54">
        <f>ROUND((K33-J33)/J33,4)</f>
        <v>0</v>
      </c>
      <c r="M33" s="28">
        <f t="shared" si="3"/>
        <v>-0.51</v>
      </c>
      <c r="N33" s="90">
        <f t="shared" si="4"/>
        <v>73.936874999999986</v>
      </c>
      <c r="O33" s="91">
        <f t="shared" si="5"/>
        <v>-6.7999999999999996E-3</v>
      </c>
      <c r="T33" s="7">
        <f>$T$21</f>
        <v>3.9568750000000001</v>
      </c>
      <c r="U33" s="6">
        <f>A33*$U$18</f>
        <v>65.16749999999999</v>
      </c>
      <c r="V33" s="6">
        <f>T33+U33</f>
        <v>69.124374999999986</v>
      </c>
      <c r="X33" s="7">
        <f>+$X$21</f>
        <v>3.9568750000000001</v>
      </c>
      <c r="Y33" s="6">
        <f>A33*$Y$18</f>
        <v>66.36</v>
      </c>
      <c r="Z33" s="6">
        <f>X33+Y33</f>
        <v>70.316874999999996</v>
      </c>
      <c r="AA33" s="84">
        <f t="shared" si="6"/>
        <v>1.1918697492972414</v>
      </c>
      <c r="AB33" s="84">
        <f t="shared" si="7"/>
        <v>-0.51</v>
      </c>
      <c r="AE33" s="84"/>
      <c r="AF33" s="17"/>
      <c r="AG33" s="141"/>
      <c r="AH33" s="8"/>
    </row>
    <row r="34" spans="1:34" x14ac:dyDescent="0.25">
      <c r="F34" s="90"/>
      <c r="J34" s="28"/>
      <c r="N34" s="17"/>
      <c r="O34" s="17"/>
      <c r="T34" s="7"/>
      <c r="U34" s="6"/>
      <c r="V34" s="6"/>
      <c r="X34" s="7"/>
      <c r="Y34" s="6"/>
      <c r="Z34" s="6"/>
      <c r="AA34" s="84"/>
      <c r="AB34" s="84"/>
      <c r="AE34" s="17"/>
      <c r="AF34" s="17"/>
      <c r="AG34" s="141"/>
      <c r="AH34" s="8"/>
    </row>
    <row r="35" spans="1:34" x14ac:dyDescent="0.25">
      <c r="A35" s="1">
        <v>1000</v>
      </c>
      <c r="C35" s="28">
        <f>+V35</f>
        <v>90.846874999999997</v>
      </c>
      <c r="D35" s="28">
        <f>+Z35</f>
        <v>92.436875000000001</v>
      </c>
      <c r="E35" s="28">
        <f t="shared" si="0"/>
        <v>1.5891596657296554</v>
      </c>
      <c r="F35" s="90">
        <f t="shared" si="1"/>
        <v>8.4033427035024033E-4</v>
      </c>
      <c r="G35" s="54">
        <f>ROUND(+F35/C35,4)</f>
        <v>0</v>
      </c>
      <c r="H35" s="28">
        <f>ROUND($U$10*$A35,2)</f>
        <v>-1.37</v>
      </c>
      <c r="I35" s="28">
        <f>ROUND($U$11*$A35,2)</f>
        <v>6.88</v>
      </c>
      <c r="J35" s="28">
        <f>+C35+E35+H35+I35</f>
        <v>97.946034665729641</v>
      </c>
      <c r="K35" s="28">
        <f>+D35+H35+I35</f>
        <v>97.946874999999991</v>
      </c>
      <c r="L35" s="54">
        <f>ROUND((K35-J35)/J35,4)</f>
        <v>0</v>
      </c>
      <c r="M35" s="28">
        <f t="shared" si="3"/>
        <v>-0.68</v>
      </c>
      <c r="N35" s="90">
        <f t="shared" si="4"/>
        <v>97.266874999999985</v>
      </c>
      <c r="O35" s="91">
        <f t="shared" si="5"/>
        <v>-6.8999999999999999E-3</v>
      </c>
      <c r="T35" s="7">
        <f>$T$21</f>
        <v>3.9568750000000001</v>
      </c>
      <c r="U35" s="6">
        <f>A35*$U$18</f>
        <v>86.89</v>
      </c>
      <c r="V35" s="6">
        <f>T35+U35</f>
        <v>90.846874999999997</v>
      </c>
      <c r="X35" s="7">
        <f>+$X$21</f>
        <v>3.9568750000000001</v>
      </c>
      <c r="Y35" s="6">
        <f>A35*$Y$18</f>
        <v>88.48</v>
      </c>
      <c r="Z35" s="6">
        <f>X35+Y35</f>
        <v>92.436875000000001</v>
      </c>
      <c r="AA35" s="84">
        <f>$AA$18*A35</f>
        <v>1.5891596657296554</v>
      </c>
      <c r="AB35" s="84">
        <f>$AB$18*A35</f>
        <v>-0.68</v>
      </c>
      <c r="AE35" s="84"/>
      <c r="AF35" s="17"/>
      <c r="AG35" s="141"/>
      <c r="AH35" s="8"/>
    </row>
    <row r="37" spans="1:34" x14ac:dyDescent="0.25">
      <c r="A37" s="17" t="s">
        <v>301</v>
      </c>
    </row>
    <row r="38" spans="1:34" s="17" customFormat="1" x14ac:dyDescent="0.25">
      <c r="A38" s="174" t="str">
        <f>("Average Usage = "&amp;TEXT(INPUT!$Q$26*1,"0")&amp;" kWh per month")</f>
        <v>Average Usage = 150 kWh per month</v>
      </c>
    </row>
    <row r="39" spans="1:34" s="17" customFormat="1" x14ac:dyDescent="0.25">
      <c r="A39" s="175" t="s">
        <v>302</v>
      </c>
    </row>
    <row r="40" spans="1:34" x14ac:dyDescent="0.25">
      <c r="A40" s="176" t="s">
        <v>304</v>
      </c>
    </row>
    <row r="41" spans="1:34" ht="12" customHeight="1" x14ac:dyDescent="0.25">
      <c r="A41" s="175" t="str">
        <f>+'Rate Case Constants'!$C$26</f>
        <v>Calculations may vary from other schedules due to rounding</v>
      </c>
    </row>
  </sheetData>
  <mergeCells count="5">
    <mergeCell ref="H15:I15"/>
    <mergeCell ref="A1:O1"/>
    <mergeCell ref="A2:O2"/>
    <mergeCell ref="A3:O3"/>
    <mergeCell ref="A4:O4"/>
  </mergeCells>
  <printOptions horizontalCentered="1"/>
  <pageMargins left="0.75" right="0.75" top="1.5" bottom="0.5" header="1" footer="0.5"/>
  <pageSetup scale="8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59999389629810485"/>
    <pageSetUpPr fitToPage="1"/>
  </sheetPr>
  <dimension ref="A1:AS73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10.453125" customWidth="1"/>
    <col min="2" max="2" width="3.7265625" customWidth="1"/>
    <col min="3" max="3" width="8.1796875" bestFit="1" customWidth="1"/>
    <col min="4" max="4" width="1.81640625" customWidth="1"/>
    <col min="5" max="5" width="12" bestFit="1" customWidth="1"/>
    <col min="6" max="6" width="2" customWidth="1"/>
    <col min="7" max="7" width="15.1796875" bestFit="1" customWidth="1"/>
    <col min="8" max="9" width="14.7265625" customWidth="1"/>
    <col min="10" max="10" width="13.453125" bestFit="1" customWidth="1"/>
    <col min="11" max="11" width="9.81640625" customWidth="1"/>
    <col min="12" max="12" width="14.26953125" bestFit="1" customWidth="1"/>
    <col min="13" max="13" width="13.453125" bestFit="1" customWidth="1"/>
    <col min="14" max="14" width="15.1796875" customWidth="1"/>
    <col min="15" max="16" width="15.1796875" bestFit="1" customWidth="1"/>
    <col min="17" max="18" width="9.81640625" customWidth="1"/>
    <col min="19" max="19" width="10.453125" bestFit="1" customWidth="1"/>
    <col min="20" max="20" width="9.36328125" customWidth="1"/>
    <col min="21" max="22" width="9.81640625" customWidth="1"/>
    <col min="23" max="23" width="10" customWidth="1"/>
    <col min="24" max="25" width="14.453125" bestFit="1" customWidth="1"/>
    <col min="26" max="26" width="4" customWidth="1"/>
    <col min="27" max="27" width="12.7265625" bestFit="1" customWidth="1"/>
    <col min="28" max="28" width="14.453125" bestFit="1" customWidth="1"/>
    <col min="29" max="29" width="6.7265625" customWidth="1"/>
    <col min="30" max="30" width="14.453125" customWidth="1"/>
    <col min="31" max="31" width="3.81640625" customWidth="1"/>
    <col min="32" max="32" width="13.1796875" bestFit="1" customWidth="1"/>
    <col min="33" max="34" width="14.453125" bestFit="1" customWidth="1"/>
    <col min="35" max="35" width="12.7265625" bestFit="1" customWidth="1"/>
    <col min="36" max="36" width="13.81640625" bestFit="1" customWidth="1"/>
    <col min="37" max="38" width="13.81640625" customWidth="1"/>
    <col min="39" max="39" width="12.7265625" bestFit="1" customWidth="1"/>
    <col min="40" max="41" width="14.453125" bestFit="1" customWidth="1"/>
    <col min="42" max="42" width="11.1796875" customWidth="1"/>
    <col min="43" max="43" width="11.453125" bestFit="1" customWidth="1"/>
    <col min="44" max="44" width="10.7265625" customWidth="1"/>
    <col min="45" max="45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Constants'!L28</f>
        <v>PAGE 21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+INPUT!H80</f>
        <v>-1.3412884635145505E-3</v>
      </c>
    </row>
    <row r="11" spans="1:45" ht="13" x14ac:dyDescent="0.3">
      <c r="A11" s="124" t="s">
        <v>350</v>
      </c>
      <c r="W11" s="83" t="s">
        <v>70</v>
      </c>
      <c r="X11" s="2">
        <f>+INPUT!I80</f>
        <v>3.9069193452100385E-4</v>
      </c>
      <c r="Y11" s="29"/>
      <c r="Z11" s="59"/>
      <c r="AH11" s="59"/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+INPUT!J80</f>
        <v>1.3683634723349312E-3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/>
      <c r="Z13" s="3"/>
      <c r="AA13" s="3"/>
      <c r="AD13" s="3"/>
      <c r="AH13" s="19"/>
      <c r="AI13" s="20"/>
      <c r="AJ13" s="20"/>
      <c r="AK13" s="20"/>
      <c r="AL13" s="20"/>
      <c r="AM13" s="20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1</v>
      </c>
      <c r="Z14" s="3"/>
      <c r="AA14" s="3" t="s">
        <v>1</v>
      </c>
      <c r="AB14" s="3"/>
      <c r="AC14" s="3"/>
      <c r="AD14" s="3"/>
      <c r="AF14" s="3" t="s">
        <v>6</v>
      </c>
      <c r="AG14" s="3" t="s">
        <v>6</v>
      </c>
      <c r="AH14" s="3" t="s">
        <v>6</v>
      </c>
      <c r="AI14" s="20"/>
      <c r="AJ14" s="20" t="s">
        <v>6</v>
      </c>
      <c r="AK14" s="20"/>
      <c r="AL14" s="85" t="s">
        <v>592</v>
      </c>
      <c r="AM14" s="20"/>
      <c r="AN14" s="20"/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25</v>
      </c>
      <c r="Z15" s="3"/>
      <c r="AA15" s="3" t="s">
        <v>5</v>
      </c>
      <c r="AB15" s="3"/>
      <c r="AC15" s="3"/>
      <c r="AD15" s="3"/>
      <c r="AF15" s="3" t="s">
        <v>52</v>
      </c>
      <c r="AG15" s="25" t="s">
        <v>53</v>
      </c>
      <c r="AH15" s="3" t="s">
        <v>15</v>
      </c>
      <c r="AI15" s="20"/>
      <c r="AJ15" s="20" t="s">
        <v>5</v>
      </c>
      <c r="AK15" s="86" t="s">
        <v>69</v>
      </c>
      <c r="AL15" s="85" t="s">
        <v>593</v>
      </c>
      <c r="AM15" s="20"/>
      <c r="AN15" s="20"/>
      <c r="AO15" s="85"/>
      <c r="AP15" s="17"/>
      <c r="AQ15" s="85"/>
      <c r="AR15" s="85"/>
      <c r="AS15" s="85"/>
    </row>
    <row r="16" spans="1:45" ht="13" x14ac:dyDescent="0.3">
      <c r="A16" s="3" t="s">
        <v>17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54</v>
      </c>
      <c r="Z16" s="3"/>
      <c r="AA16" s="3" t="s">
        <v>4</v>
      </c>
      <c r="AB16" s="3"/>
      <c r="AC16" s="3"/>
      <c r="AD16" s="3"/>
      <c r="AF16" s="25" t="s">
        <v>3</v>
      </c>
      <c r="AG16" s="25" t="s">
        <v>3</v>
      </c>
      <c r="AH16" s="3" t="s">
        <v>51</v>
      </c>
      <c r="AI16" s="20"/>
      <c r="AJ16" s="20" t="s">
        <v>4</v>
      </c>
      <c r="AK16" s="386" t="s">
        <v>471</v>
      </c>
      <c r="AL16" s="350" t="s">
        <v>439</v>
      </c>
      <c r="AM16" s="20"/>
      <c r="AN16" s="20"/>
      <c r="AO16" s="85"/>
      <c r="AP16" s="17"/>
      <c r="AQ16" s="85"/>
      <c r="AR16" s="85"/>
      <c r="AS16" s="85"/>
    </row>
    <row r="17" spans="1:45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INPUT!S6</f>
        <v>3.2489999999999998E-2</v>
      </c>
      <c r="Y17" s="332">
        <f>INPUT!S13</f>
        <v>24.17</v>
      </c>
      <c r="Z17" s="41" t="s">
        <v>420</v>
      </c>
      <c r="AA17" s="41"/>
      <c r="AB17" s="3"/>
      <c r="AC17" s="3"/>
      <c r="AD17" s="40"/>
      <c r="AG17" s="334">
        <f>INPUT!S34</f>
        <v>3.2099999999999997E-2</v>
      </c>
      <c r="AH17" s="40">
        <f>INPUT!S41</f>
        <v>19.61</v>
      </c>
      <c r="AI17" s="41" t="s">
        <v>420</v>
      </c>
      <c r="AJ17" s="41"/>
      <c r="AK17" s="86">
        <f>INPUT!K80</f>
        <v>1.2653011688929043E-4</v>
      </c>
      <c r="AL17" s="86">
        <f>INPUT!S52</f>
        <v>-6.8000000000000005E-4</v>
      </c>
      <c r="AM17" s="41"/>
      <c r="AN17" s="20"/>
      <c r="AO17" s="396"/>
      <c r="AP17" s="17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51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32">
        <f>INPUT!S15</f>
        <v>2.02</v>
      </c>
      <c r="Z18" s="3" t="s">
        <v>421</v>
      </c>
      <c r="AA18" s="3"/>
      <c r="AB18" s="3"/>
      <c r="AC18" s="3"/>
      <c r="AD18" s="3"/>
      <c r="AG18" s="25" t="s">
        <v>11</v>
      </c>
      <c r="AH18" s="331">
        <f>INPUT!S43</f>
        <v>2.93</v>
      </c>
      <c r="AI18" s="3" t="s">
        <v>421</v>
      </c>
      <c r="AJ18" s="3"/>
      <c r="AK18" s="86" t="s">
        <v>11</v>
      </c>
      <c r="AL18" s="86" t="s">
        <v>11</v>
      </c>
      <c r="AM18" s="3"/>
      <c r="AN18" s="20"/>
      <c r="AO18" s="85"/>
      <c r="AP18" s="17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85"/>
      <c r="AL19" s="85"/>
      <c r="AM19" s="20"/>
      <c r="AN19" s="20"/>
      <c r="AO19" s="17"/>
      <c r="AP19" s="17"/>
      <c r="AQ19" s="85"/>
      <c r="AR19" s="85"/>
      <c r="AS19" s="85"/>
    </row>
    <row r="20" spans="1:45" x14ac:dyDescent="0.25">
      <c r="A20" s="1">
        <v>5</v>
      </c>
      <c r="B20" s="1"/>
      <c r="C20" s="13">
        <v>0.1</v>
      </c>
      <c r="E20" s="1">
        <f>C20*($A$20*730)</f>
        <v>365</v>
      </c>
      <c r="F20" s="1"/>
      <c r="G20" s="28">
        <f>+AA20</f>
        <v>150.94385000000003</v>
      </c>
      <c r="H20" s="28">
        <f>+AJ20</f>
        <v>148.01150000000001</v>
      </c>
      <c r="I20" s="28">
        <f>AK20</f>
        <v>4.6183492664591007E-2</v>
      </c>
      <c r="J20" s="90">
        <f>+H20-(I20+G20)</f>
        <v>-2.9785334926646101</v>
      </c>
      <c r="K20" s="54">
        <f>ROUND(+J20/G20,4)</f>
        <v>-1.9699999999999999E-2</v>
      </c>
      <c r="L20" s="28">
        <f>ROUND($X$10*$E20,2)</f>
        <v>-0.49</v>
      </c>
      <c r="M20" s="28">
        <f>ROUND($X$11*$E20,2)</f>
        <v>0.14000000000000001</v>
      </c>
      <c r="N20" s="28">
        <f>ROUND($X$12*$E20,2)</f>
        <v>0.5</v>
      </c>
      <c r="O20" s="28">
        <f>+G20+I20+L20+M20+N20</f>
        <v>151.1400334926646</v>
      </c>
      <c r="P20" s="28">
        <f>+H20+L20+M20+N20</f>
        <v>148.16149999999999</v>
      </c>
      <c r="Q20" s="54">
        <f>ROUND((P20-O20)/O20,4)</f>
        <v>-1.9699999999999999E-2</v>
      </c>
      <c r="R20" s="28">
        <f>AL20</f>
        <v>-0.24820000000000003</v>
      </c>
      <c r="S20" s="90">
        <f>P20+R20</f>
        <v>147.91329999999999</v>
      </c>
      <c r="T20" s="91">
        <f>ROUND((S20-O20)/O20,4)</f>
        <v>-2.1299999999999999E-2</v>
      </c>
      <c r="U20" s="1"/>
      <c r="W20" s="7">
        <f>INPUT!S4</f>
        <v>90.095000000000013</v>
      </c>
      <c r="X20" s="19">
        <f>$X$17*E20</f>
        <v>11.858849999999999</v>
      </c>
      <c r="Y20" s="19">
        <f>ROUND((($A$20*INPUT!$E$97*$Y$17)+($A$20*$Y$18)),2)</f>
        <v>48.99</v>
      </c>
      <c r="Z20" s="19"/>
      <c r="AA20" s="19">
        <f>W20+X20+Y20</f>
        <v>150.94385000000003</v>
      </c>
      <c r="AB20" s="24"/>
      <c r="AC20" s="24"/>
      <c r="AD20" s="19"/>
      <c r="AF20" s="333">
        <f>INPUT!S32</f>
        <v>90.095000000000013</v>
      </c>
      <c r="AG20" s="7">
        <f>$AG$17*E20</f>
        <v>11.716499999999998</v>
      </c>
      <c r="AH20" s="19">
        <f>ROUND((($A$20*INPUT!$E$97*$AH$17)+($A$20*$AH$18)),2)</f>
        <v>46.2</v>
      </c>
      <c r="AI20" s="19"/>
      <c r="AJ20" s="19">
        <f>AF20+AG20+AH20</f>
        <v>148.01150000000001</v>
      </c>
      <c r="AK20" s="84">
        <f>$AK$17*E20</f>
        <v>4.6183492664591007E-2</v>
      </c>
      <c r="AL20" s="84">
        <f>$AL$17*E20</f>
        <v>-0.24820000000000003</v>
      </c>
      <c r="AM20" s="19"/>
      <c r="AN20" s="24"/>
      <c r="AO20" s="24"/>
      <c r="AP20" s="17"/>
      <c r="AQ20" s="38"/>
      <c r="AR20" s="17"/>
      <c r="AS20" s="394"/>
    </row>
    <row r="21" spans="1:45" x14ac:dyDescent="0.25">
      <c r="A21" s="1"/>
      <c r="B21" s="1"/>
      <c r="C21" s="13">
        <v>0.3</v>
      </c>
      <c r="E21" s="1">
        <f>C21*($A$20*730)</f>
        <v>1095</v>
      </c>
      <c r="F21" s="1"/>
      <c r="G21" s="28">
        <f>+AA21</f>
        <v>84.566550000000007</v>
      </c>
      <c r="H21" s="28">
        <f>+AJ21</f>
        <v>81.349500000000006</v>
      </c>
      <c r="I21" s="28">
        <f>AK21</f>
        <v>0.13855047799377301</v>
      </c>
      <c r="J21" s="90">
        <f>+H21-(I21+G21)</f>
        <v>-3.3556004779937751</v>
      </c>
      <c r="K21" s="54">
        <f>ROUND(+J21/G21,4)</f>
        <v>-3.9699999999999999E-2</v>
      </c>
      <c r="L21" s="28">
        <f>ROUND($X$10*$E21,2)</f>
        <v>-1.47</v>
      </c>
      <c r="M21" s="28">
        <f>ROUND($X$11*$E21,2)</f>
        <v>0.43</v>
      </c>
      <c r="N21" s="28">
        <f>ROUND($X$12*$E21,2)</f>
        <v>1.5</v>
      </c>
      <c r="O21" s="28">
        <f>+G21+I21+L21+M21+N21</f>
        <v>85.165100477993789</v>
      </c>
      <c r="P21" s="28">
        <f>+H21+L21+M21+N21</f>
        <v>81.809500000000014</v>
      </c>
      <c r="Q21" s="54">
        <f>ROUND((P21-O21)/O21,4)</f>
        <v>-3.9399999999999998E-2</v>
      </c>
      <c r="R21" s="28">
        <f>AL21</f>
        <v>-0.74460000000000004</v>
      </c>
      <c r="S21" s="90">
        <f>P21+R21</f>
        <v>81.064900000000009</v>
      </c>
      <c r="T21" s="91">
        <f>ROUND((S21-O21)/O21,4)</f>
        <v>-4.8099999999999997E-2</v>
      </c>
      <c r="U21" s="1"/>
      <c r="W21" s="7">
        <f>INPUT!S5</f>
        <v>0</v>
      </c>
      <c r="X21" s="19">
        <f>$X$17*E21</f>
        <v>35.576549999999997</v>
      </c>
      <c r="Y21" s="19">
        <f>ROUND((($A$20*INPUT!$E$97*$Y$17)+($A$20*$Y$18)),2)</f>
        <v>48.99</v>
      </c>
      <c r="Z21" s="19"/>
      <c r="AA21" s="19">
        <f>W21+X21+Y21</f>
        <v>84.566550000000007</v>
      </c>
      <c r="AB21" s="24"/>
      <c r="AC21" s="24"/>
      <c r="AD21" s="19"/>
      <c r="AF21" s="333">
        <f>INPUT!S33</f>
        <v>0</v>
      </c>
      <c r="AG21" s="7">
        <f>$AG$17*E21</f>
        <v>35.149499999999996</v>
      </c>
      <c r="AH21" s="19">
        <f>ROUND((($A$20*INPUT!$E$97*$AH$17)+($A$20*$AH$18)),2)</f>
        <v>46.2</v>
      </c>
      <c r="AI21" s="19"/>
      <c r="AJ21" s="19">
        <f>AF21+AG21+AH21</f>
        <v>81.349500000000006</v>
      </c>
      <c r="AK21" s="84">
        <f>$AK$17*E21</f>
        <v>0.13855047799377301</v>
      </c>
      <c r="AL21" s="84">
        <f>$AL$17*E21</f>
        <v>-0.74460000000000004</v>
      </c>
      <c r="AM21" s="19"/>
      <c r="AN21" s="24"/>
      <c r="AO21" s="24"/>
      <c r="AP21" s="17"/>
      <c r="AQ21" s="38"/>
      <c r="AR21" s="17"/>
      <c r="AS21" s="394"/>
    </row>
    <row r="22" spans="1:45" x14ac:dyDescent="0.25">
      <c r="C22" s="13">
        <v>0.5</v>
      </c>
      <c r="E22" s="1">
        <f>C22*($A$20*730)</f>
        <v>1825</v>
      </c>
      <c r="F22" s="1"/>
      <c r="G22" s="28">
        <f t="shared" ref="G22:G43" si="0">+AA22</f>
        <v>198.37925000000001</v>
      </c>
      <c r="H22" s="28">
        <f t="shared" ref="H22:H43" si="1">+AJ22</f>
        <v>194.8775</v>
      </c>
      <c r="I22" s="28">
        <f t="shared" ref="I22:I43" si="2">AK22</f>
        <v>0.23091746332295501</v>
      </c>
      <c r="J22" s="90">
        <f t="shared" ref="J22:J43" si="3">+H22-(I22+G22)</f>
        <v>-3.7326674633229686</v>
      </c>
      <c r="K22" s="54">
        <f>ROUND(+J22/G22,4)</f>
        <v>-1.8800000000000001E-2</v>
      </c>
      <c r="L22" s="28">
        <f>ROUND($X$10*$E22,2)</f>
        <v>-2.4500000000000002</v>
      </c>
      <c r="M22" s="28">
        <f>ROUND($X$11*$E22,2)</f>
        <v>0.71</v>
      </c>
      <c r="N22" s="28">
        <f>ROUND($X$12*$E22,2)</f>
        <v>2.5</v>
      </c>
      <c r="O22" s="28">
        <f t="shared" ref="O22:O42" si="4">+G22+I22+L22+M22+N22</f>
        <v>199.37016746332299</v>
      </c>
      <c r="P22" s="28">
        <f>+H22+L22+M22+N22</f>
        <v>195.63750000000002</v>
      </c>
      <c r="Q22" s="91">
        <f>ROUND((P22-O22)/O22,4)</f>
        <v>-1.8700000000000001E-2</v>
      </c>
      <c r="R22" s="28">
        <f t="shared" ref="R22:R43" si="5">AL22</f>
        <v>-1.2410000000000001</v>
      </c>
      <c r="S22" s="90">
        <f t="shared" ref="S22:S43" si="6">P22+R22</f>
        <v>194.3965</v>
      </c>
      <c r="T22" s="91">
        <f t="shared" ref="T22:T43" si="7">ROUND((S22-O22)/O22,4)</f>
        <v>-2.4899999999999999E-2</v>
      </c>
      <c r="U22" s="1"/>
      <c r="W22" s="7">
        <f>$W$20</f>
        <v>90.095000000000013</v>
      </c>
      <c r="X22" s="19">
        <f>$X$17*E22</f>
        <v>59.294249999999998</v>
      </c>
      <c r="Y22" s="19">
        <f>ROUND((($A$20*INPUT!$E$97*$Y$17)+($A$20*$Y$18)),2)</f>
        <v>48.99</v>
      </c>
      <c r="Z22" s="19"/>
      <c r="AA22" s="19">
        <f>W22+X22+Y22</f>
        <v>198.37925000000001</v>
      </c>
      <c r="AB22" s="24"/>
      <c r="AC22" s="24"/>
      <c r="AD22" s="19"/>
      <c r="AF22" s="333">
        <f>AF$20</f>
        <v>90.095000000000013</v>
      </c>
      <c r="AG22" s="7">
        <f>$AG$17*E22</f>
        <v>58.582499999999996</v>
      </c>
      <c r="AH22" s="19">
        <f>ROUND((($A$20*INPUT!$E$97*$AH$17)+($A$20*$AH$18)),2)</f>
        <v>46.2</v>
      </c>
      <c r="AI22" s="19"/>
      <c r="AJ22" s="19">
        <f>AF22+AG22+AH22</f>
        <v>194.8775</v>
      </c>
      <c r="AK22" s="84">
        <f t="shared" ref="AK22:AK42" si="8">$AK$17*E22</f>
        <v>0.23091746332295501</v>
      </c>
      <c r="AL22" s="84">
        <f t="shared" ref="AL22:AL42" si="9">$AL$17*E22</f>
        <v>-1.2410000000000001</v>
      </c>
      <c r="AM22" s="19"/>
      <c r="AN22" s="24"/>
      <c r="AO22" s="24"/>
      <c r="AP22" s="17"/>
      <c r="AQ22" s="38"/>
      <c r="AR22" s="17"/>
      <c r="AS22" s="394"/>
    </row>
    <row r="23" spans="1:45" x14ac:dyDescent="0.25">
      <c r="C23" s="13">
        <v>0.7</v>
      </c>
      <c r="E23" s="1">
        <f>C23*($A$20*730)</f>
        <v>2555</v>
      </c>
      <c r="F23" s="1"/>
      <c r="G23" s="28">
        <f t="shared" si="0"/>
        <v>222.09695000000002</v>
      </c>
      <c r="H23" s="28">
        <f t="shared" si="1"/>
        <v>218.31049999999999</v>
      </c>
      <c r="I23" s="28">
        <f t="shared" si="2"/>
        <v>0.32328444865213701</v>
      </c>
      <c r="J23" s="90">
        <f t="shared" si="3"/>
        <v>-4.1097344486521763</v>
      </c>
      <c r="K23" s="54">
        <f>ROUND(+J23/G23,4)</f>
        <v>-1.8499999999999999E-2</v>
      </c>
      <c r="L23" s="28">
        <f>ROUND($X$10*$E23,2)</f>
        <v>-3.43</v>
      </c>
      <c r="M23" s="28">
        <f>ROUND($X$11*$E23,2)</f>
        <v>1</v>
      </c>
      <c r="N23" s="28">
        <f>ROUND($X$12*$E23,2)</f>
        <v>3.5</v>
      </c>
      <c r="O23" s="28">
        <f t="shared" si="4"/>
        <v>223.49023444865216</v>
      </c>
      <c r="P23" s="28">
        <f>+H23+L23+M23+N23</f>
        <v>219.38049999999998</v>
      </c>
      <c r="Q23" s="54">
        <f>ROUND((P23-O23)/O23,4)</f>
        <v>-1.84E-2</v>
      </c>
      <c r="R23" s="28">
        <f t="shared" si="5"/>
        <v>-1.7374000000000001</v>
      </c>
      <c r="S23" s="90">
        <f t="shared" si="6"/>
        <v>217.64309999999998</v>
      </c>
      <c r="T23" s="91">
        <f t="shared" si="7"/>
        <v>-2.6200000000000001E-2</v>
      </c>
      <c r="U23" s="1"/>
      <c r="W23" s="7">
        <f>$W$20</f>
        <v>90.095000000000013</v>
      </c>
      <c r="X23" s="19">
        <f>$X$17*E23</f>
        <v>83.011949999999999</v>
      </c>
      <c r="Y23" s="19">
        <f>ROUND((($A$20*INPUT!$E$97*$Y$17)+($A$20*$Y$18)),2)</f>
        <v>48.99</v>
      </c>
      <c r="Z23" s="19"/>
      <c r="AA23" s="19">
        <f>W23+X23+Y23</f>
        <v>222.09695000000002</v>
      </c>
      <c r="AB23" s="24"/>
      <c r="AC23" s="24"/>
      <c r="AD23" s="19"/>
      <c r="AF23" s="333">
        <f>AF$20</f>
        <v>90.095000000000013</v>
      </c>
      <c r="AG23" s="7">
        <f>$AG$17*E23</f>
        <v>82.015499999999989</v>
      </c>
      <c r="AH23" s="19">
        <f>ROUND((($A$20*INPUT!$E$97*$AH$17)+($A$20*$AH$18)),2)</f>
        <v>46.2</v>
      </c>
      <c r="AI23" s="19"/>
      <c r="AJ23" s="19">
        <f>AF23+AG23+AH23</f>
        <v>218.31049999999999</v>
      </c>
      <c r="AK23" s="84">
        <f t="shared" si="8"/>
        <v>0.32328444865213701</v>
      </c>
      <c r="AL23" s="84">
        <f t="shared" si="9"/>
        <v>-1.7374000000000001</v>
      </c>
      <c r="AM23" s="19"/>
      <c r="AN23" s="24"/>
      <c r="AO23" s="24"/>
      <c r="AP23" s="17"/>
      <c r="AQ23" s="38"/>
      <c r="AR23" s="17"/>
      <c r="AS23" s="394"/>
    </row>
    <row r="24" spans="1:45" x14ac:dyDescent="0.25">
      <c r="C24" s="13"/>
      <c r="E24" s="1"/>
      <c r="F24" s="1"/>
      <c r="G24" s="1"/>
      <c r="H24" s="1"/>
      <c r="I24" s="1"/>
      <c r="J24" s="90"/>
      <c r="K24" s="5"/>
      <c r="L24" s="1"/>
      <c r="M24" s="1"/>
      <c r="N24" s="1"/>
      <c r="O24" s="28"/>
      <c r="Q24" s="54"/>
      <c r="R24" s="1"/>
      <c r="S24" s="90"/>
      <c r="T24" s="91"/>
      <c r="U24" s="1"/>
      <c r="W24" s="7"/>
      <c r="X24" s="19"/>
      <c r="Y24" s="19"/>
      <c r="Z24" s="19"/>
      <c r="AA24" s="19"/>
      <c r="AB24" s="24"/>
      <c r="AC24" s="24"/>
      <c r="AF24" s="333"/>
      <c r="AG24" s="7"/>
      <c r="AH24" s="19"/>
      <c r="AI24" s="19"/>
      <c r="AJ24" s="19"/>
      <c r="AK24" s="84"/>
      <c r="AL24" s="84"/>
      <c r="AM24" s="19"/>
      <c r="AN24" s="24"/>
      <c r="AO24" s="17"/>
      <c r="AP24" s="17"/>
      <c r="AQ24" s="84"/>
      <c r="AR24" s="17"/>
      <c r="AS24" s="84"/>
    </row>
    <row r="25" spans="1:45" x14ac:dyDescent="0.25">
      <c r="A25" s="1">
        <v>50</v>
      </c>
      <c r="B25" s="1"/>
      <c r="C25" s="13">
        <v>0.1</v>
      </c>
      <c r="E25" s="1">
        <f>C25*($A$25*730)</f>
        <v>3650</v>
      </c>
      <c r="F25" s="1"/>
      <c r="G25" s="28">
        <f t="shared" si="0"/>
        <v>698.55349999999999</v>
      </c>
      <c r="H25" s="28">
        <f t="shared" si="1"/>
        <v>669.27</v>
      </c>
      <c r="I25" s="28">
        <f t="shared" si="2"/>
        <v>0.46183492664591003</v>
      </c>
      <c r="J25" s="90">
        <f t="shared" si="3"/>
        <v>-29.74533492664591</v>
      </c>
      <c r="K25" s="54">
        <f>ROUND(+J25/G25,4)</f>
        <v>-4.2599999999999999E-2</v>
      </c>
      <c r="L25" s="28">
        <f>ROUND($X$10*$E25,2)</f>
        <v>-4.9000000000000004</v>
      </c>
      <c r="M25" s="28">
        <f>ROUND($X$11*$E25,2)</f>
        <v>1.43</v>
      </c>
      <c r="N25" s="28">
        <f>ROUND($X$12*$E25,2)</f>
        <v>4.99</v>
      </c>
      <c r="O25" s="28">
        <f t="shared" si="4"/>
        <v>700.53533492664587</v>
      </c>
      <c r="P25" s="28">
        <f>+H25+L25+M25+N25</f>
        <v>670.79</v>
      </c>
      <c r="Q25" s="54">
        <f>ROUND((P25-O25)/O25,4)</f>
        <v>-4.2500000000000003E-2</v>
      </c>
      <c r="R25" s="28">
        <f t="shared" si="5"/>
        <v>-2.4820000000000002</v>
      </c>
      <c r="S25" s="90">
        <f t="shared" si="6"/>
        <v>668.30799999999999</v>
      </c>
      <c r="T25" s="91">
        <f t="shared" si="7"/>
        <v>-4.5999999999999999E-2</v>
      </c>
      <c r="U25" s="1"/>
      <c r="W25" s="7">
        <f>$W$20</f>
        <v>90.095000000000013</v>
      </c>
      <c r="X25" s="19">
        <f>$X$17*E25</f>
        <v>118.5885</v>
      </c>
      <c r="Y25" s="19">
        <f>ROUND((($A$25*INPUT!$E$97*$Y$17)+($A$25*$Y$18)),2)</f>
        <v>489.87</v>
      </c>
      <c r="Z25" s="19"/>
      <c r="AA25" s="19">
        <f>W25+X25+Y25</f>
        <v>698.55349999999999</v>
      </c>
      <c r="AB25" s="24"/>
      <c r="AC25" s="24"/>
      <c r="AD25" s="19"/>
      <c r="AF25" s="333">
        <f>AF$20</f>
        <v>90.095000000000013</v>
      </c>
      <c r="AG25" s="7">
        <f>$AG$17*E25</f>
        <v>117.16499999999999</v>
      </c>
      <c r="AH25" s="19">
        <f>ROUND((($A$25*INPUT!$E$97*$AH$17)+($A$25*$AH$18)),2)</f>
        <v>462.01</v>
      </c>
      <c r="AI25" s="19"/>
      <c r="AJ25" s="19">
        <f>AF25+AG25+AH25</f>
        <v>669.27</v>
      </c>
      <c r="AK25" s="84">
        <f t="shared" si="8"/>
        <v>0.46183492664591003</v>
      </c>
      <c r="AL25" s="84">
        <f t="shared" si="9"/>
        <v>-2.4820000000000002</v>
      </c>
      <c r="AM25" s="19"/>
      <c r="AN25" s="24"/>
      <c r="AO25" s="24"/>
      <c r="AP25" s="17"/>
      <c r="AQ25" s="38"/>
      <c r="AR25" s="144"/>
      <c r="AS25" s="394"/>
    </row>
    <row r="26" spans="1:45" x14ac:dyDescent="0.25">
      <c r="A26" s="1"/>
      <c r="B26" s="1"/>
      <c r="C26" s="13">
        <v>0.3</v>
      </c>
      <c r="E26" s="1">
        <f>C26*($A$25*730)</f>
        <v>10950</v>
      </c>
      <c r="F26" s="1"/>
      <c r="G26" s="28">
        <f t="shared" ref="G26" si="10">+AA26</f>
        <v>935.73050000000001</v>
      </c>
      <c r="H26" s="28">
        <f t="shared" ref="H26" si="11">+AJ26</f>
        <v>903.59999999999991</v>
      </c>
      <c r="I26" s="28">
        <f t="shared" ref="I26" si="12">AK26</f>
        <v>1.3855047799377302</v>
      </c>
      <c r="J26" s="90">
        <f t="shared" ref="J26" si="13">+H26-(I26+G26)</f>
        <v>-33.516004779937816</v>
      </c>
      <c r="K26" s="54">
        <f>ROUND(+J26/G26,4)</f>
        <v>-3.5799999999999998E-2</v>
      </c>
      <c r="L26" s="28">
        <f>ROUND($X$10*$E26,2)</f>
        <v>-14.69</v>
      </c>
      <c r="M26" s="28">
        <f>ROUND($X$11*$E26,2)</f>
        <v>4.28</v>
      </c>
      <c r="N26" s="28">
        <f>ROUND($X$12*$E26,2)</f>
        <v>14.98</v>
      </c>
      <c r="O26" s="28">
        <f t="shared" ref="O26" si="14">+G26+I26+L26+M26+N26</f>
        <v>941.68600477993766</v>
      </c>
      <c r="P26" s="28">
        <f>+H26+L26+M26+N26</f>
        <v>908.16999999999985</v>
      </c>
      <c r="Q26" s="54">
        <f>ROUND((P26-O26)/O26,4)</f>
        <v>-3.56E-2</v>
      </c>
      <c r="R26" s="28">
        <f t="shared" ref="R26" si="15">AL26</f>
        <v>-7.4460000000000006</v>
      </c>
      <c r="S26" s="90">
        <f t="shared" ref="S26" si="16">P26+R26</f>
        <v>900.72399999999982</v>
      </c>
      <c r="T26" s="91">
        <f t="shared" ref="T26" si="17">ROUND((S26-O26)/O26,4)</f>
        <v>-4.3499999999999997E-2</v>
      </c>
      <c r="U26" s="1"/>
      <c r="W26" s="7">
        <f>$W$20</f>
        <v>90.095000000000013</v>
      </c>
      <c r="X26" s="19">
        <f>$X$17*E26</f>
        <v>355.76549999999997</v>
      </c>
      <c r="Y26" s="19">
        <f>ROUND((($A$25*INPUT!$E$97*$Y$17)+($A$25*$Y$18)),2)</f>
        <v>489.87</v>
      </c>
      <c r="Z26" s="19"/>
      <c r="AA26" s="19">
        <f>W26+X26+Y26</f>
        <v>935.73050000000001</v>
      </c>
      <c r="AB26" s="24"/>
      <c r="AC26" s="24"/>
      <c r="AD26" s="19"/>
      <c r="AF26" s="333">
        <f>AF$20</f>
        <v>90.095000000000013</v>
      </c>
      <c r="AG26" s="7">
        <f>$AG$17*E26</f>
        <v>351.49499999999995</v>
      </c>
      <c r="AH26" s="19">
        <f>ROUND((($A$25*INPUT!$E$97*$AH$17)+($A$25*$AH$18)),2)</f>
        <v>462.01</v>
      </c>
      <c r="AI26" s="19"/>
      <c r="AJ26" s="19">
        <f>AF26+AG26+AH26</f>
        <v>903.59999999999991</v>
      </c>
      <c r="AK26" s="84">
        <f t="shared" ref="AK26" si="18">$AK$17*E26</f>
        <v>1.3855047799377302</v>
      </c>
      <c r="AL26" s="84">
        <f t="shared" ref="AL26" si="19">$AL$17*E26</f>
        <v>-7.4460000000000006</v>
      </c>
      <c r="AM26" s="19"/>
      <c r="AN26" s="24"/>
      <c r="AO26" s="24"/>
      <c r="AP26" s="17"/>
      <c r="AQ26" s="38"/>
      <c r="AR26" s="144"/>
      <c r="AS26" s="394"/>
    </row>
    <row r="27" spans="1:45" x14ac:dyDescent="0.25">
      <c r="C27" s="13">
        <v>0.5</v>
      </c>
      <c r="E27" s="1">
        <f>C27*($A$25*730)</f>
        <v>18250</v>
      </c>
      <c r="F27" s="1"/>
      <c r="G27" s="28">
        <f t="shared" si="0"/>
        <v>1172.9075</v>
      </c>
      <c r="H27" s="28">
        <f t="shared" si="1"/>
        <v>1137.9299999999998</v>
      </c>
      <c r="I27" s="28">
        <f t="shared" si="2"/>
        <v>2.3091746332295502</v>
      </c>
      <c r="J27" s="90">
        <f t="shared" si="3"/>
        <v>-37.286674633229723</v>
      </c>
      <c r="K27" s="54">
        <f>ROUND(+J27/G27,4)</f>
        <v>-3.1800000000000002E-2</v>
      </c>
      <c r="L27" s="28">
        <f>ROUND($X$10*$E27,2)</f>
        <v>-24.48</v>
      </c>
      <c r="M27" s="28">
        <f>ROUND($X$11*$E27,2)</f>
        <v>7.13</v>
      </c>
      <c r="N27" s="28">
        <f>ROUND($X$12*$E27,2)</f>
        <v>24.97</v>
      </c>
      <c r="O27" s="28">
        <f t="shared" si="4"/>
        <v>1182.8366746332297</v>
      </c>
      <c r="P27" s="28">
        <f>+H27+L27+M27+N27</f>
        <v>1145.55</v>
      </c>
      <c r="Q27" s="54">
        <f>ROUND((P27-O27)/O27,4)</f>
        <v>-3.15E-2</v>
      </c>
      <c r="R27" s="28">
        <f t="shared" si="5"/>
        <v>-12.41</v>
      </c>
      <c r="S27" s="90">
        <f t="shared" si="6"/>
        <v>1133.1399999999999</v>
      </c>
      <c r="T27" s="91">
        <f t="shared" si="7"/>
        <v>-4.2000000000000003E-2</v>
      </c>
      <c r="U27" s="1"/>
      <c r="W27" s="7">
        <f>$W$20</f>
        <v>90.095000000000013</v>
      </c>
      <c r="X27" s="19">
        <f>$X$17*E27</f>
        <v>592.9425</v>
      </c>
      <c r="Y27" s="19">
        <f>ROUND((($A$25*INPUT!$E$97*$Y$17)+($A$25*$Y$18)),2)</f>
        <v>489.87</v>
      </c>
      <c r="Z27" s="19"/>
      <c r="AA27" s="19">
        <f>W27+X27+Y27</f>
        <v>1172.9075</v>
      </c>
      <c r="AB27" s="24"/>
      <c r="AC27" s="24"/>
      <c r="AD27" s="19"/>
      <c r="AF27" s="333">
        <f>AF$20</f>
        <v>90.095000000000013</v>
      </c>
      <c r="AG27" s="7">
        <f>$AG$17*E27</f>
        <v>585.82499999999993</v>
      </c>
      <c r="AH27" s="19">
        <f>ROUND((($A$25*INPUT!$E$97*$AH$17)+($A$25*$AH$18)),2)</f>
        <v>462.01</v>
      </c>
      <c r="AI27" s="19"/>
      <c r="AJ27" s="19">
        <f>AF27+AG27+AH27</f>
        <v>1137.9299999999998</v>
      </c>
      <c r="AK27" s="84">
        <f t="shared" si="8"/>
        <v>2.3091746332295502</v>
      </c>
      <c r="AL27" s="84">
        <f t="shared" si="9"/>
        <v>-12.41</v>
      </c>
      <c r="AM27" s="19"/>
      <c r="AN27" s="24"/>
      <c r="AO27" s="24"/>
      <c r="AP27" s="17"/>
      <c r="AQ27" s="38"/>
      <c r="AR27" s="144"/>
      <c r="AS27" s="394"/>
    </row>
    <row r="28" spans="1:45" x14ac:dyDescent="0.25">
      <c r="C28" s="13">
        <v>0.7</v>
      </c>
      <c r="E28" s="1">
        <f>C28*($A$25*730)</f>
        <v>25550</v>
      </c>
      <c r="F28" s="1"/>
      <c r="G28" s="28">
        <f t="shared" si="0"/>
        <v>1410.0844999999999</v>
      </c>
      <c r="H28" s="28">
        <f t="shared" si="1"/>
        <v>1372.2599999999998</v>
      </c>
      <c r="I28" s="28">
        <f t="shared" si="2"/>
        <v>3.2328444865213704</v>
      </c>
      <c r="J28" s="90">
        <f t="shared" si="3"/>
        <v>-41.057344486521515</v>
      </c>
      <c r="K28" s="54">
        <f>ROUND(+J28/G28,4)</f>
        <v>-2.9100000000000001E-2</v>
      </c>
      <c r="L28" s="28">
        <f>ROUND($X$10*$E28,2)</f>
        <v>-34.270000000000003</v>
      </c>
      <c r="M28" s="28">
        <f>ROUND($X$11*$E28,2)</f>
        <v>9.98</v>
      </c>
      <c r="N28" s="28">
        <f>ROUND($X$12*$E28,2)</f>
        <v>34.96</v>
      </c>
      <c r="O28" s="28">
        <f t="shared" si="4"/>
        <v>1423.9873444865214</v>
      </c>
      <c r="P28" s="28">
        <f>+H28+L28+M28+N28</f>
        <v>1382.9299999999998</v>
      </c>
      <c r="Q28" s="54">
        <f>ROUND((P28-O28)/O28,4)</f>
        <v>-2.8799999999999999E-2</v>
      </c>
      <c r="R28" s="28">
        <f t="shared" si="5"/>
        <v>-17.374000000000002</v>
      </c>
      <c r="S28" s="90">
        <f t="shared" si="6"/>
        <v>1365.5559999999998</v>
      </c>
      <c r="T28" s="91">
        <f t="shared" si="7"/>
        <v>-4.1000000000000002E-2</v>
      </c>
      <c r="U28" s="1"/>
      <c r="W28" s="7">
        <f>$W$20</f>
        <v>90.095000000000013</v>
      </c>
      <c r="X28" s="19">
        <f>$X$17*E28</f>
        <v>830.1194999999999</v>
      </c>
      <c r="Y28" s="19">
        <f>ROUND((($A$25*INPUT!$E$97*$Y$17)+($A$25*$Y$18)),2)</f>
        <v>489.87</v>
      </c>
      <c r="Z28" s="19"/>
      <c r="AA28" s="19">
        <f>W28+X28+Y28</f>
        <v>1410.0844999999999</v>
      </c>
      <c r="AB28" s="24"/>
      <c r="AC28" s="24"/>
      <c r="AD28" s="19"/>
      <c r="AF28" s="333">
        <f>AF$20</f>
        <v>90.095000000000013</v>
      </c>
      <c r="AG28" s="7">
        <f>$AG$17*E28</f>
        <v>820.15499999999986</v>
      </c>
      <c r="AH28" s="19">
        <f>ROUND((($A$25*INPUT!$E$97*$AH$17)+($A$25*$AH$18)),2)</f>
        <v>462.01</v>
      </c>
      <c r="AI28" s="19"/>
      <c r="AJ28" s="19">
        <f>AF28+AG28+AH28</f>
        <v>1372.2599999999998</v>
      </c>
      <c r="AK28" s="84">
        <f t="shared" si="8"/>
        <v>3.2328444865213704</v>
      </c>
      <c r="AL28" s="84">
        <f t="shared" si="9"/>
        <v>-17.374000000000002</v>
      </c>
      <c r="AM28" s="19"/>
      <c r="AN28" s="24"/>
      <c r="AO28" s="24"/>
      <c r="AP28" s="17"/>
      <c r="AQ28" s="38"/>
      <c r="AR28" s="17"/>
      <c r="AS28" s="394"/>
    </row>
    <row r="29" spans="1:45" x14ac:dyDescent="0.25">
      <c r="C29" s="13"/>
      <c r="E29" s="1"/>
      <c r="F29" s="1"/>
      <c r="G29" s="1"/>
      <c r="H29" s="1"/>
      <c r="I29" s="1"/>
      <c r="J29" s="90"/>
      <c r="K29" s="5"/>
      <c r="L29" s="1"/>
      <c r="M29" s="1"/>
      <c r="N29" s="1"/>
      <c r="O29" s="28"/>
      <c r="Q29" s="54"/>
      <c r="R29" s="1"/>
      <c r="S29" s="90"/>
      <c r="T29" s="91"/>
      <c r="U29" s="1"/>
      <c r="W29" s="7"/>
      <c r="X29" s="19"/>
      <c r="Y29" s="19"/>
      <c r="Z29" s="19"/>
      <c r="AA29" s="19"/>
      <c r="AB29" s="24"/>
      <c r="AC29" s="24"/>
      <c r="AF29" s="333"/>
      <c r="AG29" s="7"/>
      <c r="AH29" s="19"/>
      <c r="AI29" s="19"/>
      <c r="AJ29" s="19"/>
      <c r="AK29" s="84"/>
      <c r="AL29" s="84"/>
      <c r="AM29" s="19"/>
      <c r="AN29" s="24"/>
      <c r="AO29" s="17"/>
      <c r="AP29" s="17"/>
      <c r="AQ29" s="84"/>
      <c r="AR29" s="17"/>
      <c r="AS29" s="84"/>
    </row>
    <row r="30" spans="1:45" x14ac:dyDescent="0.25">
      <c r="A30" s="1">
        <v>100</v>
      </c>
      <c r="B30" s="1"/>
      <c r="C30" s="13">
        <v>0.1</v>
      </c>
      <c r="E30" s="1">
        <f>C30*($A$30*730)</f>
        <v>7300</v>
      </c>
      <c r="F30" s="1"/>
      <c r="G30" s="28">
        <f t="shared" si="0"/>
        <v>1307.0219999999999</v>
      </c>
      <c r="H30" s="28">
        <f t="shared" si="1"/>
        <v>1248.4349999999999</v>
      </c>
      <c r="I30" s="28">
        <f t="shared" si="2"/>
        <v>0.92366985329182005</v>
      </c>
      <c r="J30" s="90">
        <f t="shared" si="3"/>
        <v>-59.510669853291802</v>
      </c>
      <c r="K30" s="54">
        <f>ROUND(+J30/G30,4)</f>
        <v>-4.5499999999999999E-2</v>
      </c>
      <c r="L30" s="28">
        <f>ROUND($X$10*$E30,2)</f>
        <v>-9.7899999999999991</v>
      </c>
      <c r="M30" s="28">
        <f>ROUND($X$11*$E30,2)</f>
        <v>2.85</v>
      </c>
      <c r="N30" s="28">
        <f>ROUND($X$12*$E30,2)</f>
        <v>9.99</v>
      </c>
      <c r="O30" s="28">
        <f t="shared" si="4"/>
        <v>1310.9956698532917</v>
      </c>
      <c r="P30" s="28">
        <f>+H30+L30+M30+N30</f>
        <v>1251.4849999999999</v>
      </c>
      <c r="Q30" s="54">
        <f>ROUND((P30-O30)/O30,4)</f>
        <v>-4.5400000000000003E-2</v>
      </c>
      <c r="R30" s="28">
        <f t="shared" si="5"/>
        <v>-4.9640000000000004</v>
      </c>
      <c r="S30" s="90">
        <f t="shared" si="6"/>
        <v>1246.521</v>
      </c>
      <c r="T30" s="91">
        <f t="shared" si="7"/>
        <v>-4.9200000000000001E-2</v>
      </c>
      <c r="U30" s="1"/>
      <c r="W30" s="7">
        <f>$W$20</f>
        <v>90.095000000000013</v>
      </c>
      <c r="X30" s="19">
        <f>$X$17*E30</f>
        <v>237.17699999999999</v>
      </c>
      <c r="Y30" s="19">
        <f>ROUND((($A$30*INPUT!$E$97*$Y$17)+($A$30*$Y$18)),2)</f>
        <v>979.75</v>
      </c>
      <c r="Z30" s="19"/>
      <c r="AA30" s="19">
        <f>W30+X30+Y30</f>
        <v>1307.0219999999999</v>
      </c>
      <c r="AB30" s="24"/>
      <c r="AC30" s="24"/>
      <c r="AD30" s="19"/>
      <c r="AF30" s="333">
        <f>AF$20</f>
        <v>90.095000000000013</v>
      </c>
      <c r="AG30" s="7">
        <f>$AG$17*E30</f>
        <v>234.32999999999998</v>
      </c>
      <c r="AH30" s="19">
        <f>ROUND((($A$30*INPUT!$E$97*$AH$17)+($A$30*$AH$18)),2)</f>
        <v>924.01</v>
      </c>
      <c r="AI30" s="19"/>
      <c r="AJ30" s="19">
        <f>AF30+AG30+AH30</f>
        <v>1248.4349999999999</v>
      </c>
      <c r="AK30" s="84">
        <f t="shared" si="8"/>
        <v>0.92366985329182005</v>
      </c>
      <c r="AL30" s="84">
        <f t="shared" si="9"/>
        <v>-4.9640000000000004</v>
      </c>
      <c r="AM30" s="19"/>
      <c r="AN30" s="24"/>
      <c r="AO30" s="24"/>
      <c r="AP30" s="17"/>
      <c r="AQ30" s="38"/>
      <c r="AR30" s="17"/>
      <c r="AS30" s="394"/>
    </row>
    <row r="31" spans="1:45" x14ac:dyDescent="0.25">
      <c r="A31" s="1"/>
      <c r="B31" s="1"/>
      <c r="C31" s="13">
        <v>0.3</v>
      </c>
      <c r="E31" s="1">
        <f>C31*($A$30*730)</f>
        <v>21900</v>
      </c>
      <c r="F31" s="1"/>
      <c r="G31" s="28">
        <f t="shared" ref="G31" si="20">+AA31</f>
        <v>1781.376</v>
      </c>
      <c r="H31" s="28">
        <f t="shared" ref="H31" si="21">+AJ31</f>
        <v>1717.0949999999998</v>
      </c>
      <c r="I31" s="28">
        <f t="shared" ref="I31" si="22">AK31</f>
        <v>2.7710095598754605</v>
      </c>
      <c r="J31" s="90">
        <f t="shared" ref="J31" si="23">+H31-(I31+G31)</f>
        <v>-67.052009559875614</v>
      </c>
      <c r="K31" s="54">
        <f>ROUND(+J31/G31,4)</f>
        <v>-3.7600000000000001E-2</v>
      </c>
      <c r="L31" s="28">
        <f>ROUND($X$10*$E31,2)</f>
        <v>-29.37</v>
      </c>
      <c r="M31" s="28">
        <f>ROUND($X$11*$E31,2)</f>
        <v>8.56</v>
      </c>
      <c r="N31" s="28">
        <f>ROUND($X$12*$E31,2)</f>
        <v>29.97</v>
      </c>
      <c r="O31" s="28">
        <f t="shared" ref="O31" si="24">+G31+I31+L31+M31+N31</f>
        <v>1793.3070095598755</v>
      </c>
      <c r="P31" s="28">
        <f>+H31+L31+M31+N31</f>
        <v>1726.2549999999999</v>
      </c>
      <c r="Q31" s="54">
        <f>ROUND((P31-O31)/O31,4)</f>
        <v>-3.7400000000000003E-2</v>
      </c>
      <c r="R31" s="28">
        <f t="shared" ref="R31" si="25">AL31</f>
        <v>-14.892000000000001</v>
      </c>
      <c r="S31" s="90">
        <f t="shared" ref="S31" si="26">P31+R31</f>
        <v>1711.3629999999998</v>
      </c>
      <c r="T31" s="91">
        <f t="shared" ref="T31" si="27">ROUND((S31-O31)/O31,4)</f>
        <v>-4.5699999999999998E-2</v>
      </c>
      <c r="U31" s="1"/>
      <c r="W31" s="7">
        <f>$W$20</f>
        <v>90.095000000000013</v>
      </c>
      <c r="X31" s="19">
        <f>$X$17*E31</f>
        <v>711.53099999999995</v>
      </c>
      <c r="Y31" s="19">
        <f>ROUND((($A$30*INPUT!$E$97*$Y$17)+($A$30*$Y$18)),2)</f>
        <v>979.75</v>
      </c>
      <c r="Z31" s="19"/>
      <c r="AA31" s="19">
        <f>W31+X31+Y31</f>
        <v>1781.376</v>
      </c>
      <c r="AB31" s="24"/>
      <c r="AC31" s="24"/>
      <c r="AD31" s="19"/>
      <c r="AF31" s="333">
        <f>AF$20</f>
        <v>90.095000000000013</v>
      </c>
      <c r="AG31" s="7">
        <f>$AG$17*E31</f>
        <v>702.9899999999999</v>
      </c>
      <c r="AH31" s="19">
        <f>ROUND((($A$30*INPUT!$E$97*$AH$17)+($A$30*$AH$18)),2)</f>
        <v>924.01</v>
      </c>
      <c r="AI31" s="19"/>
      <c r="AJ31" s="19">
        <f>AF31+AG31+AH31</f>
        <v>1717.0949999999998</v>
      </c>
      <c r="AK31" s="84">
        <f t="shared" ref="AK31" si="28">$AK$17*E31</f>
        <v>2.7710095598754605</v>
      </c>
      <c r="AL31" s="84">
        <f t="shared" ref="AL31" si="29">$AL$17*E31</f>
        <v>-14.892000000000001</v>
      </c>
      <c r="AM31" s="19"/>
      <c r="AN31" s="24"/>
      <c r="AO31" s="24"/>
      <c r="AP31" s="17"/>
      <c r="AQ31" s="38"/>
      <c r="AR31" s="17"/>
      <c r="AS31" s="394"/>
    </row>
    <row r="32" spans="1:45" x14ac:dyDescent="0.25">
      <c r="C32" s="13">
        <v>0.5</v>
      </c>
      <c r="E32" s="1">
        <f>C32*($A$30*730)</f>
        <v>36500</v>
      </c>
      <c r="F32" s="1"/>
      <c r="G32" s="28">
        <f t="shared" si="0"/>
        <v>2255.73</v>
      </c>
      <c r="H32" s="28">
        <f t="shared" si="1"/>
        <v>2185.7550000000001</v>
      </c>
      <c r="I32" s="28">
        <f t="shared" si="2"/>
        <v>4.6183492664591004</v>
      </c>
      <c r="J32" s="90">
        <f t="shared" si="3"/>
        <v>-74.593349266458972</v>
      </c>
      <c r="K32" s="54">
        <f>ROUND(+J32/G32,4)</f>
        <v>-3.3099999999999997E-2</v>
      </c>
      <c r="L32" s="28">
        <f>ROUND($X$10*$E32,2)</f>
        <v>-48.96</v>
      </c>
      <c r="M32" s="28">
        <f>ROUND($X$11*$E32,2)</f>
        <v>14.26</v>
      </c>
      <c r="N32" s="28">
        <f>ROUND($X$12*$E32,2)</f>
        <v>49.95</v>
      </c>
      <c r="O32" s="28">
        <f t="shared" si="4"/>
        <v>2275.5983492664591</v>
      </c>
      <c r="P32" s="28">
        <f>+H32+L32+M32+N32</f>
        <v>2201.0050000000001</v>
      </c>
      <c r="Q32" s="54">
        <f>ROUND((P32-O32)/O32,4)</f>
        <v>-3.2800000000000003E-2</v>
      </c>
      <c r="R32" s="28">
        <f t="shared" si="5"/>
        <v>-24.82</v>
      </c>
      <c r="S32" s="90">
        <f t="shared" si="6"/>
        <v>2176.1849999999999</v>
      </c>
      <c r="T32" s="91">
        <f t="shared" si="7"/>
        <v>-4.3700000000000003E-2</v>
      </c>
      <c r="U32" s="1"/>
      <c r="W32" s="7">
        <f>$W$20</f>
        <v>90.095000000000013</v>
      </c>
      <c r="X32" s="19">
        <f>$X$17*E32</f>
        <v>1185.885</v>
      </c>
      <c r="Y32" s="19">
        <f>ROUND((($A$30*INPUT!$E$97*$Y$17)+($A$30*$Y$18)),2)</f>
        <v>979.75</v>
      </c>
      <c r="Z32" s="19"/>
      <c r="AA32" s="19">
        <f>W32+X32+Y32</f>
        <v>2255.73</v>
      </c>
      <c r="AB32" s="24"/>
      <c r="AC32" s="24"/>
      <c r="AD32" s="19"/>
      <c r="AF32" s="333">
        <f>AF$20</f>
        <v>90.095000000000013</v>
      </c>
      <c r="AG32" s="7">
        <f>$AG$17*E32</f>
        <v>1171.6499999999999</v>
      </c>
      <c r="AH32" s="19">
        <f>ROUND((($A$30*INPUT!$E$97*$AH$17)+($A$30*$AH$18)),2)</f>
        <v>924.01</v>
      </c>
      <c r="AI32" s="19"/>
      <c r="AJ32" s="19">
        <f>AF32+AG32+AH32</f>
        <v>2185.7550000000001</v>
      </c>
      <c r="AK32" s="84">
        <f t="shared" si="8"/>
        <v>4.6183492664591004</v>
      </c>
      <c r="AL32" s="84">
        <f t="shared" si="9"/>
        <v>-24.82</v>
      </c>
      <c r="AM32" s="19"/>
      <c r="AN32" s="24"/>
      <c r="AO32" s="24"/>
      <c r="AP32" s="17"/>
      <c r="AQ32" s="38"/>
      <c r="AR32" s="17"/>
      <c r="AS32" s="394"/>
    </row>
    <row r="33" spans="1:45" x14ac:dyDescent="0.25">
      <c r="C33" s="13">
        <v>0.7</v>
      </c>
      <c r="E33" s="1">
        <f>C33*($A$30*730)</f>
        <v>51100</v>
      </c>
      <c r="F33" s="1"/>
      <c r="G33" s="28">
        <f t="shared" si="0"/>
        <v>2730.0839999999998</v>
      </c>
      <c r="H33" s="28">
        <f t="shared" si="1"/>
        <v>2654.415</v>
      </c>
      <c r="I33" s="28">
        <f t="shared" si="2"/>
        <v>6.4656889730427407</v>
      </c>
      <c r="J33" s="90">
        <f t="shared" si="3"/>
        <v>-82.134688973042557</v>
      </c>
      <c r="K33" s="54">
        <f>ROUND(+J33/G33,4)</f>
        <v>-3.0099999999999998E-2</v>
      </c>
      <c r="L33" s="28">
        <f>ROUND($X$10*$E33,2)</f>
        <v>-68.540000000000006</v>
      </c>
      <c r="M33" s="28">
        <f>ROUND($X$11*$E33,2)</f>
        <v>19.96</v>
      </c>
      <c r="N33" s="28">
        <f>ROUND($X$12*$E33,2)</f>
        <v>69.92</v>
      </c>
      <c r="O33" s="28">
        <f t="shared" si="4"/>
        <v>2757.8896889730427</v>
      </c>
      <c r="P33" s="28">
        <f>+H33+L33+M33+N33</f>
        <v>2675.7550000000001</v>
      </c>
      <c r="Q33" s="54">
        <f>ROUND((P33-O33)/O33,4)</f>
        <v>-2.98E-2</v>
      </c>
      <c r="R33" s="28">
        <f t="shared" si="5"/>
        <v>-34.748000000000005</v>
      </c>
      <c r="S33" s="90">
        <f t="shared" si="6"/>
        <v>2641.0070000000001</v>
      </c>
      <c r="T33" s="91">
        <f t="shared" si="7"/>
        <v>-4.24E-2</v>
      </c>
      <c r="U33" s="1"/>
      <c r="W33" s="7">
        <f>$W$20</f>
        <v>90.095000000000013</v>
      </c>
      <c r="X33" s="19">
        <f>$X$17*E33</f>
        <v>1660.2389999999998</v>
      </c>
      <c r="Y33" s="19">
        <f>ROUND((($A$30*INPUT!$E$97*$Y$17)+($A$30*$Y$18)),2)</f>
        <v>979.75</v>
      </c>
      <c r="Z33" s="19"/>
      <c r="AA33" s="19">
        <f>W33+X33+Y33</f>
        <v>2730.0839999999998</v>
      </c>
      <c r="AB33" s="24"/>
      <c r="AC33" s="24"/>
      <c r="AD33" s="19"/>
      <c r="AF33" s="333">
        <f>AF$20</f>
        <v>90.095000000000013</v>
      </c>
      <c r="AG33" s="7">
        <f>$AG$17*E33</f>
        <v>1640.3099999999997</v>
      </c>
      <c r="AH33" s="19">
        <f>ROUND((($A$30*INPUT!$E$97*$AH$17)+($A$30*$AH$18)),2)</f>
        <v>924.01</v>
      </c>
      <c r="AI33" s="19"/>
      <c r="AJ33" s="19">
        <f>AF33+AG33+AH33</f>
        <v>2654.415</v>
      </c>
      <c r="AK33" s="84">
        <f t="shared" si="8"/>
        <v>6.4656889730427407</v>
      </c>
      <c r="AL33" s="84">
        <f t="shared" si="9"/>
        <v>-34.748000000000005</v>
      </c>
      <c r="AM33" s="19"/>
      <c r="AN33" s="24"/>
      <c r="AO33" s="24"/>
      <c r="AP33" s="17"/>
      <c r="AQ33" s="38"/>
      <c r="AR33" s="17"/>
      <c r="AS33" s="394"/>
    </row>
    <row r="34" spans="1:45" x14ac:dyDescent="0.25">
      <c r="C34" s="13"/>
      <c r="E34" s="1"/>
      <c r="F34" s="1"/>
      <c r="G34" s="1"/>
      <c r="H34" s="1"/>
      <c r="I34" s="1"/>
      <c r="J34" s="90"/>
      <c r="K34" s="5"/>
      <c r="L34" s="1"/>
      <c r="M34" s="1"/>
      <c r="N34" s="1"/>
      <c r="O34" s="28"/>
      <c r="Q34" s="54"/>
      <c r="R34" s="1"/>
      <c r="S34" s="90"/>
      <c r="T34" s="91"/>
      <c r="U34" s="1"/>
      <c r="W34" s="7"/>
      <c r="X34" s="19"/>
      <c r="Y34" s="19"/>
      <c r="Z34" s="19"/>
      <c r="AA34" s="19"/>
      <c r="AB34" s="24"/>
      <c r="AC34" s="24"/>
      <c r="AF34" s="333"/>
      <c r="AG34" s="7"/>
      <c r="AH34" s="19"/>
      <c r="AI34" s="19"/>
      <c r="AJ34" s="19"/>
      <c r="AK34" s="84"/>
      <c r="AL34" s="84"/>
      <c r="AM34" s="19"/>
      <c r="AN34" s="24"/>
      <c r="AO34" s="17"/>
      <c r="AP34" s="17"/>
      <c r="AQ34" s="84"/>
      <c r="AR34" s="17"/>
      <c r="AS34" s="84"/>
    </row>
    <row r="35" spans="1:45" x14ac:dyDescent="0.25">
      <c r="A35" s="1">
        <v>150</v>
      </c>
      <c r="B35" s="1"/>
      <c r="C35" s="13">
        <v>0.1</v>
      </c>
      <c r="E35" s="1">
        <f>C35*($A$35*730)</f>
        <v>10950</v>
      </c>
      <c r="F35" s="1"/>
      <c r="G35" s="28">
        <f t="shared" si="0"/>
        <v>1915.4804999999999</v>
      </c>
      <c r="H35" s="28">
        <f t="shared" si="1"/>
        <v>1827.61</v>
      </c>
      <c r="I35" s="28">
        <f t="shared" si="2"/>
        <v>1.3855047799377302</v>
      </c>
      <c r="J35" s="90">
        <f t="shared" si="3"/>
        <v>-89.256004779937712</v>
      </c>
      <c r="K35" s="54">
        <f>ROUND(+J35/G35,4)</f>
        <v>-4.6600000000000003E-2</v>
      </c>
      <c r="L35" s="28">
        <f>ROUND($X$10*$E35,2)</f>
        <v>-14.69</v>
      </c>
      <c r="M35" s="28">
        <f>ROUND($X$11*$E35,2)</f>
        <v>4.28</v>
      </c>
      <c r="N35" s="28">
        <f>ROUND($X$12*$E35,2)</f>
        <v>14.98</v>
      </c>
      <c r="O35" s="28">
        <f t="shared" si="4"/>
        <v>1921.4360047799375</v>
      </c>
      <c r="P35" s="28">
        <f>+H35+L35+M35+N35</f>
        <v>1832.1799999999998</v>
      </c>
      <c r="Q35" s="54">
        <f>ROUND((P35-O35)/O35,4)</f>
        <v>-4.65E-2</v>
      </c>
      <c r="R35" s="28">
        <f t="shared" si="5"/>
        <v>-7.4460000000000006</v>
      </c>
      <c r="S35" s="90">
        <f t="shared" si="6"/>
        <v>1824.7339999999999</v>
      </c>
      <c r="T35" s="91">
        <f t="shared" si="7"/>
        <v>-5.0299999999999997E-2</v>
      </c>
      <c r="U35" s="1"/>
      <c r="W35" s="7">
        <f>$W$20</f>
        <v>90.095000000000013</v>
      </c>
      <c r="X35" s="19">
        <f>$X$17*E35</f>
        <v>355.76549999999997</v>
      </c>
      <c r="Y35" s="19">
        <f>ROUND((($A$35*INPUT!$E$97*$Y$17)+($A$35*$Y$18)),2)</f>
        <v>1469.62</v>
      </c>
      <c r="Z35" s="19"/>
      <c r="AA35" s="19">
        <f>W35+X35+Y35</f>
        <v>1915.4804999999999</v>
      </c>
      <c r="AB35" s="24"/>
      <c r="AC35" s="24"/>
      <c r="AD35" s="19"/>
      <c r="AF35" s="333">
        <f>AF$20</f>
        <v>90.095000000000013</v>
      </c>
      <c r="AG35" s="7">
        <f>$AG$17*E35</f>
        <v>351.49499999999995</v>
      </c>
      <c r="AH35" s="19">
        <f>ROUND((($A$35*INPUT!$E$97*$AH$17)+($A$35*$AH$18)),2)</f>
        <v>1386.02</v>
      </c>
      <c r="AI35" s="19"/>
      <c r="AJ35" s="19">
        <f>AF35+AG35+AH35</f>
        <v>1827.61</v>
      </c>
      <c r="AK35" s="84">
        <f t="shared" si="8"/>
        <v>1.3855047799377302</v>
      </c>
      <c r="AL35" s="84">
        <f t="shared" si="9"/>
        <v>-7.4460000000000006</v>
      </c>
      <c r="AM35" s="19"/>
      <c r="AN35" s="24"/>
      <c r="AO35" s="24"/>
      <c r="AP35" s="17"/>
      <c r="AQ35" s="38"/>
      <c r="AR35" s="17"/>
      <c r="AS35" s="394"/>
    </row>
    <row r="36" spans="1:45" x14ac:dyDescent="0.25">
      <c r="A36" s="1"/>
      <c r="B36" s="1"/>
      <c r="C36" s="13">
        <v>0.3</v>
      </c>
      <c r="E36" s="1">
        <f>C36*($A$35*730)</f>
        <v>32850</v>
      </c>
      <c r="F36" s="1"/>
      <c r="G36" s="28">
        <f t="shared" ref="G36" si="30">+AA36</f>
        <v>2627.0114999999996</v>
      </c>
      <c r="H36" s="28">
        <f t="shared" ref="H36" si="31">+AJ36</f>
        <v>2530.6</v>
      </c>
      <c r="I36" s="28">
        <f t="shared" ref="I36" si="32">AK36</f>
        <v>4.1565143398131905</v>
      </c>
      <c r="J36" s="90">
        <f t="shared" ref="J36" si="33">+H36-(I36+G36)</f>
        <v>-100.56801433981309</v>
      </c>
      <c r="K36" s="54">
        <f>ROUND(+J36/G36,4)</f>
        <v>-3.8300000000000001E-2</v>
      </c>
      <c r="L36" s="28">
        <f>ROUND($X$10*$E36,2)</f>
        <v>-44.06</v>
      </c>
      <c r="M36" s="28">
        <f>ROUND($X$11*$E36,2)</f>
        <v>12.83</v>
      </c>
      <c r="N36" s="28">
        <f>ROUND($X$12*$E36,2)</f>
        <v>44.95</v>
      </c>
      <c r="O36" s="28">
        <f t="shared" ref="O36" si="34">+G36+I36+L36+M36+N36</f>
        <v>2644.8880143398128</v>
      </c>
      <c r="P36" s="28">
        <f>+H36+L36+M36+N36</f>
        <v>2544.3199999999997</v>
      </c>
      <c r="Q36" s="54">
        <f>ROUND((P36-O36)/O36,4)</f>
        <v>-3.7999999999999999E-2</v>
      </c>
      <c r="R36" s="28">
        <f t="shared" ref="R36" si="35">AL36</f>
        <v>-22.338000000000001</v>
      </c>
      <c r="S36" s="90">
        <f t="shared" ref="S36" si="36">P36+R36</f>
        <v>2521.9819999999995</v>
      </c>
      <c r="T36" s="91">
        <f t="shared" ref="T36" si="37">ROUND((S36-O36)/O36,4)</f>
        <v>-4.65E-2</v>
      </c>
      <c r="U36" s="1"/>
      <c r="W36" s="7">
        <f>$W$20</f>
        <v>90.095000000000013</v>
      </c>
      <c r="X36" s="19">
        <f>$X$17*E36</f>
        <v>1067.2964999999999</v>
      </c>
      <c r="Y36" s="19">
        <f>ROUND((($A$35*INPUT!$E$97*$Y$17)+($A$35*$Y$18)),2)</f>
        <v>1469.62</v>
      </c>
      <c r="Z36" s="19"/>
      <c r="AA36" s="19">
        <f>W36+X36+Y36</f>
        <v>2627.0114999999996</v>
      </c>
      <c r="AB36" s="24"/>
      <c r="AC36" s="24"/>
      <c r="AD36" s="19"/>
      <c r="AF36" s="333">
        <f>AF$20</f>
        <v>90.095000000000013</v>
      </c>
      <c r="AG36" s="7">
        <f>$AG$17*E36</f>
        <v>1054.4849999999999</v>
      </c>
      <c r="AH36" s="19">
        <f>ROUND((($A$35*INPUT!$E$97*$AH$17)+($A$35*$AH$18)),2)</f>
        <v>1386.02</v>
      </c>
      <c r="AI36" s="19"/>
      <c r="AJ36" s="19">
        <f>AF36+AG36+AH36</f>
        <v>2530.6</v>
      </c>
      <c r="AK36" s="84">
        <f t="shared" ref="AK36" si="38">$AK$17*E36</f>
        <v>4.1565143398131905</v>
      </c>
      <c r="AL36" s="84">
        <f t="shared" ref="AL36" si="39">$AL$17*E36</f>
        <v>-22.338000000000001</v>
      </c>
      <c r="AM36" s="19"/>
      <c r="AN36" s="24"/>
      <c r="AO36" s="24"/>
      <c r="AP36" s="17"/>
      <c r="AQ36" s="38"/>
      <c r="AR36" s="17"/>
      <c r="AS36" s="394"/>
    </row>
    <row r="37" spans="1:45" x14ac:dyDescent="0.25">
      <c r="C37" s="13">
        <v>0.5</v>
      </c>
      <c r="E37" s="1">
        <f>C37*($A$35*730)</f>
        <v>54750</v>
      </c>
      <c r="F37" s="1"/>
      <c r="G37" s="28">
        <f t="shared" si="0"/>
        <v>3338.5424999999996</v>
      </c>
      <c r="H37" s="28">
        <f t="shared" si="1"/>
        <v>3233.59</v>
      </c>
      <c r="I37" s="28">
        <f t="shared" si="2"/>
        <v>6.9275238996886506</v>
      </c>
      <c r="J37" s="90">
        <f t="shared" si="3"/>
        <v>-111.88002389968824</v>
      </c>
      <c r="K37" s="54">
        <f>ROUND(+J37/G37,4)</f>
        <v>-3.3500000000000002E-2</v>
      </c>
      <c r="L37" s="28">
        <f>ROUND($X$10*$E37,2)</f>
        <v>-73.44</v>
      </c>
      <c r="M37" s="28">
        <f>ROUND($X$11*$E37,2)</f>
        <v>21.39</v>
      </c>
      <c r="N37" s="28">
        <f>ROUND($X$12*$E37,2)</f>
        <v>74.92</v>
      </c>
      <c r="O37" s="28">
        <f t="shared" si="4"/>
        <v>3368.3400238996883</v>
      </c>
      <c r="P37" s="28">
        <f>+H37+L37+M37+N37</f>
        <v>3256.46</v>
      </c>
      <c r="Q37" s="54">
        <f>ROUND((P37-O37)/O37,4)</f>
        <v>-3.32E-2</v>
      </c>
      <c r="R37" s="28">
        <f t="shared" si="5"/>
        <v>-37.230000000000004</v>
      </c>
      <c r="S37" s="90">
        <f t="shared" si="6"/>
        <v>3219.23</v>
      </c>
      <c r="T37" s="91">
        <f t="shared" si="7"/>
        <v>-4.4299999999999999E-2</v>
      </c>
      <c r="U37" s="1"/>
      <c r="W37" s="7">
        <f>$W$20</f>
        <v>90.095000000000013</v>
      </c>
      <c r="X37" s="19">
        <f>$X$17*E37</f>
        <v>1778.8274999999999</v>
      </c>
      <c r="Y37" s="19">
        <f>ROUND((($A$35*INPUT!$E$97*$Y$17)+($A$35*$Y$18)),2)</f>
        <v>1469.62</v>
      </c>
      <c r="Z37" s="19"/>
      <c r="AA37" s="19">
        <f>W37+X37+Y37</f>
        <v>3338.5424999999996</v>
      </c>
      <c r="AB37" s="24"/>
      <c r="AC37" s="24"/>
      <c r="AD37" s="19"/>
      <c r="AF37" s="333">
        <f>AF$20</f>
        <v>90.095000000000013</v>
      </c>
      <c r="AG37" s="7">
        <f>$AG$17*E37</f>
        <v>1757.4749999999999</v>
      </c>
      <c r="AH37" s="19">
        <f>ROUND((($A$35*INPUT!$E$97*$AH$17)+($A$35*$AH$18)),2)</f>
        <v>1386.02</v>
      </c>
      <c r="AI37" s="19"/>
      <c r="AJ37" s="19">
        <f>AF37+AG37+AH37</f>
        <v>3233.59</v>
      </c>
      <c r="AK37" s="84">
        <f t="shared" si="8"/>
        <v>6.9275238996886506</v>
      </c>
      <c r="AL37" s="84">
        <f t="shared" si="9"/>
        <v>-37.230000000000004</v>
      </c>
      <c r="AM37" s="19"/>
      <c r="AN37" s="24"/>
      <c r="AO37" s="24"/>
      <c r="AP37" s="17"/>
      <c r="AQ37" s="38"/>
      <c r="AR37" s="17"/>
      <c r="AS37" s="394"/>
    </row>
    <row r="38" spans="1:45" x14ac:dyDescent="0.25">
      <c r="C38" s="13">
        <v>0.7</v>
      </c>
      <c r="E38" s="1">
        <f>C38*($A$35*730)</f>
        <v>76650</v>
      </c>
      <c r="F38" s="1"/>
      <c r="G38" s="28">
        <f t="shared" si="0"/>
        <v>4050.0734999999995</v>
      </c>
      <c r="H38" s="28">
        <f t="shared" si="1"/>
        <v>3936.5799999999995</v>
      </c>
      <c r="I38" s="28">
        <f t="shared" si="2"/>
        <v>9.6985334595641106</v>
      </c>
      <c r="J38" s="90">
        <f t="shared" si="3"/>
        <v>-123.1920334595643</v>
      </c>
      <c r="K38" s="54">
        <f>ROUND(+J38/G38,4)</f>
        <v>-3.04E-2</v>
      </c>
      <c r="L38" s="28">
        <f>ROUND($X$10*$E38,2)</f>
        <v>-102.81</v>
      </c>
      <c r="M38" s="28">
        <f>ROUND($X$11*$E38,2)</f>
        <v>29.95</v>
      </c>
      <c r="N38" s="28">
        <f>ROUND($X$12*$E38,2)</f>
        <v>104.89</v>
      </c>
      <c r="O38" s="28">
        <f t="shared" si="4"/>
        <v>4091.8020334595635</v>
      </c>
      <c r="P38" s="28">
        <f>+H38+L38+M38+N38</f>
        <v>3968.6099999999992</v>
      </c>
      <c r="Q38" s="54">
        <f>ROUND((P38-O38)/O38,4)</f>
        <v>-3.0099999999999998E-2</v>
      </c>
      <c r="R38" s="28">
        <f t="shared" si="5"/>
        <v>-52.122000000000007</v>
      </c>
      <c r="S38" s="90">
        <f t="shared" si="6"/>
        <v>3916.4879999999994</v>
      </c>
      <c r="T38" s="91">
        <f t="shared" si="7"/>
        <v>-4.2799999999999998E-2</v>
      </c>
      <c r="U38" s="1"/>
      <c r="W38" s="7">
        <f>$W$20</f>
        <v>90.095000000000013</v>
      </c>
      <c r="X38" s="19">
        <f>$X$17*E38</f>
        <v>2490.3584999999998</v>
      </c>
      <c r="Y38" s="19">
        <f>ROUND((($A$35*INPUT!$E$97*$Y$17)+($A$35*$Y$18)),2)</f>
        <v>1469.62</v>
      </c>
      <c r="Z38" s="19"/>
      <c r="AA38" s="19">
        <f>W38+X38+Y38</f>
        <v>4050.0734999999995</v>
      </c>
      <c r="AB38" s="24"/>
      <c r="AC38" s="24"/>
      <c r="AD38" s="19"/>
      <c r="AF38" s="333">
        <f>AF$20</f>
        <v>90.095000000000013</v>
      </c>
      <c r="AG38" s="7">
        <f>$AG$17*E38</f>
        <v>2460.4649999999997</v>
      </c>
      <c r="AH38" s="19">
        <f>ROUND((($A$35*INPUT!$E$97*$AH$17)+($A$35*$AH$18)),2)</f>
        <v>1386.02</v>
      </c>
      <c r="AI38" s="19"/>
      <c r="AJ38" s="19">
        <f>AF38+AG38+AH38</f>
        <v>3936.5799999999995</v>
      </c>
      <c r="AK38" s="84">
        <f t="shared" si="8"/>
        <v>9.6985334595641106</v>
      </c>
      <c r="AL38" s="84">
        <f t="shared" si="9"/>
        <v>-52.122000000000007</v>
      </c>
      <c r="AM38" s="19"/>
      <c r="AN38" s="24"/>
      <c r="AO38" s="24"/>
      <c r="AP38" s="17"/>
      <c r="AQ38" s="38"/>
      <c r="AR38" s="17"/>
      <c r="AS38" s="394"/>
    </row>
    <row r="39" spans="1:45" x14ac:dyDescent="0.25">
      <c r="C39" s="13"/>
      <c r="E39" s="1"/>
      <c r="F39" s="1"/>
      <c r="G39" s="1"/>
      <c r="H39" s="1"/>
      <c r="I39" s="1"/>
      <c r="J39" s="90"/>
      <c r="K39" s="5"/>
      <c r="L39" s="1"/>
      <c r="M39" s="1"/>
      <c r="N39" s="1"/>
      <c r="O39" s="28"/>
      <c r="Q39" s="54"/>
      <c r="R39" s="1"/>
      <c r="S39" s="90"/>
      <c r="T39" s="91"/>
      <c r="U39" s="1"/>
      <c r="W39" s="7"/>
      <c r="X39" s="19"/>
      <c r="Y39" s="19"/>
      <c r="Z39" s="19"/>
      <c r="AA39" s="19"/>
      <c r="AB39" s="24"/>
      <c r="AC39" s="24"/>
      <c r="AF39" s="333"/>
      <c r="AG39" s="7"/>
      <c r="AH39" s="19"/>
      <c r="AI39" s="19"/>
      <c r="AJ39" s="19"/>
      <c r="AK39" s="84"/>
      <c r="AL39" s="84"/>
      <c r="AM39" s="19"/>
      <c r="AN39" s="24"/>
      <c r="AO39" s="17"/>
      <c r="AP39" s="17"/>
      <c r="AQ39" s="84"/>
      <c r="AR39" s="17"/>
      <c r="AS39" s="84"/>
    </row>
    <row r="40" spans="1:45" x14ac:dyDescent="0.25">
      <c r="A40" s="1">
        <v>200</v>
      </c>
      <c r="B40" s="1"/>
      <c r="C40" s="13">
        <v>0.1</v>
      </c>
      <c r="E40" s="1">
        <f>C40*($A$40*730)</f>
        <v>14600</v>
      </c>
      <c r="F40" s="1"/>
      <c r="G40" s="28">
        <f t="shared" si="0"/>
        <v>2523.9490000000001</v>
      </c>
      <c r="H40" s="28">
        <f t="shared" si="1"/>
        <v>2406.7849999999999</v>
      </c>
      <c r="I40" s="28">
        <f t="shared" si="2"/>
        <v>1.8473397065836401</v>
      </c>
      <c r="J40" s="90">
        <f t="shared" si="3"/>
        <v>-119.01133970658384</v>
      </c>
      <c r="K40" s="54">
        <f>ROUND(+J40/G40,4)</f>
        <v>-4.7199999999999999E-2</v>
      </c>
      <c r="L40" s="28">
        <f>ROUND($X$10*$E40,2)</f>
        <v>-19.579999999999998</v>
      </c>
      <c r="M40" s="28">
        <f>ROUND($X$11*$E40,2)</f>
        <v>5.7</v>
      </c>
      <c r="N40" s="28">
        <f>ROUND($X$12*$E40,2)</f>
        <v>19.98</v>
      </c>
      <c r="O40" s="28">
        <f t="shared" si="4"/>
        <v>2531.8963397065836</v>
      </c>
      <c r="P40" s="28">
        <f>+H40+L40+M40+N40</f>
        <v>2412.8849999999998</v>
      </c>
      <c r="Q40" s="54">
        <f>ROUND((P40-O40)/O40,4)</f>
        <v>-4.7E-2</v>
      </c>
      <c r="R40" s="28">
        <f t="shared" si="5"/>
        <v>-9.9280000000000008</v>
      </c>
      <c r="S40" s="90">
        <f t="shared" si="6"/>
        <v>2402.9569999999999</v>
      </c>
      <c r="T40" s="91">
        <f t="shared" si="7"/>
        <v>-5.0900000000000001E-2</v>
      </c>
      <c r="U40" s="1"/>
      <c r="W40" s="7">
        <f>$W$20</f>
        <v>90.095000000000013</v>
      </c>
      <c r="X40" s="19">
        <f>$X$17*E40</f>
        <v>474.35399999999998</v>
      </c>
      <c r="Y40" s="19">
        <f>ROUND((($A$40*INPUT!$E$97*$Y$17)+($A$40*$Y$18)),2)</f>
        <v>1959.5</v>
      </c>
      <c r="Z40" s="19"/>
      <c r="AA40" s="19">
        <f>W40+X40+Y40</f>
        <v>2523.9490000000001</v>
      </c>
      <c r="AB40" s="24"/>
      <c r="AC40" s="24"/>
      <c r="AD40" s="19"/>
      <c r="AF40" s="333">
        <f>AF$20</f>
        <v>90.095000000000013</v>
      </c>
      <c r="AG40" s="7">
        <f>$AG$17*E40</f>
        <v>468.65999999999997</v>
      </c>
      <c r="AH40" s="19">
        <f>ROUND((($A$40*INPUT!$E$97*$AH$17)+($A$40*$AH$18)),2)</f>
        <v>1848.03</v>
      </c>
      <c r="AI40" s="19"/>
      <c r="AJ40" s="19">
        <f>AF40+AG40+AH40</f>
        <v>2406.7849999999999</v>
      </c>
      <c r="AK40" s="84">
        <f t="shared" si="8"/>
        <v>1.8473397065836401</v>
      </c>
      <c r="AL40" s="84">
        <f t="shared" si="9"/>
        <v>-9.9280000000000008</v>
      </c>
      <c r="AM40" s="19"/>
      <c r="AN40" s="24"/>
      <c r="AO40" s="24"/>
      <c r="AP40" s="17"/>
      <c r="AQ40" s="38"/>
      <c r="AR40" s="17"/>
      <c r="AS40" s="394"/>
    </row>
    <row r="41" spans="1:45" x14ac:dyDescent="0.25">
      <c r="A41" s="1"/>
      <c r="B41" s="1"/>
      <c r="C41" s="13">
        <v>0.3</v>
      </c>
      <c r="E41" s="1">
        <f>C41*($A$40*730)</f>
        <v>43800</v>
      </c>
      <c r="F41" s="1"/>
      <c r="G41" s="28">
        <f t="shared" ref="G41" si="40">+AA41</f>
        <v>3472.6570000000002</v>
      </c>
      <c r="H41" s="28">
        <f t="shared" ref="H41" si="41">+AJ41</f>
        <v>3344.1049999999996</v>
      </c>
      <c r="I41" s="28">
        <f t="shared" ref="I41" si="42">AK41</f>
        <v>5.542019119750921</v>
      </c>
      <c r="J41" s="90">
        <f t="shared" ref="J41" si="43">+H41-(I41+G41)</f>
        <v>-134.09401911975147</v>
      </c>
      <c r="K41" s="54">
        <f>ROUND(+J41/G41,4)</f>
        <v>-3.8600000000000002E-2</v>
      </c>
      <c r="L41" s="28">
        <f>ROUND($X$10*$E41,2)</f>
        <v>-58.75</v>
      </c>
      <c r="M41" s="28">
        <f>ROUND($X$11*$E41,2)</f>
        <v>17.11</v>
      </c>
      <c r="N41" s="28">
        <f>ROUND($X$12*$E41,2)</f>
        <v>59.93</v>
      </c>
      <c r="O41" s="28">
        <f t="shared" ref="O41" si="44">+G41+I41+L41+M41+N41</f>
        <v>3496.489019119751</v>
      </c>
      <c r="P41" s="28">
        <f>+H41+L41+M41+N41</f>
        <v>3362.3949999999995</v>
      </c>
      <c r="Q41" s="54">
        <f>ROUND((P41-O41)/O41,4)</f>
        <v>-3.8399999999999997E-2</v>
      </c>
      <c r="R41" s="28">
        <f t="shared" ref="R41" si="45">AL41</f>
        <v>-29.784000000000002</v>
      </c>
      <c r="S41" s="90">
        <f t="shared" ref="S41" si="46">P41+R41</f>
        <v>3332.6109999999994</v>
      </c>
      <c r="T41" s="91">
        <f t="shared" ref="T41" si="47">ROUND((S41-O41)/O41,4)</f>
        <v>-4.6899999999999997E-2</v>
      </c>
      <c r="U41" s="1"/>
      <c r="W41" s="7">
        <f>$W$20</f>
        <v>90.095000000000013</v>
      </c>
      <c r="X41" s="19">
        <f>$X$17*E41</f>
        <v>1423.0619999999999</v>
      </c>
      <c r="Y41" s="19">
        <f>ROUND((($A$40*INPUT!$E$97*$Y$17)+($A$40*$Y$18)),2)</f>
        <v>1959.5</v>
      </c>
      <c r="Z41" s="19"/>
      <c r="AA41" s="19">
        <f>W41+X41+Y41</f>
        <v>3472.6570000000002</v>
      </c>
      <c r="AB41" s="24"/>
      <c r="AC41" s="24"/>
      <c r="AD41" s="19"/>
      <c r="AF41" s="333">
        <f>AF$20</f>
        <v>90.095000000000013</v>
      </c>
      <c r="AG41" s="7">
        <f>$AG$17*E41</f>
        <v>1405.9799999999998</v>
      </c>
      <c r="AH41" s="19">
        <f>ROUND((($A$40*INPUT!$E$97*$AH$17)+($A$40*$AH$18)),2)</f>
        <v>1848.03</v>
      </c>
      <c r="AI41" s="19"/>
      <c r="AJ41" s="19">
        <f>AF41+AG41+AH41</f>
        <v>3344.1049999999996</v>
      </c>
      <c r="AK41" s="84">
        <f t="shared" ref="AK41" si="48">$AK$17*E41</f>
        <v>5.542019119750921</v>
      </c>
      <c r="AL41" s="84">
        <f t="shared" ref="AL41" si="49">$AL$17*E41</f>
        <v>-29.784000000000002</v>
      </c>
      <c r="AM41" s="19"/>
      <c r="AN41" s="24"/>
      <c r="AO41" s="24"/>
      <c r="AP41" s="17"/>
      <c r="AQ41" s="38"/>
      <c r="AR41" s="17"/>
      <c r="AS41" s="394"/>
    </row>
    <row r="42" spans="1:45" x14ac:dyDescent="0.25">
      <c r="C42" s="13">
        <v>0.5</v>
      </c>
      <c r="E42" s="1">
        <f>C42*($A$40*730)</f>
        <v>73000</v>
      </c>
      <c r="F42" s="1"/>
      <c r="G42" s="28">
        <f t="shared" si="0"/>
        <v>4421.3649999999998</v>
      </c>
      <c r="H42" s="28">
        <f t="shared" si="1"/>
        <v>4281.4249999999993</v>
      </c>
      <c r="I42" s="28">
        <f t="shared" si="2"/>
        <v>9.2366985329182008</v>
      </c>
      <c r="J42" s="90">
        <f t="shared" si="3"/>
        <v>-149.17669853291864</v>
      </c>
      <c r="K42" s="54">
        <f>ROUND(+J42/G42,4)</f>
        <v>-3.3700000000000001E-2</v>
      </c>
      <c r="L42" s="28">
        <f>ROUND($X$10*$E42,2)</f>
        <v>-97.91</v>
      </c>
      <c r="M42" s="28">
        <f>ROUND($X$11*$E42,2)</f>
        <v>28.52</v>
      </c>
      <c r="N42" s="28">
        <f>ROUND($X$12*$E42,2)</f>
        <v>99.89</v>
      </c>
      <c r="O42" s="28">
        <f t="shared" si="4"/>
        <v>4461.1016985329188</v>
      </c>
      <c r="P42" s="28">
        <f>+H42+L42+M42+N42</f>
        <v>4311.9250000000002</v>
      </c>
      <c r="Q42" s="54">
        <f>ROUND((P42-O42)/O42,4)</f>
        <v>-3.3399999999999999E-2</v>
      </c>
      <c r="R42" s="28">
        <f t="shared" si="5"/>
        <v>-49.64</v>
      </c>
      <c r="S42" s="90">
        <f t="shared" si="6"/>
        <v>4262.2849999999999</v>
      </c>
      <c r="T42" s="91">
        <f t="shared" si="7"/>
        <v>-4.4600000000000001E-2</v>
      </c>
      <c r="U42" s="1"/>
      <c r="W42" s="7">
        <f>$W$20</f>
        <v>90.095000000000013</v>
      </c>
      <c r="X42" s="19">
        <f>$X$17*E42</f>
        <v>2371.77</v>
      </c>
      <c r="Y42" s="19">
        <f>ROUND((($A$40*INPUT!$E$97*$Y$17)+($A$40*$Y$18)),2)</f>
        <v>1959.5</v>
      </c>
      <c r="Z42" s="19"/>
      <c r="AA42" s="19">
        <f>W42+X42+Y42</f>
        <v>4421.3649999999998</v>
      </c>
      <c r="AB42" s="24"/>
      <c r="AC42" s="24"/>
      <c r="AD42" s="19"/>
      <c r="AF42" s="333">
        <f>AF$20</f>
        <v>90.095000000000013</v>
      </c>
      <c r="AG42" s="7">
        <f>$AG$17*E42</f>
        <v>2343.2999999999997</v>
      </c>
      <c r="AH42" s="19">
        <f>ROUND((($A$40*INPUT!$E$97*$AH$17)+($A$40*$AH$18)),2)</f>
        <v>1848.03</v>
      </c>
      <c r="AI42" s="19"/>
      <c r="AJ42" s="19">
        <f>AF42+AG42+AH42</f>
        <v>4281.4249999999993</v>
      </c>
      <c r="AK42" s="84">
        <f t="shared" si="8"/>
        <v>9.2366985329182008</v>
      </c>
      <c r="AL42" s="84">
        <f t="shared" si="9"/>
        <v>-49.64</v>
      </c>
      <c r="AM42" s="19"/>
      <c r="AN42" s="24"/>
      <c r="AO42" s="24"/>
      <c r="AP42" s="17"/>
      <c r="AQ42" s="38"/>
      <c r="AR42" s="17"/>
      <c r="AS42" s="394"/>
    </row>
    <row r="43" spans="1:45" x14ac:dyDescent="0.25">
      <c r="C43" s="13">
        <v>0.7</v>
      </c>
      <c r="E43" s="1">
        <f>C43*($A$40*730)</f>
        <v>102200</v>
      </c>
      <c r="F43" s="1"/>
      <c r="G43" s="28">
        <f t="shared" si="0"/>
        <v>5370.0729999999994</v>
      </c>
      <c r="H43" s="28">
        <f t="shared" si="1"/>
        <v>5218.744999999999</v>
      </c>
      <c r="I43" s="28">
        <f t="shared" si="2"/>
        <v>12.931377946085481</v>
      </c>
      <c r="J43" s="90">
        <f t="shared" si="3"/>
        <v>-164.25937794608581</v>
      </c>
      <c r="K43" s="54">
        <f>ROUND(+J43/G43,4)</f>
        <v>-3.0599999999999999E-2</v>
      </c>
      <c r="L43" s="28">
        <f>ROUND($X$10*$E43,2)</f>
        <v>-137.08000000000001</v>
      </c>
      <c r="M43" s="28">
        <f>ROUND($X$11*$E43,2)</f>
        <v>39.93</v>
      </c>
      <c r="N43" s="28">
        <f>ROUND($X$12*$E43,2)</f>
        <v>139.85</v>
      </c>
      <c r="O43" s="28">
        <f>+G43+I43+L43+M43+N43</f>
        <v>5425.7043779460855</v>
      </c>
      <c r="P43" s="28">
        <f>+H43+L43+M43+N43</f>
        <v>5261.4449999999997</v>
      </c>
      <c r="Q43" s="54">
        <f>ROUND((P43-O43)/O43,4)</f>
        <v>-3.0300000000000001E-2</v>
      </c>
      <c r="R43" s="28">
        <f t="shared" si="5"/>
        <v>-69.496000000000009</v>
      </c>
      <c r="S43" s="90">
        <f t="shared" si="6"/>
        <v>5191.9489999999996</v>
      </c>
      <c r="T43" s="91">
        <f t="shared" si="7"/>
        <v>-4.3099999999999999E-2</v>
      </c>
      <c r="U43" s="1"/>
      <c r="W43" s="7">
        <f>$W$20</f>
        <v>90.095000000000013</v>
      </c>
      <c r="X43" s="19">
        <f>$X$17*E43</f>
        <v>3320.4779999999996</v>
      </c>
      <c r="Y43" s="19">
        <f>ROUND((($A$40*INPUT!$E$97*$Y$17)+($A$40*$Y$18)),2)</f>
        <v>1959.5</v>
      </c>
      <c r="Z43" s="19"/>
      <c r="AA43" s="19">
        <f>W43+X43+Y43</f>
        <v>5370.0729999999994</v>
      </c>
      <c r="AB43" s="24"/>
      <c r="AC43" s="24"/>
      <c r="AD43" s="19"/>
      <c r="AF43" s="333">
        <f>AF$20</f>
        <v>90.095000000000013</v>
      </c>
      <c r="AG43" s="7">
        <f>$AG$17*E43</f>
        <v>3280.6199999999994</v>
      </c>
      <c r="AH43" s="19">
        <f>ROUND((($A$40*INPUT!$E$97*$AH$17)+($A$40*$AH$18)),2)</f>
        <v>1848.03</v>
      </c>
      <c r="AI43" s="19"/>
      <c r="AJ43" s="19">
        <f>AF43+AG43+AH43</f>
        <v>5218.744999999999</v>
      </c>
      <c r="AK43" s="84">
        <f>$AK$17*E43</f>
        <v>12.931377946085481</v>
      </c>
      <c r="AL43" s="84">
        <f>$AL$17*E43</f>
        <v>-69.496000000000009</v>
      </c>
      <c r="AM43" s="19"/>
      <c r="AN43" s="24"/>
      <c r="AO43" s="24"/>
      <c r="AP43" s="17"/>
      <c r="AQ43" s="38"/>
      <c r="AR43" s="17"/>
      <c r="AS43" s="394"/>
    </row>
    <row r="44" spans="1:45" x14ac:dyDescent="0.25">
      <c r="X44" s="19"/>
      <c r="Y44" s="19"/>
      <c r="Z44" s="19"/>
      <c r="AA44" s="19"/>
      <c r="AB44" s="19"/>
      <c r="AC44" s="19"/>
      <c r="AI44" s="19"/>
    </row>
    <row r="45" spans="1:45" x14ac:dyDescent="0.25">
      <c r="A45" s="17" t="s">
        <v>301</v>
      </c>
      <c r="N45" s="51"/>
      <c r="X45" s="19"/>
      <c r="Y45" s="19"/>
      <c r="Z45" s="19"/>
      <c r="AA45" s="19"/>
      <c r="AB45" s="19"/>
      <c r="AC45" s="19"/>
    </row>
    <row r="46" spans="1:45" x14ac:dyDescent="0.25">
      <c r="A46" s="174" t="str">
        <f>("Average Usage = "&amp;TEXT(INPUT!$S26*1,"0,000")&amp;" kWh per month")</f>
        <v>Average Usage = 6,800 kWh per month</v>
      </c>
      <c r="G46" s="29"/>
      <c r="X46" s="19"/>
      <c r="Y46" s="19"/>
      <c r="Z46" s="19"/>
      <c r="AA46" s="19"/>
      <c r="AB46" s="19"/>
      <c r="AC46" s="19"/>
    </row>
    <row r="47" spans="1:45" x14ac:dyDescent="0.25">
      <c r="A47" s="174" t="str">
        <f>("Average Demand = "&amp;TEXT(INPUT!I110,"0")&amp;" kW per month")</f>
        <v>Average Demand = 172 kW per month</v>
      </c>
      <c r="G47" s="29"/>
      <c r="X47" s="19"/>
      <c r="Y47" s="19"/>
      <c r="Z47" s="19"/>
      <c r="AA47" s="19"/>
      <c r="AB47" s="19"/>
      <c r="AC47" s="19"/>
    </row>
    <row r="48" spans="1:45" x14ac:dyDescent="0.25">
      <c r="A48" s="175" t="s">
        <v>302</v>
      </c>
      <c r="C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I48" s="30"/>
      <c r="AJ48" s="19"/>
      <c r="AK48" s="19"/>
      <c r="AL48" s="19"/>
      <c r="AM48" s="19"/>
      <c r="AN48" s="19"/>
      <c r="AO48" s="19"/>
      <c r="AP48" s="19"/>
      <c r="AQ48" s="6"/>
    </row>
    <row r="49" spans="1:35" x14ac:dyDescent="0.25">
      <c r="A49" s="176" t="s">
        <v>607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X49" s="12"/>
      <c r="AI49" s="9"/>
    </row>
    <row r="50" spans="1:35" x14ac:dyDescent="0.25">
      <c r="A50" s="175" t="str">
        <f>+'Rate Case Constants'!$C$26</f>
        <v>Calculations may vary from other schedules due to rounding</v>
      </c>
      <c r="AI50" s="9"/>
    </row>
    <row r="51" spans="1:35" ht="13" x14ac:dyDescent="0.3">
      <c r="A51" s="178"/>
      <c r="W51" s="3"/>
      <c r="AA51" s="3"/>
      <c r="AE51" s="3"/>
      <c r="AI51" s="9"/>
    </row>
    <row r="52" spans="1:35" ht="13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E52" s="3"/>
      <c r="AF52" s="2"/>
      <c r="AG52" s="3"/>
      <c r="AI52" s="3"/>
    </row>
    <row r="53" spans="1:35" ht="13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E53" s="3"/>
      <c r="AF53" s="2"/>
      <c r="AG53" s="3"/>
      <c r="AI53" s="3"/>
    </row>
    <row r="54" spans="1:35" ht="13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</row>
    <row r="55" spans="1:35" x14ac:dyDescent="0.25">
      <c r="B55" s="17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G55" s="6"/>
      <c r="AI55" s="9"/>
    </row>
    <row r="56" spans="1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1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1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F58" s="10"/>
      <c r="AG58" s="6"/>
      <c r="AH58" s="10"/>
      <c r="AI58" s="9"/>
    </row>
    <row r="59" spans="1:35" ht="6.75" customHeight="1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F59" s="10"/>
      <c r="AG59" s="6"/>
      <c r="AH59" s="10"/>
      <c r="AI59" s="9"/>
    </row>
    <row r="60" spans="1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1:35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1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1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1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ht="6.75" customHeight="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7"/>
      <c r="X66" s="12"/>
      <c r="AA66" s="12"/>
      <c r="AB66" s="12"/>
      <c r="AC66" s="12"/>
      <c r="AE66" s="6"/>
      <c r="AG66" s="6"/>
      <c r="AI66" s="9"/>
    </row>
    <row r="67" spans="5:41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7"/>
      <c r="X67" s="12"/>
      <c r="AA67" s="12"/>
      <c r="AB67" s="12"/>
      <c r="AC67" s="12"/>
      <c r="AE67" s="6"/>
      <c r="AG67" s="6"/>
      <c r="AI67" s="9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7"/>
      <c r="X68" s="12"/>
      <c r="AA68" s="12"/>
      <c r="AB68" s="12"/>
      <c r="AC68" s="12"/>
      <c r="AE68" s="6"/>
      <c r="AG68" s="6"/>
      <c r="AI68" s="9"/>
    </row>
    <row r="69" spans="5:41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7"/>
      <c r="X69" s="12"/>
      <c r="AA69" s="12"/>
      <c r="AB69" s="12"/>
      <c r="AC69" s="12"/>
      <c r="AE69" s="6"/>
      <c r="AG69" s="6"/>
      <c r="AI69" s="9"/>
    </row>
    <row r="70" spans="5:41" ht="13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</row>
    <row r="71" spans="5:41" ht="13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</row>
    <row r="72" spans="5:41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I72" s="9"/>
    </row>
    <row r="73" spans="5:41" x14ac:dyDescent="0.25">
      <c r="AN73" s="4"/>
      <c r="AO73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59999389629810485"/>
    <pageSetUpPr fitToPage="1"/>
  </sheetPr>
  <dimension ref="A1:AS73"/>
  <sheetViews>
    <sheetView zoomScale="80" zoomScaleNormal="80" zoomScaleSheetLayoutView="70" workbookViewId="0">
      <selection sqref="A1:T1"/>
    </sheetView>
  </sheetViews>
  <sheetFormatPr defaultRowHeight="12.5" x14ac:dyDescent="0.25"/>
  <cols>
    <col min="1" max="1" width="10.453125" customWidth="1"/>
    <col min="2" max="2" width="3.7265625" customWidth="1"/>
    <col min="3" max="3" width="8.1796875" bestFit="1" customWidth="1"/>
    <col min="4" max="4" width="1.81640625" customWidth="1"/>
    <col min="5" max="5" width="12" bestFit="1" customWidth="1"/>
    <col min="6" max="6" width="2" customWidth="1"/>
    <col min="7" max="7" width="15.1796875" bestFit="1" customWidth="1"/>
    <col min="8" max="9" width="14.7265625" customWidth="1"/>
    <col min="10" max="10" width="13.453125" bestFit="1" customWidth="1"/>
    <col min="11" max="11" width="9.81640625" customWidth="1"/>
    <col min="12" max="12" width="14.26953125" bestFit="1" customWidth="1"/>
    <col min="13" max="13" width="13.453125" bestFit="1" customWidth="1"/>
    <col min="14" max="14" width="15.1796875" customWidth="1"/>
    <col min="15" max="16" width="15.1796875" bestFit="1" customWidth="1"/>
    <col min="17" max="18" width="9.81640625" customWidth="1"/>
    <col min="19" max="19" width="10.453125" bestFit="1" customWidth="1"/>
    <col min="20" max="20" width="9.36328125" customWidth="1"/>
    <col min="21" max="22" width="9.81640625" customWidth="1"/>
    <col min="23" max="23" width="10" customWidth="1"/>
    <col min="24" max="25" width="14.453125" bestFit="1" customWidth="1"/>
    <col min="26" max="26" width="4" customWidth="1"/>
    <col min="27" max="27" width="12.7265625" bestFit="1" customWidth="1"/>
    <col min="28" max="28" width="14.453125" bestFit="1" customWidth="1"/>
    <col min="29" max="29" width="7.6328125" customWidth="1"/>
    <col min="30" max="30" width="14.453125" customWidth="1"/>
    <col min="31" max="31" width="3.81640625" customWidth="1"/>
    <col min="32" max="32" width="13.1796875" bestFit="1" customWidth="1"/>
    <col min="33" max="34" width="14.453125" bestFit="1" customWidth="1"/>
    <col min="35" max="35" width="12.7265625" bestFit="1" customWidth="1"/>
    <col min="36" max="36" width="13.81640625" bestFit="1" customWidth="1"/>
    <col min="37" max="38" width="13.81640625" customWidth="1"/>
    <col min="39" max="39" width="12.7265625" bestFit="1" customWidth="1"/>
    <col min="40" max="41" width="14.453125" bestFit="1" customWidth="1"/>
    <col min="42" max="42" width="11.1796875" customWidth="1"/>
    <col min="43" max="43" width="11.453125" bestFit="1" customWidth="1"/>
    <col min="44" max="44" width="10.7265625" customWidth="1"/>
    <col min="45" max="45" width="11.453125" bestFit="1" customWidth="1"/>
  </cols>
  <sheetData>
    <row r="1" spans="1:45" ht="13" x14ac:dyDescent="0.3">
      <c r="A1" s="411" t="str">
        <f>+'Rate Case Constants'!C9</f>
        <v>KENTUCKY UTILITIES COMPANY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45" ht="13" x14ac:dyDescent="0.3">
      <c r="A2" s="411" t="str">
        <f>+'Rate Case Constants'!C10</f>
        <v>CASE NO. 2020-00349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45" ht="13" x14ac:dyDescent="0.3">
      <c r="A3" s="412" t="str">
        <f>+'Rate Case Constants'!C24</f>
        <v>Typical Bill Comparison under Current &amp; Proposed Rates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1:45" ht="13" x14ac:dyDescent="0.3">
      <c r="A4" s="411" t="str">
        <f>+'Rate Case Constants'!C21</f>
        <v>FORECAST PERIOD FOR THE 12 MONTHS ENDED JUNE 30, 2022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45" ht="13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5"/>
      <c r="O5" s="205"/>
      <c r="P5" s="205"/>
      <c r="Q5" s="205"/>
      <c r="R5" s="205"/>
      <c r="S5" s="205"/>
      <c r="T5" s="205"/>
    </row>
    <row r="6" spans="1:45" ht="13" x14ac:dyDescent="0.3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5"/>
      <c r="O6" s="205"/>
      <c r="P6" s="205"/>
      <c r="Q6" s="205"/>
      <c r="R6" s="205"/>
      <c r="S6" s="205"/>
      <c r="T6" s="205"/>
    </row>
    <row r="7" spans="1:45" ht="13" x14ac:dyDescent="0.3">
      <c r="A7" s="202" t="str">
        <f>+'Rate Case Constants'!C33</f>
        <v>DATA: ____BASE PERIOD__X___FORECASTED PERIOD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5"/>
      <c r="N7" s="205"/>
      <c r="O7" s="205"/>
      <c r="P7" s="205"/>
      <c r="R7" s="209"/>
      <c r="S7" s="209"/>
      <c r="T7" s="209" t="str">
        <f>+'Rate Case Constants'!C25</f>
        <v>SCHEDULE N</v>
      </c>
    </row>
    <row r="8" spans="1:45" ht="13" x14ac:dyDescent="0.3">
      <c r="A8" s="202" t="str">
        <f>+'Rate Case Constants'!C29</f>
        <v>TYPE OF FILING: __X__ ORIGINAL  _____ UPDATED  _____ REVISED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5"/>
      <c r="N8" s="205"/>
      <c r="O8" s="205"/>
      <c r="P8" s="205"/>
      <c r="R8" s="203"/>
      <c r="S8" s="203"/>
      <c r="T8" s="203" t="str">
        <f>+'Rate Case Constants'!L29</f>
        <v>PAGE 22 of 24</v>
      </c>
    </row>
    <row r="9" spans="1:4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  <c r="X9" t="s">
        <v>608</v>
      </c>
    </row>
    <row r="10" spans="1:45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2">
        <f>+INPUT!H80</f>
        <v>-1.3412884635145505E-3</v>
      </c>
    </row>
    <row r="11" spans="1:45" ht="13" x14ac:dyDescent="0.3">
      <c r="A11" s="124" t="s">
        <v>461</v>
      </c>
      <c r="W11" s="83" t="s">
        <v>70</v>
      </c>
      <c r="X11" s="2">
        <f>+INPUT!I80</f>
        <v>3.9069193452100385E-4</v>
      </c>
      <c r="Z11" s="59"/>
      <c r="AH11" s="59"/>
    </row>
    <row r="12" spans="1:45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2">
        <f>+INPUT!J80</f>
        <v>1.3683634723349312E-3</v>
      </c>
    </row>
    <row r="13" spans="1:45" ht="13" x14ac:dyDescent="0.3">
      <c r="A13" s="42"/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/>
      <c r="Z13" s="3"/>
      <c r="AA13" s="3"/>
      <c r="AD13" s="3"/>
      <c r="AH13" s="19"/>
      <c r="AI13" s="20"/>
      <c r="AJ13" s="20"/>
      <c r="AK13" s="17" t="s">
        <v>608</v>
      </c>
      <c r="AL13" s="20"/>
      <c r="AM13" s="20"/>
      <c r="AN13" s="19"/>
      <c r="AO13" s="3"/>
    </row>
    <row r="14" spans="1:45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3" t="s">
        <v>1</v>
      </c>
      <c r="Z14" s="3"/>
      <c r="AA14" s="3" t="s">
        <v>1</v>
      </c>
      <c r="AB14" s="3"/>
      <c r="AC14" s="3"/>
      <c r="AD14" s="3"/>
      <c r="AF14" s="3" t="s">
        <v>6</v>
      </c>
      <c r="AG14" s="3" t="s">
        <v>6</v>
      </c>
      <c r="AH14" s="3" t="s">
        <v>6</v>
      </c>
      <c r="AI14" s="20"/>
      <c r="AJ14" s="20" t="s">
        <v>6</v>
      </c>
      <c r="AK14" s="20"/>
      <c r="AL14" s="85" t="s">
        <v>592</v>
      </c>
      <c r="AM14" s="20"/>
      <c r="AN14" s="20"/>
      <c r="AO14" s="3"/>
      <c r="AQ14" s="3"/>
    </row>
    <row r="15" spans="1:45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3" t="s">
        <v>25</v>
      </c>
      <c r="Z15" s="3"/>
      <c r="AA15" s="3" t="s">
        <v>5</v>
      </c>
      <c r="AB15" s="3"/>
      <c r="AC15" s="3"/>
      <c r="AD15" s="3"/>
      <c r="AF15" s="3" t="s">
        <v>52</v>
      </c>
      <c r="AG15" s="25" t="s">
        <v>53</v>
      </c>
      <c r="AH15" s="3" t="s">
        <v>15</v>
      </c>
      <c r="AI15" s="20"/>
      <c r="AJ15" s="20" t="s">
        <v>5</v>
      </c>
      <c r="AK15" s="86" t="s">
        <v>69</v>
      </c>
      <c r="AL15" s="85" t="s">
        <v>593</v>
      </c>
      <c r="AM15" s="20"/>
      <c r="AN15" s="20"/>
      <c r="AO15" s="85"/>
      <c r="AP15" s="17"/>
      <c r="AQ15" s="85"/>
      <c r="AR15" s="85"/>
      <c r="AS15" s="85"/>
    </row>
    <row r="16" spans="1:45" ht="13" x14ac:dyDescent="0.3">
      <c r="A16" s="3" t="s">
        <v>17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3" t="s">
        <v>54</v>
      </c>
      <c r="Z16" s="3"/>
      <c r="AA16" s="3" t="s">
        <v>4</v>
      </c>
      <c r="AB16" s="3"/>
      <c r="AC16" s="3"/>
      <c r="AD16" s="3"/>
      <c r="AF16" s="3" t="s">
        <v>3</v>
      </c>
      <c r="AG16" s="25" t="s">
        <v>3</v>
      </c>
      <c r="AH16" s="3" t="s">
        <v>51</v>
      </c>
      <c r="AI16" s="20"/>
      <c r="AJ16" s="20" t="s">
        <v>4</v>
      </c>
      <c r="AK16" s="386" t="s">
        <v>471</v>
      </c>
      <c r="AL16" s="350" t="s">
        <v>439</v>
      </c>
      <c r="AM16" s="20"/>
      <c r="AN16" s="20"/>
      <c r="AO16" s="85"/>
      <c r="AP16" s="17"/>
      <c r="AQ16" s="85"/>
      <c r="AR16" s="85"/>
      <c r="AS16" s="85"/>
    </row>
    <row r="17" spans="1:45" ht="13" x14ac:dyDescent="0.3">
      <c r="A17" s="3"/>
      <c r="C17" s="3"/>
      <c r="E17" s="3"/>
      <c r="F17" s="3"/>
      <c r="G17" s="3"/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INPUT!R6</f>
        <v>3.032E-2</v>
      </c>
      <c r="Y17" s="332">
        <f>INPUT!R13</f>
        <v>20.04</v>
      </c>
      <c r="Z17" s="41" t="s">
        <v>420</v>
      </c>
      <c r="AA17" s="41"/>
      <c r="AB17" s="3"/>
      <c r="AC17" s="3"/>
      <c r="AD17" s="40"/>
      <c r="AG17" s="334">
        <f>INPUT!R34</f>
        <v>3.1279999999999995E-2</v>
      </c>
      <c r="AH17" s="40">
        <f>INPUT!R41</f>
        <v>16.260000000000002</v>
      </c>
      <c r="AI17" s="41" t="s">
        <v>420</v>
      </c>
      <c r="AJ17" s="41"/>
      <c r="AK17" s="86">
        <f>INPUT!K80</f>
        <v>1.2653011688929043E-4</v>
      </c>
      <c r="AL17" s="86">
        <f>INPUT!R52</f>
        <v>-6.8000000000000005E-4</v>
      </c>
      <c r="AM17" s="41"/>
      <c r="AN17" s="20"/>
      <c r="AO17" s="396"/>
      <c r="AP17" s="17"/>
      <c r="AQ17" s="85"/>
      <c r="AR17" s="85"/>
      <c r="AS17" s="85"/>
    </row>
    <row r="18" spans="1:45" ht="13" x14ac:dyDescent="0.3">
      <c r="A18" s="16"/>
      <c r="B18" s="16"/>
      <c r="C18" s="80"/>
      <c r="D18" s="16"/>
      <c r="E18" s="80"/>
      <c r="F18" s="80"/>
      <c r="G18" s="80"/>
      <c r="H18" s="80"/>
      <c r="I18" s="351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3" t="s">
        <v>11</v>
      </c>
      <c r="Y18" s="332">
        <f>INPUT!R15</f>
        <v>2.0299999999999998</v>
      </c>
      <c r="Z18" s="3" t="s">
        <v>421</v>
      </c>
      <c r="AA18" s="3"/>
      <c r="AB18" s="3"/>
      <c r="AC18" s="3"/>
      <c r="AD18" s="3"/>
      <c r="AG18" s="25" t="s">
        <v>11</v>
      </c>
      <c r="AH18" s="331">
        <f>INPUT!R43</f>
        <v>2.5099999999999998</v>
      </c>
      <c r="AI18" s="3" t="s">
        <v>421</v>
      </c>
      <c r="AJ18" s="3"/>
      <c r="AK18" s="86" t="s">
        <v>11</v>
      </c>
      <c r="AL18" s="86" t="s">
        <v>11</v>
      </c>
      <c r="AM18" s="3"/>
      <c r="AN18" s="20"/>
      <c r="AO18" s="85"/>
      <c r="AP18" s="17"/>
      <c r="AQ18" s="85"/>
      <c r="AR18" s="85"/>
      <c r="AS18" s="85"/>
    </row>
    <row r="19" spans="1:45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C19" s="3"/>
      <c r="AG19" s="25"/>
      <c r="AH19" s="3"/>
      <c r="AI19" s="20"/>
      <c r="AJ19" s="20"/>
      <c r="AK19" s="85"/>
      <c r="AL19" s="85"/>
      <c r="AM19" s="20"/>
      <c r="AN19" s="20"/>
      <c r="AO19" s="17"/>
      <c r="AP19" s="17"/>
      <c r="AQ19" s="85"/>
      <c r="AR19" s="85"/>
      <c r="AS19" s="85"/>
    </row>
    <row r="20" spans="1:45" x14ac:dyDescent="0.25">
      <c r="A20" s="1">
        <v>5</v>
      </c>
      <c r="B20" s="1"/>
      <c r="C20" s="13">
        <v>0.1</v>
      </c>
      <c r="E20" s="1">
        <f>C20*($A$20*730)</f>
        <v>365</v>
      </c>
      <c r="F20" s="1"/>
      <c r="G20" s="28">
        <f>+AA20</f>
        <v>341.77867500000002</v>
      </c>
      <c r="H20" s="28">
        <f>+AJ20</f>
        <v>329.35907500000002</v>
      </c>
      <c r="I20" s="28">
        <f>AK20</f>
        <v>4.6183492664591007E-2</v>
      </c>
      <c r="J20" s="90">
        <f>+H20-(I20+G20)</f>
        <v>-12.465783492664571</v>
      </c>
      <c r="K20" s="54">
        <f>ROUND(+J20/G20,4)</f>
        <v>-3.6499999999999998E-2</v>
      </c>
      <c r="L20" s="28">
        <f>ROUND($X$10*$E20,2)</f>
        <v>-0.49</v>
      </c>
      <c r="M20" s="28">
        <f>ROUND($X$11*$E20,2)</f>
        <v>0.14000000000000001</v>
      </c>
      <c r="N20" s="28">
        <f>ROUND($X$12*$E20,2)</f>
        <v>0.5</v>
      </c>
      <c r="O20" s="28">
        <f>+G20+I20+L20+M20+N20</f>
        <v>341.97485849266457</v>
      </c>
      <c r="P20" s="28">
        <f>+H20+L20+M20+N20</f>
        <v>329.509075</v>
      </c>
      <c r="Q20" s="54">
        <f>ROUND((P20-O20)/O20,4)</f>
        <v>-3.6499999999999998E-2</v>
      </c>
      <c r="R20" s="28">
        <f>AL20</f>
        <v>-0.24820000000000003</v>
      </c>
      <c r="S20" s="90">
        <f>P20+R20</f>
        <v>329.260875</v>
      </c>
      <c r="T20" s="91">
        <f>ROUND((S20-O20)/O20,4)</f>
        <v>-3.7199999999999997E-2</v>
      </c>
      <c r="U20" s="1"/>
      <c r="W20" s="7">
        <f>INPUT!R4</f>
        <v>240.15187499999999</v>
      </c>
      <c r="X20" s="19">
        <f>$X$17*E20</f>
        <v>11.066800000000001</v>
      </c>
      <c r="Y20" s="19">
        <f>ROUND((($A$20*INPUT!$E$98*$Y$17)+($A$20*$Y$18)),2)</f>
        <v>90.56</v>
      </c>
      <c r="Z20" s="19"/>
      <c r="AA20" s="19">
        <f>W20+X20+Y20</f>
        <v>341.77867500000002</v>
      </c>
      <c r="AB20" s="24"/>
      <c r="AC20" s="24"/>
      <c r="AD20" s="19"/>
      <c r="AF20" s="333">
        <f>INPUT!R32</f>
        <v>240.15187499999999</v>
      </c>
      <c r="AG20" s="7">
        <f>$AG$17*E20</f>
        <v>11.417199999999998</v>
      </c>
      <c r="AH20" s="19">
        <f>ROUND((($A$20*INPUT!$E$98*$AH$17)+($A$20*$AH$18)),2)</f>
        <v>77.790000000000006</v>
      </c>
      <c r="AI20" s="19"/>
      <c r="AJ20" s="19">
        <f>AF20+AG20+AH20</f>
        <v>329.35907500000002</v>
      </c>
      <c r="AK20" s="84">
        <f>$AK$17*E20</f>
        <v>4.6183492664591007E-2</v>
      </c>
      <c r="AL20" s="84">
        <f>$AL$17*E20</f>
        <v>-0.24820000000000003</v>
      </c>
      <c r="AM20" s="19"/>
      <c r="AN20" s="24"/>
      <c r="AO20" s="24"/>
      <c r="AP20" s="17"/>
      <c r="AQ20" s="38"/>
      <c r="AR20" s="17"/>
      <c r="AS20" s="394"/>
    </row>
    <row r="21" spans="1:45" x14ac:dyDescent="0.25">
      <c r="A21" s="1"/>
      <c r="B21" s="1"/>
      <c r="C21" s="13">
        <v>0.3</v>
      </c>
      <c r="E21" s="1">
        <f>C21*($A$20*730)</f>
        <v>1095</v>
      </c>
      <c r="F21" s="1"/>
      <c r="G21" s="28">
        <f>+AA21</f>
        <v>123.7604</v>
      </c>
      <c r="H21" s="28">
        <f>+AJ21</f>
        <v>112.0416</v>
      </c>
      <c r="I21" s="28">
        <f>AK21</f>
        <v>0.13855047799377301</v>
      </c>
      <c r="J21" s="90">
        <f>+H21-(I21+G21)</f>
        <v>-11.857350477993776</v>
      </c>
      <c r="K21" s="54">
        <f>ROUND(+J21/G21,4)</f>
        <v>-9.5799999999999996E-2</v>
      </c>
      <c r="L21" s="28">
        <f>ROUND($X$10*$E21,2)</f>
        <v>-1.47</v>
      </c>
      <c r="M21" s="28">
        <f>ROUND($X$11*$E21,2)</f>
        <v>0.43</v>
      </c>
      <c r="N21" s="28">
        <f>ROUND($X$12*$E21,2)</f>
        <v>1.5</v>
      </c>
      <c r="O21" s="28">
        <f>+G21+I21+L21+M21+N21</f>
        <v>124.35895047799379</v>
      </c>
      <c r="P21" s="28">
        <f>+H21+L21+M21+N21</f>
        <v>112.50160000000001</v>
      </c>
      <c r="Q21" s="54">
        <f>ROUND((P21-O21)/O21,4)</f>
        <v>-9.5299999999999996E-2</v>
      </c>
      <c r="R21" s="28">
        <f>AL21</f>
        <v>-0.74460000000000004</v>
      </c>
      <c r="S21" s="90">
        <f>P21+R21</f>
        <v>111.75700000000001</v>
      </c>
      <c r="T21" s="91">
        <f>ROUND((S21-O21)/O21,4)</f>
        <v>-0.1013</v>
      </c>
      <c r="U21" s="1"/>
      <c r="W21" s="7">
        <f>INPUT!R5</f>
        <v>0</v>
      </c>
      <c r="X21" s="19">
        <f>$X$17*E21</f>
        <v>33.200400000000002</v>
      </c>
      <c r="Y21" s="19">
        <f>ROUND((($A$20*INPUT!$E$98*$Y$17)+($A$20*$Y$18)),2)</f>
        <v>90.56</v>
      </c>
      <c r="Z21" s="19"/>
      <c r="AA21" s="19">
        <f>W21+X21+Y21</f>
        <v>123.7604</v>
      </c>
      <c r="AB21" s="24"/>
      <c r="AC21" s="24"/>
      <c r="AD21" s="19"/>
      <c r="AF21" s="333">
        <f>INPUT!R33</f>
        <v>0</v>
      </c>
      <c r="AG21" s="7">
        <f>$AG$17*E21</f>
        <v>34.251599999999996</v>
      </c>
      <c r="AH21" s="19">
        <f>ROUND((($A$20*INPUT!$E$98*$AH$17)+($A$20*$AH$18)),2)</f>
        <v>77.790000000000006</v>
      </c>
      <c r="AI21" s="19"/>
      <c r="AJ21" s="19">
        <f>AF21+AG21+AH21</f>
        <v>112.0416</v>
      </c>
      <c r="AK21" s="84">
        <f>$AK$17*E21</f>
        <v>0.13855047799377301</v>
      </c>
      <c r="AL21" s="84">
        <f>$AL$17*E21</f>
        <v>-0.74460000000000004</v>
      </c>
      <c r="AM21" s="19"/>
      <c r="AN21" s="24"/>
      <c r="AO21" s="24"/>
      <c r="AP21" s="17"/>
      <c r="AQ21" s="38"/>
      <c r="AR21" s="17"/>
      <c r="AS21" s="394"/>
    </row>
    <row r="22" spans="1:45" x14ac:dyDescent="0.25">
      <c r="C22" s="13">
        <v>0.5</v>
      </c>
      <c r="E22" s="1">
        <f>C22*($A$20*730)</f>
        <v>1825</v>
      </c>
      <c r="F22" s="1"/>
      <c r="G22" s="28">
        <f t="shared" ref="G22:G43" si="0">+AA22</f>
        <v>386.04587499999997</v>
      </c>
      <c r="H22" s="28">
        <f t="shared" ref="H22:H43" si="1">+AJ22</f>
        <v>375.02787499999999</v>
      </c>
      <c r="I22" s="28">
        <f t="shared" ref="I22:I43" si="2">AK22</f>
        <v>0.23091746332295501</v>
      </c>
      <c r="J22" s="90">
        <f t="shared" ref="J22:J43" si="3">+H22-(I22+G22)</f>
        <v>-11.248917463322925</v>
      </c>
      <c r="K22" s="54">
        <f>ROUND(+J22/G22,4)</f>
        <v>-2.9100000000000001E-2</v>
      </c>
      <c r="L22" s="28">
        <f>ROUND($X$10*$E22,2)</f>
        <v>-2.4500000000000002</v>
      </c>
      <c r="M22" s="28">
        <f>ROUND($X$11*$E22,2)</f>
        <v>0.71</v>
      </c>
      <c r="N22" s="28">
        <f>ROUND($X$12*$E22,2)</f>
        <v>2.5</v>
      </c>
      <c r="O22" s="28">
        <f t="shared" ref="O22:O42" si="4">+G22+I22+L22+M22+N22</f>
        <v>387.03679246332291</v>
      </c>
      <c r="P22" s="28">
        <f>+H22+L22+M22+N22</f>
        <v>375.78787499999999</v>
      </c>
      <c r="Q22" s="91">
        <f>ROUND((P22-O22)/O22,4)</f>
        <v>-2.9100000000000001E-2</v>
      </c>
      <c r="R22" s="28">
        <f t="shared" ref="R22:R43" si="5">AL22</f>
        <v>-1.2410000000000001</v>
      </c>
      <c r="S22" s="90">
        <f t="shared" ref="S22:S43" si="6">P22+R22</f>
        <v>374.546875</v>
      </c>
      <c r="T22" s="91">
        <f t="shared" ref="T22:T43" si="7">ROUND((S22-O22)/O22,4)</f>
        <v>-3.2300000000000002E-2</v>
      </c>
      <c r="U22" s="1"/>
      <c r="W22" s="7">
        <f>$W$20</f>
        <v>240.15187499999999</v>
      </c>
      <c r="X22" s="19">
        <f>$X$17*E22</f>
        <v>55.333999999999996</v>
      </c>
      <c r="Y22" s="19">
        <f>ROUND((($A$20*INPUT!$E$98*$Y$17)+($A$20*$Y$18)),2)</f>
        <v>90.56</v>
      </c>
      <c r="Z22" s="19"/>
      <c r="AA22" s="19">
        <f>W22+X22+Y22</f>
        <v>386.04587499999997</v>
      </c>
      <c r="AB22" s="24"/>
      <c r="AC22" s="24"/>
      <c r="AD22" s="19"/>
      <c r="AF22" s="333">
        <f>AF$20</f>
        <v>240.15187499999999</v>
      </c>
      <c r="AG22" s="7">
        <f>$AG$17*E22</f>
        <v>57.085999999999991</v>
      </c>
      <c r="AH22" s="19">
        <f>ROUND((($A$20*INPUT!$E$98*$AH$17)+($A$20*$AH$18)),2)</f>
        <v>77.790000000000006</v>
      </c>
      <c r="AI22" s="19"/>
      <c r="AJ22" s="19">
        <f>AF22+AG22+AH22</f>
        <v>375.02787499999999</v>
      </c>
      <c r="AK22" s="84">
        <f t="shared" ref="AK22:AK42" si="8">$AK$17*E22</f>
        <v>0.23091746332295501</v>
      </c>
      <c r="AL22" s="84">
        <f t="shared" ref="AL22:AL42" si="9">$AL$17*E22</f>
        <v>-1.2410000000000001</v>
      </c>
      <c r="AM22" s="19"/>
      <c r="AN22" s="24"/>
      <c r="AO22" s="24"/>
      <c r="AP22" s="17"/>
      <c r="AQ22" s="38"/>
      <c r="AR22" s="17"/>
      <c r="AS22" s="394"/>
    </row>
    <row r="23" spans="1:45" x14ac:dyDescent="0.25">
      <c r="C23" s="13">
        <v>0.7</v>
      </c>
      <c r="E23" s="1">
        <f>C23*($A$20*730)</f>
        <v>2555</v>
      </c>
      <c r="F23" s="1"/>
      <c r="G23" s="28">
        <f t="shared" si="0"/>
        <v>408.17947499999997</v>
      </c>
      <c r="H23" s="28">
        <f t="shared" si="1"/>
        <v>397.86227500000001</v>
      </c>
      <c r="I23" s="28">
        <f t="shared" si="2"/>
        <v>0.32328444865213701</v>
      </c>
      <c r="J23" s="90">
        <f t="shared" si="3"/>
        <v>-10.640484448652103</v>
      </c>
      <c r="K23" s="54">
        <f>ROUND(+J23/G23,4)</f>
        <v>-2.6100000000000002E-2</v>
      </c>
      <c r="L23" s="28">
        <f>ROUND($X$10*$E23,2)</f>
        <v>-3.43</v>
      </c>
      <c r="M23" s="28">
        <f>ROUND($X$11*$E23,2)</f>
        <v>1</v>
      </c>
      <c r="N23" s="28">
        <f>ROUND($X$12*$E23,2)</f>
        <v>3.5</v>
      </c>
      <c r="O23" s="28">
        <f t="shared" si="4"/>
        <v>409.57275944865211</v>
      </c>
      <c r="P23" s="28">
        <f>+H23+L23+M23+N23</f>
        <v>398.932275</v>
      </c>
      <c r="Q23" s="54">
        <f>ROUND((P23-O23)/O23,4)</f>
        <v>-2.5999999999999999E-2</v>
      </c>
      <c r="R23" s="28">
        <f t="shared" si="5"/>
        <v>-1.7374000000000001</v>
      </c>
      <c r="S23" s="90">
        <f t="shared" si="6"/>
        <v>397.19487500000002</v>
      </c>
      <c r="T23" s="91">
        <f t="shared" si="7"/>
        <v>-3.0200000000000001E-2</v>
      </c>
      <c r="U23" s="1"/>
      <c r="W23" s="7">
        <f>$W$20</f>
        <v>240.15187499999999</v>
      </c>
      <c r="X23" s="19">
        <f>$X$17*E23</f>
        <v>77.467600000000004</v>
      </c>
      <c r="Y23" s="19">
        <f>ROUND((($A$20*INPUT!$E$98*$Y$17)+($A$20*$Y$18)),2)</f>
        <v>90.56</v>
      </c>
      <c r="Z23" s="19"/>
      <c r="AA23" s="19">
        <f>W23+X23+Y23</f>
        <v>408.17947499999997</v>
      </c>
      <c r="AB23" s="24"/>
      <c r="AC23" s="24"/>
      <c r="AD23" s="19"/>
      <c r="AF23" s="333">
        <f>AF$20</f>
        <v>240.15187499999999</v>
      </c>
      <c r="AG23" s="7">
        <f>$AG$17*E23</f>
        <v>79.920399999999987</v>
      </c>
      <c r="AH23" s="19">
        <f>ROUND((($A$20*INPUT!$E$98*$AH$17)+($A$20*$AH$18)),2)</f>
        <v>77.790000000000006</v>
      </c>
      <c r="AI23" s="19"/>
      <c r="AJ23" s="19">
        <f>AF23+AG23+AH23</f>
        <v>397.86227500000001</v>
      </c>
      <c r="AK23" s="84">
        <f t="shared" si="8"/>
        <v>0.32328444865213701</v>
      </c>
      <c r="AL23" s="84">
        <f t="shared" si="9"/>
        <v>-1.7374000000000001</v>
      </c>
      <c r="AM23" s="19"/>
      <c r="AN23" s="24"/>
      <c r="AO23" s="24"/>
      <c r="AP23" s="17"/>
      <c r="AQ23" s="38"/>
      <c r="AR23" s="17"/>
      <c r="AS23" s="394"/>
    </row>
    <row r="24" spans="1:45" x14ac:dyDescent="0.25">
      <c r="C24" s="13"/>
      <c r="E24" s="1"/>
      <c r="F24" s="1"/>
      <c r="G24" s="1"/>
      <c r="H24" s="1"/>
      <c r="I24" s="1"/>
      <c r="J24" s="90"/>
      <c r="K24" s="5"/>
      <c r="L24" s="1"/>
      <c r="M24" s="1"/>
      <c r="N24" s="1"/>
      <c r="O24" s="28"/>
      <c r="Q24" s="54"/>
      <c r="R24" s="1"/>
      <c r="S24" s="90"/>
      <c r="T24" s="91"/>
      <c r="U24" s="1"/>
      <c r="W24" s="7"/>
      <c r="X24" s="19"/>
      <c r="Y24" s="19"/>
      <c r="Z24" s="19"/>
      <c r="AA24" s="19"/>
      <c r="AB24" s="24"/>
      <c r="AC24" s="24"/>
      <c r="AF24" s="333"/>
      <c r="AG24" s="7"/>
      <c r="AH24" s="19"/>
      <c r="AI24" s="19"/>
      <c r="AJ24" s="19"/>
      <c r="AK24" s="84"/>
      <c r="AL24" s="84"/>
      <c r="AM24" s="19"/>
      <c r="AN24" s="24"/>
      <c r="AO24" s="17"/>
      <c r="AP24" s="17"/>
      <c r="AQ24" s="84"/>
      <c r="AR24" s="17"/>
      <c r="AS24" s="84"/>
    </row>
    <row r="25" spans="1:45" x14ac:dyDescent="0.25">
      <c r="A25" s="1">
        <v>50</v>
      </c>
      <c r="B25" s="1"/>
      <c r="C25" s="13">
        <v>0.1</v>
      </c>
      <c r="E25" s="1">
        <f>C25*($A$25*730)</f>
        <v>3650</v>
      </c>
      <c r="F25" s="1"/>
      <c r="G25" s="28">
        <f t="shared" si="0"/>
        <v>1256.3898750000001</v>
      </c>
      <c r="H25" s="28">
        <f t="shared" si="1"/>
        <v>1132.2238749999999</v>
      </c>
      <c r="I25" s="28">
        <f t="shared" si="2"/>
        <v>0.46183492664591003</v>
      </c>
      <c r="J25" s="90">
        <f t="shared" si="3"/>
        <v>-124.62783492664607</v>
      </c>
      <c r="K25" s="54">
        <f>ROUND(+J25/G25,4)</f>
        <v>-9.9199999999999997E-2</v>
      </c>
      <c r="L25" s="28">
        <f>ROUND($X$10*$E25,2)</f>
        <v>-4.9000000000000004</v>
      </c>
      <c r="M25" s="28">
        <f>ROUND($X$11*$E25,2)</f>
        <v>1.43</v>
      </c>
      <c r="N25" s="28">
        <f>ROUND($X$12*$E25,2)</f>
        <v>4.99</v>
      </c>
      <c r="O25" s="28">
        <f t="shared" si="4"/>
        <v>1258.371709926646</v>
      </c>
      <c r="P25" s="28">
        <f>+H25+L25+M25+N25</f>
        <v>1133.7438749999999</v>
      </c>
      <c r="Q25" s="54">
        <f>ROUND((P25-O25)/O25,4)</f>
        <v>-9.9000000000000005E-2</v>
      </c>
      <c r="R25" s="28">
        <f t="shared" si="5"/>
        <v>-2.4820000000000002</v>
      </c>
      <c r="S25" s="90">
        <f t="shared" si="6"/>
        <v>1131.2618749999999</v>
      </c>
      <c r="T25" s="91">
        <f t="shared" si="7"/>
        <v>-0.10100000000000001</v>
      </c>
      <c r="U25" s="1"/>
      <c r="W25" s="7">
        <f>$W$20</f>
        <v>240.15187499999999</v>
      </c>
      <c r="X25" s="19">
        <f>$X$17*E25</f>
        <v>110.66799999999999</v>
      </c>
      <c r="Y25" s="19">
        <f>ROUND((($A$25*INPUT!$E$98*$Y$17)+($A$25*$Y$18)),2)</f>
        <v>905.57</v>
      </c>
      <c r="Z25" s="19"/>
      <c r="AA25" s="19">
        <f>W25+X25+Y25</f>
        <v>1256.3898750000001</v>
      </c>
      <c r="AB25" s="24"/>
      <c r="AC25" s="24"/>
      <c r="AD25" s="19"/>
      <c r="AF25" s="333">
        <f>AF$20</f>
        <v>240.15187499999999</v>
      </c>
      <c r="AG25" s="7">
        <f>$AG$17*E25</f>
        <v>114.17199999999998</v>
      </c>
      <c r="AH25" s="19">
        <f>ROUND((($A$25*INPUT!$E$98*$AH$17)+($A$25*$AH$18)),2)</f>
        <v>777.9</v>
      </c>
      <c r="AI25" s="19"/>
      <c r="AJ25" s="19">
        <f>AF25+AG25+AH25</f>
        <v>1132.2238749999999</v>
      </c>
      <c r="AK25" s="84">
        <f t="shared" si="8"/>
        <v>0.46183492664591003</v>
      </c>
      <c r="AL25" s="84">
        <f t="shared" si="9"/>
        <v>-2.4820000000000002</v>
      </c>
      <c r="AM25" s="19"/>
      <c r="AN25" s="24"/>
      <c r="AO25" s="24"/>
      <c r="AP25" s="17"/>
      <c r="AQ25" s="38"/>
      <c r="AR25" s="144"/>
      <c r="AS25" s="394"/>
    </row>
    <row r="26" spans="1:45" x14ac:dyDescent="0.25">
      <c r="A26" s="1"/>
      <c r="B26" s="1"/>
      <c r="C26" s="13">
        <v>0.3</v>
      </c>
      <c r="E26" s="1">
        <f>C26*($A$25*730)</f>
        <v>10950</v>
      </c>
      <c r="F26" s="1"/>
      <c r="G26" s="28">
        <f t="shared" ref="G26" si="10">+AA26</f>
        <v>1477.7258750000001</v>
      </c>
      <c r="H26" s="28">
        <f t="shared" ref="H26" si="11">+AJ26</f>
        <v>1360.567875</v>
      </c>
      <c r="I26" s="28">
        <f t="shared" ref="I26" si="12">AK26</f>
        <v>1.3855047799377302</v>
      </c>
      <c r="J26" s="90">
        <f t="shared" ref="J26" si="13">+H26-(I26+G26)</f>
        <v>-118.54350477993785</v>
      </c>
      <c r="K26" s="54">
        <f>ROUND(+J26/G26,4)</f>
        <v>-8.0199999999999994E-2</v>
      </c>
      <c r="L26" s="28">
        <f>ROUND($X$10*$E26,2)</f>
        <v>-14.69</v>
      </c>
      <c r="M26" s="28">
        <f>ROUND($X$11*$E26,2)</f>
        <v>4.28</v>
      </c>
      <c r="N26" s="28">
        <f>ROUND($X$12*$E26,2)</f>
        <v>14.98</v>
      </c>
      <c r="O26" s="28">
        <f t="shared" ref="O26" si="14">+G26+I26+L26+M26+N26</f>
        <v>1483.6813797799377</v>
      </c>
      <c r="P26" s="28">
        <f>+H26+L26+M26+N26</f>
        <v>1365.1378749999999</v>
      </c>
      <c r="Q26" s="54">
        <f>ROUND((P26-O26)/O26,4)</f>
        <v>-7.9899999999999999E-2</v>
      </c>
      <c r="R26" s="28">
        <f t="shared" ref="R26" si="15">AL26</f>
        <v>-7.4460000000000006</v>
      </c>
      <c r="S26" s="90">
        <f t="shared" ref="S26" si="16">P26+R26</f>
        <v>1357.691875</v>
      </c>
      <c r="T26" s="91">
        <f t="shared" ref="T26" si="17">ROUND((S26-O26)/O26,4)</f>
        <v>-8.4900000000000003E-2</v>
      </c>
      <c r="U26" s="1"/>
      <c r="W26" s="7">
        <f>$W$20</f>
        <v>240.15187499999999</v>
      </c>
      <c r="X26" s="19">
        <f>$X$17*E26</f>
        <v>332.00400000000002</v>
      </c>
      <c r="Y26" s="19">
        <f>ROUND((($A$25*INPUT!$E$98*$Y$17)+($A$25*$Y$18)),2)</f>
        <v>905.57</v>
      </c>
      <c r="Z26" s="19"/>
      <c r="AA26" s="19">
        <f>W26+X26+Y26</f>
        <v>1477.7258750000001</v>
      </c>
      <c r="AB26" s="24"/>
      <c r="AC26" s="24"/>
      <c r="AD26" s="19"/>
      <c r="AF26" s="333">
        <f>AF$20</f>
        <v>240.15187499999999</v>
      </c>
      <c r="AG26" s="7">
        <f>$AG$17*E26</f>
        <v>342.51599999999996</v>
      </c>
      <c r="AH26" s="19">
        <f>ROUND((($A$25*INPUT!$E$98*$AH$17)+($A$25*$AH$18)),2)</f>
        <v>777.9</v>
      </c>
      <c r="AI26" s="19"/>
      <c r="AJ26" s="19">
        <f>AF26+AG26+AH26</f>
        <v>1360.567875</v>
      </c>
      <c r="AK26" s="84">
        <f t="shared" ref="AK26" si="18">$AK$17*E26</f>
        <v>1.3855047799377302</v>
      </c>
      <c r="AL26" s="84">
        <f t="shared" ref="AL26" si="19">$AL$17*E26</f>
        <v>-7.4460000000000006</v>
      </c>
      <c r="AM26" s="19"/>
      <c r="AN26" s="24"/>
      <c r="AO26" s="24"/>
      <c r="AP26" s="17"/>
      <c r="AQ26" s="38"/>
      <c r="AR26" s="144"/>
      <c r="AS26" s="394"/>
    </row>
    <row r="27" spans="1:45" x14ac:dyDescent="0.25">
      <c r="C27" s="13">
        <v>0.5</v>
      </c>
      <c r="E27" s="1">
        <f>C27*($A$25*730)</f>
        <v>18250</v>
      </c>
      <c r="F27" s="1"/>
      <c r="G27" s="28">
        <f t="shared" si="0"/>
        <v>1699.0618750000001</v>
      </c>
      <c r="H27" s="28">
        <f t="shared" si="1"/>
        <v>1588.9118749999998</v>
      </c>
      <c r="I27" s="28">
        <f t="shared" si="2"/>
        <v>2.3091746332295502</v>
      </c>
      <c r="J27" s="90">
        <f t="shared" si="3"/>
        <v>-112.45917463322985</v>
      </c>
      <c r="K27" s="54">
        <f>ROUND(+J27/G27,4)</f>
        <v>-6.6199999999999995E-2</v>
      </c>
      <c r="L27" s="28">
        <f>ROUND($X$10*$E27,2)</f>
        <v>-24.48</v>
      </c>
      <c r="M27" s="28">
        <f>ROUND($X$11*$E27,2)</f>
        <v>7.13</v>
      </c>
      <c r="N27" s="28">
        <f>ROUND($X$12*$E27,2)</f>
        <v>24.97</v>
      </c>
      <c r="O27" s="28">
        <f t="shared" si="4"/>
        <v>1708.9910496332297</v>
      </c>
      <c r="P27" s="28">
        <f>+H27+L27+M27+N27</f>
        <v>1596.5318749999999</v>
      </c>
      <c r="Q27" s="54">
        <f>ROUND((P27-O27)/O27,4)</f>
        <v>-6.5799999999999997E-2</v>
      </c>
      <c r="R27" s="28">
        <f t="shared" si="5"/>
        <v>-12.41</v>
      </c>
      <c r="S27" s="90">
        <f t="shared" si="6"/>
        <v>1584.1218749999998</v>
      </c>
      <c r="T27" s="91">
        <f t="shared" si="7"/>
        <v>-7.3099999999999998E-2</v>
      </c>
      <c r="U27" s="1"/>
      <c r="W27" s="7">
        <f>$W$20</f>
        <v>240.15187499999999</v>
      </c>
      <c r="X27" s="19">
        <f>$X$17*E27</f>
        <v>553.34</v>
      </c>
      <c r="Y27" s="19">
        <f>ROUND((($A$25*INPUT!$E$98*$Y$17)+($A$25*$Y$18)),2)</f>
        <v>905.57</v>
      </c>
      <c r="Z27" s="19"/>
      <c r="AA27" s="19">
        <f>W27+X27+Y27</f>
        <v>1699.0618750000001</v>
      </c>
      <c r="AB27" s="24"/>
      <c r="AC27" s="24"/>
      <c r="AD27" s="19"/>
      <c r="AF27" s="333">
        <f>AF$20</f>
        <v>240.15187499999999</v>
      </c>
      <c r="AG27" s="7">
        <f>$AG$17*E27</f>
        <v>570.8599999999999</v>
      </c>
      <c r="AH27" s="19">
        <f>ROUND((($A$25*INPUT!$E$98*$AH$17)+($A$25*$AH$18)),2)</f>
        <v>777.9</v>
      </c>
      <c r="AI27" s="19"/>
      <c r="AJ27" s="19">
        <f>AF27+AG27+AH27</f>
        <v>1588.9118749999998</v>
      </c>
      <c r="AK27" s="84">
        <f t="shared" si="8"/>
        <v>2.3091746332295502</v>
      </c>
      <c r="AL27" s="84">
        <f t="shared" si="9"/>
        <v>-12.41</v>
      </c>
      <c r="AM27" s="19"/>
      <c r="AN27" s="24"/>
      <c r="AO27" s="24"/>
      <c r="AP27" s="17"/>
      <c r="AQ27" s="38"/>
      <c r="AR27" s="144"/>
      <c r="AS27" s="394"/>
    </row>
    <row r="28" spans="1:45" x14ac:dyDescent="0.25">
      <c r="C28" s="13">
        <v>0.7</v>
      </c>
      <c r="E28" s="1">
        <f>C28*($A$25*730)</f>
        <v>25550</v>
      </c>
      <c r="F28" s="1"/>
      <c r="G28" s="28">
        <f t="shared" si="0"/>
        <v>1920.3978750000001</v>
      </c>
      <c r="H28" s="28">
        <f t="shared" si="1"/>
        <v>1817.2558749999998</v>
      </c>
      <c r="I28" s="28">
        <f t="shared" si="2"/>
        <v>3.2328444865213704</v>
      </c>
      <c r="J28" s="90">
        <f t="shared" si="3"/>
        <v>-106.37484448652162</v>
      </c>
      <c r="K28" s="54">
        <f>ROUND(+J28/G28,4)</f>
        <v>-5.5399999999999998E-2</v>
      </c>
      <c r="L28" s="28">
        <f>ROUND($X$10*$E28,2)</f>
        <v>-34.270000000000003</v>
      </c>
      <c r="M28" s="28">
        <f>ROUND($X$11*$E28,2)</f>
        <v>9.98</v>
      </c>
      <c r="N28" s="28">
        <f>ROUND($X$12*$E28,2)</f>
        <v>34.96</v>
      </c>
      <c r="O28" s="28">
        <f t="shared" si="4"/>
        <v>1934.3007194865215</v>
      </c>
      <c r="P28" s="28">
        <f>+H28+L28+M28+N28</f>
        <v>1827.9258749999999</v>
      </c>
      <c r="Q28" s="54">
        <f>ROUND((P28-O28)/O28,4)</f>
        <v>-5.5E-2</v>
      </c>
      <c r="R28" s="28">
        <f t="shared" si="5"/>
        <v>-17.374000000000002</v>
      </c>
      <c r="S28" s="90">
        <f t="shared" si="6"/>
        <v>1810.5518749999999</v>
      </c>
      <c r="T28" s="91">
        <f t="shared" si="7"/>
        <v>-6.4000000000000001E-2</v>
      </c>
      <c r="U28" s="1"/>
      <c r="W28" s="7">
        <f>$W$20</f>
        <v>240.15187499999999</v>
      </c>
      <c r="X28" s="19">
        <f>$X$17*E28</f>
        <v>774.67600000000004</v>
      </c>
      <c r="Y28" s="19">
        <f>ROUND((($A$25*INPUT!$E$98*$Y$17)+($A$25*$Y$18)),2)</f>
        <v>905.57</v>
      </c>
      <c r="Z28" s="19"/>
      <c r="AA28" s="19">
        <f>W28+X28+Y28</f>
        <v>1920.3978750000001</v>
      </c>
      <c r="AB28" s="24"/>
      <c r="AC28" s="24"/>
      <c r="AD28" s="19"/>
      <c r="AF28" s="333">
        <f>AF$20</f>
        <v>240.15187499999999</v>
      </c>
      <c r="AG28" s="7">
        <f>$AG$17*E28</f>
        <v>799.20399999999984</v>
      </c>
      <c r="AH28" s="19">
        <f>ROUND((($A$25*INPUT!$E$98*$AH$17)+($A$25*$AH$18)),2)</f>
        <v>777.9</v>
      </c>
      <c r="AI28" s="19"/>
      <c r="AJ28" s="19">
        <f>AF28+AG28+AH28</f>
        <v>1817.2558749999998</v>
      </c>
      <c r="AK28" s="84">
        <f t="shared" si="8"/>
        <v>3.2328444865213704</v>
      </c>
      <c r="AL28" s="84">
        <f t="shared" si="9"/>
        <v>-17.374000000000002</v>
      </c>
      <c r="AM28" s="19"/>
      <c r="AN28" s="24"/>
      <c r="AO28" s="24"/>
      <c r="AP28" s="17"/>
      <c r="AQ28" s="38"/>
      <c r="AR28" s="17"/>
      <c r="AS28" s="394"/>
    </row>
    <row r="29" spans="1:45" x14ac:dyDescent="0.25">
      <c r="C29" s="13"/>
      <c r="E29" s="1"/>
      <c r="F29" s="1"/>
      <c r="G29" s="1"/>
      <c r="H29" s="1"/>
      <c r="I29" s="1"/>
      <c r="J29" s="90"/>
      <c r="K29" s="5"/>
      <c r="L29" s="1"/>
      <c r="M29" s="1"/>
      <c r="N29" s="1"/>
      <c r="O29" s="28"/>
      <c r="Q29" s="54"/>
      <c r="R29" s="1"/>
      <c r="S29" s="90"/>
      <c r="T29" s="91"/>
      <c r="U29" s="1"/>
      <c r="W29" s="7"/>
      <c r="X29" s="19"/>
      <c r="Y29" s="19"/>
      <c r="Z29" s="19"/>
      <c r="AA29" s="19"/>
      <c r="AB29" s="24"/>
      <c r="AC29" s="24"/>
      <c r="AF29" s="333"/>
      <c r="AG29" s="7"/>
      <c r="AH29" s="19"/>
      <c r="AI29" s="19"/>
      <c r="AJ29" s="19"/>
      <c r="AK29" s="84"/>
      <c r="AL29" s="84"/>
      <c r="AM29" s="19"/>
      <c r="AN29" s="24"/>
      <c r="AO29" s="17"/>
      <c r="AP29" s="17"/>
      <c r="AQ29" s="84"/>
      <c r="AR29" s="17"/>
      <c r="AS29" s="84"/>
    </row>
    <row r="30" spans="1:45" x14ac:dyDescent="0.25">
      <c r="A30" s="1">
        <v>100</v>
      </c>
      <c r="B30" s="1"/>
      <c r="C30" s="13">
        <v>0.1</v>
      </c>
      <c r="E30" s="1">
        <f>C30*($A$30*730)</f>
        <v>7300</v>
      </c>
      <c r="F30" s="1"/>
      <c r="G30" s="28">
        <f t="shared" si="0"/>
        <v>2272.6278750000001</v>
      </c>
      <c r="H30" s="28">
        <f t="shared" si="1"/>
        <v>2024.305875</v>
      </c>
      <c r="I30" s="28">
        <f t="shared" si="2"/>
        <v>0.92366985329182005</v>
      </c>
      <c r="J30" s="90">
        <f t="shared" si="3"/>
        <v>-249.24566985329193</v>
      </c>
      <c r="K30" s="54">
        <f>ROUND(+J30/G30,4)</f>
        <v>-0.10970000000000001</v>
      </c>
      <c r="L30" s="28">
        <f>ROUND($X$10*$E30,2)</f>
        <v>-9.7899999999999991</v>
      </c>
      <c r="M30" s="28">
        <f>ROUND($X$11*$E30,2)</f>
        <v>2.85</v>
      </c>
      <c r="N30" s="28">
        <f>ROUND($X$12*$E30,2)</f>
        <v>9.99</v>
      </c>
      <c r="O30" s="28">
        <f t="shared" si="4"/>
        <v>2276.6015448532917</v>
      </c>
      <c r="P30" s="28">
        <f>+H30+L30+M30+N30</f>
        <v>2027.355875</v>
      </c>
      <c r="Q30" s="54">
        <f>ROUND((P30-O30)/O30,4)</f>
        <v>-0.1095</v>
      </c>
      <c r="R30" s="28">
        <f t="shared" si="5"/>
        <v>-4.9640000000000004</v>
      </c>
      <c r="S30" s="90">
        <f t="shared" si="6"/>
        <v>2022.391875</v>
      </c>
      <c r="T30" s="91">
        <f t="shared" si="7"/>
        <v>-0.11169999999999999</v>
      </c>
      <c r="U30" s="1"/>
      <c r="W30" s="7">
        <f>$W$20</f>
        <v>240.15187499999999</v>
      </c>
      <c r="X30" s="19">
        <f>$X$17*E30</f>
        <v>221.33599999999998</v>
      </c>
      <c r="Y30" s="19">
        <f>ROUND((($A$30*INPUT!$E$98*$Y$17)+($A$30*$Y$18)),2)</f>
        <v>1811.14</v>
      </c>
      <c r="Z30" s="19"/>
      <c r="AA30" s="19">
        <f>W30+X30+Y30</f>
        <v>2272.6278750000001</v>
      </c>
      <c r="AB30" s="24"/>
      <c r="AC30" s="24"/>
      <c r="AD30" s="19"/>
      <c r="AF30" s="333">
        <f>AF$20</f>
        <v>240.15187499999999</v>
      </c>
      <c r="AG30" s="7">
        <f>$AG$17*E30</f>
        <v>228.34399999999997</v>
      </c>
      <c r="AH30" s="19">
        <f>ROUND((($A$30*INPUT!$E$98*$AH$17)+($A$30*$AH$18)),2)</f>
        <v>1555.81</v>
      </c>
      <c r="AI30" s="19"/>
      <c r="AJ30" s="19">
        <f>AF30+AG30+AH30</f>
        <v>2024.305875</v>
      </c>
      <c r="AK30" s="84">
        <f t="shared" si="8"/>
        <v>0.92366985329182005</v>
      </c>
      <c r="AL30" s="84">
        <f t="shared" si="9"/>
        <v>-4.9640000000000004</v>
      </c>
      <c r="AM30" s="19"/>
      <c r="AN30" s="24"/>
      <c r="AO30" s="24"/>
      <c r="AP30" s="17"/>
      <c r="AQ30" s="38"/>
      <c r="AR30" s="17"/>
      <c r="AS30" s="394"/>
    </row>
    <row r="31" spans="1:45" x14ac:dyDescent="0.25">
      <c r="A31" s="1"/>
      <c r="B31" s="1"/>
      <c r="C31" s="13">
        <v>0.3</v>
      </c>
      <c r="E31" s="1">
        <f>C31*($A$30*730)</f>
        <v>21900</v>
      </c>
      <c r="F31" s="1"/>
      <c r="G31" s="28">
        <f t="shared" ref="G31" si="20">+AA31</f>
        <v>2715.2998750000002</v>
      </c>
      <c r="H31" s="28">
        <f t="shared" ref="H31" si="21">+AJ31</f>
        <v>2480.9938750000001</v>
      </c>
      <c r="I31" s="28">
        <f t="shared" ref="I31" si="22">AK31</f>
        <v>2.7710095598754605</v>
      </c>
      <c r="J31" s="90">
        <f t="shared" ref="J31" si="23">+H31-(I31+G31)</f>
        <v>-237.07700955987548</v>
      </c>
      <c r="K31" s="54">
        <f>ROUND(+J31/G31,4)</f>
        <v>-8.7300000000000003E-2</v>
      </c>
      <c r="L31" s="28">
        <f>ROUND($X$10*$E31,2)</f>
        <v>-29.37</v>
      </c>
      <c r="M31" s="28">
        <f>ROUND($X$11*$E31,2)</f>
        <v>8.56</v>
      </c>
      <c r="N31" s="28">
        <f>ROUND($X$12*$E31,2)</f>
        <v>29.97</v>
      </c>
      <c r="O31" s="28">
        <f t="shared" ref="O31" si="24">+G31+I31+L31+M31+N31</f>
        <v>2727.2308845598754</v>
      </c>
      <c r="P31" s="28">
        <f>+H31+L31+M31+N31</f>
        <v>2490.153875</v>
      </c>
      <c r="Q31" s="54">
        <f>ROUND((P31-O31)/O31,4)</f>
        <v>-8.6900000000000005E-2</v>
      </c>
      <c r="R31" s="28">
        <f t="shared" ref="R31" si="25">AL31</f>
        <v>-14.892000000000001</v>
      </c>
      <c r="S31" s="90">
        <f t="shared" ref="S31" si="26">P31+R31</f>
        <v>2475.2618750000001</v>
      </c>
      <c r="T31" s="91">
        <f t="shared" ref="T31" si="27">ROUND((S31-O31)/O31,4)</f>
        <v>-9.2399999999999996E-2</v>
      </c>
      <c r="U31" s="1"/>
      <c r="W31" s="7">
        <f>$W$20</f>
        <v>240.15187499999999</v>
      </c>
      <c r="X31" s="19">
        <f>$X$17*E31</f>
        <v>664.00800000000004</v>
      </c>
      <c r="Y31" s="19">
        <f>ROUND((($A$30*INPUT!$E$98*$Y$17)+($A$30*$Y$18)),2)</f>
        <v>1811.14</v>
      </c>
      <c r="Z31" s="19"/>
      <c r="AA31" s="19">
        <f>W31+X31+Y31</f>
        <v>2715.2998750000002</v>
      </c>
      <c r="AB31" s="24"/>
      <c r="AC31" s="24"/>
      <c r="AD31" s="19"/>
      <c r="AF31" s="333">
        <f>AF$20</f>
        <v>240.15187499999999</v>
      </c>
      <c r="AG31" s="7">
        <f>$AG$17*E31</f>
        <v>685.03199999999993</v>
      </c>
      <c r="AH31" s="19">
        <f>ROUND((($A$30*INPUT!$E$98*$AH$17)+($A$30*$AH$18)),2)</f>
        <v>1555.81</v>
      </c>
      <c r="AI31" s="19"/>
      <c r="AJ31" s="19">
        <f>AF31+AG31+AH31</f>
        <v>2480.9938750000001</v>
      </c>
      <c r="AK31" s="84">
        <f t="shared" ref="AK31" si="28">$AK$17*E31</f>
        <v>2.7710095598754605</v>
      </c>
      <c r="AL31" s="84">
        <f t="shared" ref="AL31" si="29">$AL$17*E31</f>
        <v>-14.892000000000001</v>
      </c>
      <c r="AM31" s="19"/>
      <c r="AN31" s="24"/>
      <c r="AO31" s="24"/>
      <c r="AP31" s="17"/>
      <c r="AQ31" s="38"/>
      <c r="AR31" s="17"/>
      <c r="AS31" s="394"/>
    </row>
    <row r="32" spans="1:45" x14ac:dyDescent="0.25">
      <c r="C32" s="13">
        <v>0.5</v>
      </c>
      <c r="E32" s="1">
        <f>C32*($A$30*730)</f>
        <v>36500</v>
      </c>
      <c r="F32" s="1"/>
      <c r="G32" s="28">
        <f t="shared" si="0"/>
        <v>3157.9718750000002</v>
      </c>
      <c r="H32" s="28">
        <f t="shared" si="1"/>
        <v>2937.6818749999998</v>
      </c>
      <c r="I32" s="28">
        <f t="shared" si="2"/>
        <v>4.6183492664591004</v>
      </c>
      <c r="J32" s="90">
        <f t="shared" si="3"/>
        <v>-224.90834926645948</v>
      </c>
      <c r="K32" s="54">
        <f>ROUND(+J32/G32,4)</f>
        <v>-7.1199999999999999E-2</v>
      </c>
      <c r="L32" s="28">
        <f>ROUND($X$10*$E32,2)</f>
        <v>-48.96</v>
      </c>
      <c r="M32" s="28">
        <f>ROUND($X$11*$E32,2)</f>
        <v>14.26</v>
      </c>
      <c r="N32" s="28">
        <f>ROUND($X$12*$E32,2)</f>
        <v>49.95</v>
      </c>
      <c r="O32" s="28">
        <f t="shared" si="4"/>
        <v>3177.8402242664592</v>
      </c>
      <c r="P32" s="28">
        <f>+H32+L32+M32+N32</f>
        <v>2952.9318749999998</v>
      </c>
      <c r="Q32" s="54">
        <f>ROUND((P32-O32)/O32,4)</f>
        <v>-7.0800000000000002E-2</v>
      </c>
      <c r="R32" s="28">
        <f t="shared" si="5"/>
        <v>-24.82</v>
      </c>
      <c r="S32" s="90">
        <f t="shared" si="6"/>
        <v>2928.1118749999996</v>
      </c>
      <c r="T32" s="91">
        <f t="shared" si="7"/>
        <v>-7.8600000000000003E-2</v>
      </c>
      <c r="U32" s="1"/>
      <c r="W32" s="7">
        <f>$W$20</f>
        <v>240.15187499999999</v>
      </c>
      <c r="X32" s="19">
        <f>$X$17*E32</f>
        <v>1106.68</v>
      </c>
      <c r="Y32" s="19">
        <f>ROUND((($A$30*INPUT!$E$98*$Y$17)+($A$30*$Y$18)),2)</f>
        <v>1811.14</v>
      </c>
      <c r="Z32" s="19"/>
      <c r="AA32" s="19">
        <f>W32+X32+Y32</f>
        <v>3157.9718750000002</v>
      </c>
      <c r="AB32" s="24"/>
      <c r="AC32" s="24"/>
      <c r="AD32" s="19"/>
      <c r="AF32" s="333">
        <f>AF$20</f>
        <v>240.15187499999999</v>
      </c>
      <c r="AG32" s="7">
        <f>$AG$17*E32</f>
        <v>1141.7199999999998</v>
      </c>
      <c r="AH32" s="19">
        <f>ROUND((($A$30*INPUT!$E$98*$AH$17)+($A$30*$AH$18)),2)</f>
        <v>1555.81</v>
      </c>
      <c r="AI32" s="19"/>
      <c r="AJ32" s="19">
        <f>AF32+AG32+AH32</f>
        <v>2937.6818749999998</v>
      </c>
      <c r="AK32" s="84">
        <f t="shared" si="8"/>
        <v>4.6183492664591004</v>
      </c>
      <c r="AL32" s="84">
        <f t="shared" si="9"/>
        <v>-24.82</v>
      </c>
      <c r="AM32" s="19"/>
      <c r="AN32" s="24"/>
      <c r="AO32" s="24"/>
      <c r="AP32" s="17"/>
      <c r="AQ32" s="38"/>
      <c r="AR32" s="17"/>
      <c r="AS32" s="394"/>
    </row>
    <row r="33" spans="1:45" x14ac:dyDescent="0.25">
      <c r="C33" s="13">
        <v>0.7</v>
      </c>
      <c r="E33" s="1">
        <f>C33*($A$30*730)</f>
        <v>51100</v>
      </c>
      <c r="F33" s="1"/>
      <c r="G33" s="28">
        <f t="shared" si="0"/>
        <v>3600.6438750000002</v>
      </c>
      <c r="H33" s="28">
        <f t="shared" si="1"/>
        <v>3394.3698749999994</v>
      </c>
      <c r="I33" s="28">
        <f t="shared" si="2"/>
        <v>6.4656889730427407</v>
      </c>
      <c r="J33" s="90">
        <f t="shared" si="3"/>
        <v>-212.73968897304349</v>
      </c>
      <c r="K33" s="54">
        <f>ROUND(+J33/G33,4)</f>
        <v>-5.91E-2</v>
      </c>
      <c r="L33" s="28">
        <f>ROUND($X$10*$E33,2)</f>
        <v>-68.540000000000006</v>
      </c>
      <c r="M33" s="28">
        <f>ROUND($X$11*$E33,2)</f>
        <v>19.96</v>
      </c>
      <c r="N33" s="28">
        <f>ROUND($X$12*$E33,2)</f>
        <v>69.92</v>
      </c>
      <c r="O33" s="28">
        <f t="shared" si="4"/>
        <v>3628.449563973043</v>
      </c>
      <c r="P33" s="28">
        <f>+H33+L33+M33+N33</f>
        <v>3415.7098749999996</v>
      </c>
      <c r="Q33" s="54">
        <f>ROUND((P33-O33)/O33,4)</f>
        <v>-5.8599999999999999E-2</v>
      </c>
      <c r="R33" s="28">
        <f t="shared" si="5"/>
        <v>-34.748000000000005</v>
      </c>
      <c r="S33" s="90">
        <f t="shared" si="6"/>
        <v>3380.9618749999995</v>
      </c>
      <c r="T33" s="91">
        <f t="shared" si="7"/>
        <v>-6.8199999999999997E-2</v>
      </c>
      <c r="U33" s="1"/>
      <c r="W33" s="7">
        <f>$W$20</f>
        <v>240.15187499999999</v>
      </c>
      <c r="X33" s="19">
        <f>$X$17*E33</f>
        <v>1549.3520000000001</v>
      </c>
      <c r="Y33" s="19">
        <f>ROUND((($A$30*INPUT!$E$98*$Y$17)+($A$30*$Y$18)),2)</f>
        <v>1811.14</v>
      </c>
      <c r="Z33" s="19"/>
      <c r="AA33" s="19">
        <f>W33+X33+Y33</f>
        <v>3600.6438750000002</v>
      </c>
      <c r="AB33" s="24"/>
      <c r="AC33" s="24"/>
      <c r="AD33" s="19"/>
      <c r="AF33" s="333">
        <f>AF$20</f>
        <v>240.15187499999999</v>
      </c>
      <c r="AG33" s="7">
        <f>$AG$17*E33</f>
        <v>1598.4079999999997</v>
      </c>
      <c r="AH33" s="19">
        <f>ROUND((($A$30*INPUT!$E$98*$AH$17)+($A$30*$AH$18)),2)</f>
        <v>1555.81</v>
      </c>
      <c r="AI33" s="19"/>
      <c r="AJ33" s="19">
        <f>AF33+AG33+AH33</f>
        <v>3394.3698749999994</v>
      </c>
      <c r="AK33" s="84">
        <f t="shared" si="8"/>
        <v>6.4656889730427407</v>
      </c>
      <c r="AL33" s="84">
        <f t="shared" si="9"/>
        <v>-34.748000000000005</v>
      </c>
      <c r="AM33" s="19"/>
      <c r="AN33" s="24"/>
      <c r="AO33" s="24"/>
      <c r="AP33" s="17"/>
      <c r="AQ33" s="38"/>
      <c r="AR33" s="17"/>
      <c r="AS33" s="394"/>
    </row>
    <row r="34" spans="1:45" x14ac:dyDescent="0.25">
      <c r="C34" s="13"/>
      <c r="E34" s="1"/>
      <c r="F34" s="1"/>
      <c r="G34" s="1"/>
      <c r="H34" s="1"/>
      <c r="I34" s="1"/>
      <c r="J34" s="90"/>
      <c r="K34" s="5"/>
      <c r="L34" s="1"/>
      <c r="M34" s="1"/>
      <c r="N34" s="1"/>
      <c r="O34" s="28"/>
      <c r="Q34" s="54"/>
      <c r="R34" s="1"/>
      <c r="S34" s="90"/>
      <c r="T34" s="91"/>
      <c r="U34" s="1"/>
      <c r="W34" s="7"/>
      <c r="X34" s="19"/>
      <c r="Y34" s="19"/>
      <c r="Z34" s="19"/>
      <c r="AA34" s="19"/>
      <c r="AB34" s="24"/>
      <c r="AC34" s="24"/>
      <c r="AF34" s="333"/>
      <c r="AG34" s="7"/>
      <c r="AH34" s="19"/>
      <c r="AI34" s="19"/>
      <c r="AJ34" s="19"/>
      <c r="AK34" s="84"/>
      <c r="AL34" s="84"/>
      <c r="AM34" s="19"/>
      <c r="AN34" s="24"/>
      <c r="AO34" s="17"/>
      <c r="AP34" s="17"/>
      <c r="AQ34" s="84"/>
      <c r="AR34" s="17"/>
      <c r="AS34" s="84"/>
    </row>
    <row r="35" spans="1:45" x14ac:dyDescent="0.25">
      <c r="A35" s="1">
        <v>150</v>
      </c>
      <c r="B35" s="1"/>
      <c r="C35" s="13">
        <v>0.1</v>
      </c>
      <c r="E35" s="1">
        <f>C35*($A$35*730)</f>
        <v>10950</v>
      </c>
      <c r="F35" s="1"/>
      <c r="G35" s="28">
        <f t="shared" si="0"/>
        <v>3288.865875</v>
      </c>
      <c r="H35" s="28">
        <f t="shared" si="1"/>
        <v>2916.3778750000001</v>
      </c>
      <c r="I35" s="28">
        <f t="shared" si="2"/>
        <v>1.3855047799377302</v>
      </c>
      <c r="J35" s="90">
        <f t="shared" si="3"/>
        <v>-373.87350477993778</v>
      </c>
      <c r="K35" s="54">
        <f>ROUND(+J35/G35,4)</f>
        <v>-0.1137</v>
      </c>
      <c r="L35" s="28">
        <f>ROUND($X$10*$E35,2)</f>
        <v>-14.69</v>
      </c>
      <c r="M35" s="28">
        <f>ROUND($X$11*$E35,2)</f>
        <v>4.28</v>
      </c>
      <c r="N35" s="28">
        <f>ROUND($X$12*$E35,2)</f>
        <v>14.98</v>
      </c>
      <c r="O35" s="28">
        <f t="shared" si="4"/>
        <v>3294.8213797799381</v>
      </c>
      <c r="P35" s="28">
        <f>+H35+L35+M35+N35</f>
        <v>2920.9478750000003</v>
      </c>
      <c r="Q35" s="54">
        <f>ROUND((P35-O35)/O35,4)</f>
        <v>-0.1135</v>
      </c>
      <c r="R35" s="28">
        <f t="shared" si="5"/>
        <v>-7.4460000000000006</v>
      </c>
      <c r="S35" s="90">
        <f t="shared" si="6"/>
        <v>2913.5018750000004</v>
      </c>
      <c r="T35" s="91">
        <f t="shared" si="7"/>
        <v>-0.1157</v>
      </c>
      <c r="U35" s="1"/>
      <c r="W35" s="7">
        <f>$W$20</f>
        <v>240.15187499999999</v>
      </c>
      <c r="X35" s="19">
        <f>$X$17*E35</f>
        <v>332.00400000000002</v>
      </c>
      <c r="Y35" s="19">
        <f>ROUND((($A$35*INPUT!$E$98*$Y$17)+($A$35*$Y$18)),2)</f>
        <v>2716.71</v>
      </c>
      <c r="Z35" s="19"/>
      <c r="AA35" s="19">
        <f>W35+X35+Y35</f>
        <v>3288.865875</v>
      </c>
      <c r="AB35" s="24"/>
      <c r="AC35" s="24"/>
      <c r="AD35" s="19"/>
      <c r="AF35" s="333">
        <f>AF$20</f>
        <v>240.15187499999999</v>
      </c>
      <c r="AG35" s="7">
        <f>$AG$17*E35</f>
        <v>342.51599999999996</v>
      </c>
      <c r="AH35" s="19">
        <f>ROUND((($A$35*INPUT!$E$98*$AH$17)+($A$35*$AH$18)),2)</f>
        <v>2333.71</v>
      </c>
      <c r="AI35" s="19"/>
      <c r="AJ35" s="19">
        <f>AF35+AG35+AH35</f>
        <v>2916.3778750000001</v>
      </c>
      <c r="AK35" s="84">
        <f t="shared" si="8"/>
        <v>1.3855047799377302</v>
      </c>
      <c r="AL35" s="84">
        <f t="shared" si="9"/>
        <v>-7.4460000000000006</v>
      </c>
      <c r="AM35" s="19"/>
      <c r="AN35" s="24"/>
      <c r="AO35" s="24"/>
      <c r="AP35" s="17"/>
      <c r="AQ35" s="38"/>
      <c r="AR35" s="17"/>
      <c r="AS35" s="394"/>
    </row>
    <row r="36" spans="1:45" x14ac:dyDescent="0.25">
      <c r="A36" s="1"/>
      <c r="B36" s="1"/>
      <c r="C36" s="13">
        <v>0.3</v>
      </c>
      <c r="E36" s="1">
        <f>C36*($A$35*730)</f>
        <v>32850</v>
      </c>
      <c r="F36" s="1"/>
      <c r="G36" s="28">
        <f t="shared" ref="G36" si="30">+AA36</f>
        <v>3952.8738750000002</v>
      </c>
      <c r="H36" s="28">
        <f t="shared" ref="H36" si="31">+AJ36</f>
        <v>3601.4098749999998</v>
      </c>
      <c r="I36" s="28">
        <f t="shared" ref="I36" si="32">AK36</f>
        <v>4.1565143398131905</v>
      </c>
      <c r="J36" s="90">
        <f t="shared" ref="J36" si="33">+H36-(I36+G36)</f>
        <v>-355.62051433981378</v>
      </c>
      <c r="K36" s="54">
        <f>ROUND(+J36/G36,4)</f>
        <v>-0.09</v>
      </c>
      <c r="L36" s="28">
        <f>ROUND($X$10*$E36,2)</f>
        <v>-44.06</v>
      </c>
      <c r="M36" s="28">
        <f>ROUND($X$11*$E36,2)</f>
        <v>12.83</v>
      </c>
      <c r="N36" s="28">
        <f>ROUND($X$12*$E36,2)</f>
        <v>44.95</v>
      </c>
      <c r="O36" s="28">
        <f t="shared" ref="O36" si="34">+G36+I36+L36+M36+N36</f>
        <v>3970.7503893398134</v>
      </c>
      <c r="P36" s="28">
        <f>+H36+L36+M36+N36</f>
        <v>3615.1298749999996</v>
      </c>
      <c r="Q36" s="54">
        <f>ROUND((P36-O36)/O36,4)</f>
        <v>-8.9599999999999999E-2</v>
      </c>
      <c r="R36" s="28">
        <f t="shared" ref="R36" si="35">AL36</f>
        <v>-22.338000000000001</v>
      </c>
      <c r="S36" s="90">
        <f t="shared" ref="S36" si="36">P36+R36</f>
        <v>3592.7918749999994</v>
      </c>
      <c r="T36" s="91">
        <f t="shared" ref="T36" si="37">ROUND((S36-O36)/O36,4)</f>
        <v>-9.5200000000000007E-2</v>
      </c>
      <c r="U36" s="1"/>
      <c r="W36" s="7">
        <f>$W$20</f>
        <v>240.15187499999999</v>
      </c>
      <c r="X36" s="19">
        <f>$X$17*E36</f>
        <v>996.01199999999994</v>
      </c>
      <c r="Y36" s="19">
        <f>ROUND((($A$35*INPUT!$E$98*$Y$17)+($A$35*$Y$18)),2)</f>
        <v>2716.71</v>
      </c>
      <c r="Z36" s="19"/>
      <c r="AA36" s="19">
        <f>W36+X36+Y36</f>
        <v>3952.8738750000002</v>
      </c>
      <c r="AB36" s="24"/>
      <c r="AC36" s="24"/>
      <c r="AD36" s="19"/>
      <c r="AF36" s="333">
        <f>AF$20</f>
        <v>240.15187499999999</v>
      </c>
      <c r="AG36" s="7">
        <f>$AG$17*E36</f>
        <v>1027.5479999999998</v>
      </c>
      <c r="AH36" s="19">
        <f>ROUND((($A$35*INPUT!$E$98*$AH$17)+($A$35*$AH$18)),2)</f>
        <v>2333.71</v>
      </c>
      <c r="AI36" s="19"/>
      <c r="AJ36" s="19">
        <f>AF36+AG36+AH36</f>
        <v>3601.4098749999998</v>
      </c>
      <c r="AK36" s="84">
        <f t="shared" ref="AK36" si="38">$AK$17*E36</f>
        <v>4.1565143398131905</v>
      </c>
      <c r="AL36" s="84">
        <f t="shared" ref="AL36" si="39">$AL$17*E36</f>
        <v>-22.338000000000001</v>
      </c>
      <c r="AM36" s="19"/>
      <c r="AN36" s="24"/>
      <c r="AO36" s="24"/>
      <c r="AP36" s="17"/>
      <c r="AQ36" s="38"/>
      <c r="AR36" s="17"/>
      <c r="AS36" s="394"/>
    </row>
    <row r="37" spans="1:45" x14ac:dyDescent="0.25">
      <c r="C37" s="13">
        <v>0.5</v>
      </c>
      <c r="E37" s="1">
        <f>C37*($A$35*730)</f>
        <v>54750</v>
      </c>
      <c r="F37" s="1"/>
      <c r="G37" s="28">
        <f t="shared" si="0"/>
        <v>4616.881875</v>
      </c>
      <c r="H37" s="28">
        <f t="shared" si="1"/>
        <v>4286.4418749999995</v>
      </c>
      <c r="I37" s="28">
        <f t="shared" si="2"/>
        <v>6.9275238996886506</v>
      </c>
      <c r="J37" s="90">
        <f t="shared" si="3"/>
        <v>-337.36752389968933</v>
      </c>
      <c r="K37" s="54">
        <f>ROUND(+J37/G37,4)</f>
        <v>-7.3099999999999998E-2</v>
      </c>
      <c r="L37" s="28">
        <f>ROUND($X$10*$E37,2)</f>
        <v>-73.44</v>
      </c>
      <c r="M37" s="28">
        <f>ROUND($X$11*$E37,2)</f>
        <v>21.39</v>
      </c>
      <c r="N37" s="28">
        <f>ROUND($X$12*$E37,2)</f>
        <v>74.92</v>
      </c>
      <c r="O37" s="28">
        <f t="shared" si="4"/>
        <v>4646.6793988996897</v>
      </c>
      <c r="P37" s="28">
        <f>+H37+L37+M37+N37</f>
        <v>4309.3118750000003</v>
      </c>
      <c r="Q37" s="54">
        <f>ROUND((P37-O37)/O37,4)</f>
        <v>-7.2599999999999998E-2</v>
      </c>
      <c r="R37" s="28">
        <f t="shared" si="5"/>
        <v>-37.230000000000004</v>
      </c>
      <c r="S37" s="90">
        <f t="shared" si="6"/>
        <v>4272.0818750000008</v>
      </c>
      <c r="T37" s="91">
        <f t="shared" si="7"/>
        <v>-8.0600000000000005E-2</v>
      </c>
      <c r="U37" s="1"/>
      <c r="W37" s="7">
        <f>$W$20</f>
        <v>240.15187499999999</v>
      </c>
      <c r="X37" s="19">
        <f>$X$17*E37</f>
        <v>1660.02</v>
      </c>
      <c r="Y37" s="19">
        <f>ROUND((($A$35*INPUT!$E$98*$Y$17)+($A$35*$Y$18)),2)</f>
        <v>2716.71</v>
      </c>
      <c r="Z37" s="19"/>
      <c r="AA37" s="19">
        <f>W37+X37+Y37</f>
        <v>4616.881875</v>
      </c>
      <c r="AB37" s="24"/>
      <c r="AC37" s="24"/>
      <c r="AD37" s="19"/>
      <c r="AF37" s="333">
        <f>AF$20</f>
        <v>240.15187499999999</v>
      </c>
      <c r="AG37" s="7">
        <f>$AG$17*E37</f>
        <v>1712.5799999999997</v>
      </c>
      <c r="AH37" s="19">
        <f>ROUND((($A$35*INPUT!$E$98*$AH$17)+($A$35*$AH$18)),2)</f>
        <v>2333.71</v>
      </c>
      <c r="AI37" s="19"/>
      <c r="AJ37" s="19">
        <f>AF37+AG37+AH37</f>
        <v>4286.4418749999995</v>
      </c>
      <c r="AK37" s="84">
        <f t="shared" si="8"/>
        <v>6.9275238996886506</v>
      </c>
      <c r="AL37" s="84">
        <f t="shared" si="9"/>
        <v>-37.230000000000004</v>
      </c>
      <c r="AM37" s="19"/>
      <c r="AN37" s="24"/>
      <c r="AO37" s="24"/>
      <c r="AP37" s="17"/>
      <c r="AQ37" s="38"/>
      <c r="AR37" s="17"/>
      <c r="AS37" s="394"/>
    </row>
    <row r="38" spans="1:45" x14ac:dyDescent="0.25">
      <c r="C38" s="13">
        <v>0.7</v>
      </c>
      <c r="E38" s="1">
        <f>C38*($A$35*730)</f>
        <v>76650</v>
      </c>
      <c r="F38" s="1"/>
      <c r="G38" s="28">
        <f t="shared" si="0"/>
        <v>5280.8898749999998</v>
      </c>
      <c r="H38" s="28">
        <f t="shared" si="1"/>
        <v>4971.4738749999997</v>
      </c>
      <c r="I38" s="28">
        <f t="shared" si="2"/>
        <v>9.6985334595641106</v>
      </c>
      <c r="J38" s="90">
        <f t="shared" si="3"/>
        <v>-319.11453345956397</v>
      </c>
      <c r="K38" s="54">
        <f>ROUND(+J38/G38,4)</f>
        <v>-6.0400000000000002E-2</v>
      </c>
      <c r="L38" s="28">
        <f>ROUND($X$10*$E38,2)</f>
        <v>-102.81</v>
      </c>
      <c r="M38" s="28">
        <f>ROUND($X$11*$E38,2)</f>
        <v>29.95</v>
      </c>
      <c r="N38" s="28">
        <f>ROUND($X$12*$E38,2)</f>
        <v>104.89</v>
      </c>
      <c r="O38" s="28">
        <f t="shared" si="4"/>
        <v>5322.6184084595634</v>
      </c>
      <c r="P38" s="28">
        <f>+H38+L38+M38+N38</f>
        <v>5003.5038749999994</v>
      </c>
      <c r="Q38" s="54">
        <f>ROUND((P38-O38)/O38,4)</f>
        <v>-0.06</v>
      </c>
      <c r="R38" s="28">
        <f t="shared" si="5"/>
        <v>-52.122000000000007</v>
      </c>
      <c r="S38" s="90">
        <f t="shared" si="6"/>
        <v>4951.3818749999991</v>
      </c>
      <c r="T38" s="91">
        <f t="shared" si="7"/>
        <v>-6.9699999999999998E-2</v>
      </c>
      <c r="U38" s="1"/>
      <c r="W38" s="7">
        <f>$W$20</f>
        <v>240.15187499999999</v>
      </c>
      <c r="X38" s="19">
        <f>$X$17*E38</f>
        <v>2324.0279999999998</v>
      </c>
      <c r="Y38" s="19">
        <f>ROUND((($A$35*INPUT!$E$98*$Y$17)+($A$35*$Y$18)),2)</f>
        <v>2716.71</v>
      </c>
      <c r="Z38" s="19"/>
      <c r="AA38" s="19">
        <f>W38+X38+Y38</f>
        <v>5280.8898749999998</v>
      </c>
      <c r="AB38" s="24"/>
      <c r="AC38" s="24"/>
      <c r="AD38" s="19"/>
      <c r="AF38" s="333">
        <f>AF$20</f>
        <v>240.15187499999999</v>
      </c>
      <c r="AG38" s="7">
        <f>$AG$17*E38</f>
        <v>2397.6119999999996</v>
      </c>
      <c r="AH38" s="19">
        <f>ROUND((($A$35*INPUT!$E$98*$AH$17)+($A$35*$AH$18)),2)</f>
        <v>2333.71</v>
      </c>
      <c r="AI38" s="19"/>
      <c r="AJ38" s="19">
        <f>AF38+AG38+AH38</f>
        <v>4971.4738749999997</v>
      </c>
      <c r="AK38" s="84">
        <f t="shared" si="8"/>
        <v>9.6985334595641106</v>
      </c>
      <c r="AL38" s="84">
        <f t="shared" si="9"/>
        <v>-52.122000000000007</v>
      </c>
      <c r="AM38" s="19"/>
      <c r="AN38" s="24"/>
      <c r="AO38" s="24"/>
      <c r="AP38" s="17"/>
      <c r="AQ38" s="38"/>
      <c r="AR38" s="17"/>
      <c r="AS38" s="394"/>
    </row>
    <row r="39" spans="1:45" x14ac:dyDescent="0.25">
      <c r="C39" s="13"/>
      <c r="E39" s="1"/>
      <c r="F39" s="1"/>
      <c r="G39" s="1"/>
      <c r="H39" s="1"/>
      <c r="I39" s="1"/>
      <c r="J39" s="90"/>
      <c r="K39" s="5"/>
      <c r="L39" s="1"/>
      <c r="M39" s="1"/>
      <c r="N39" s="1"/>
      <c r="O39" s="28"/>
      <c r="Q39" s="54"/>
      <c r="R39" s="1"/>
      <c r="S39" s="90"/>
      <c r="T39" s="91"/>
      <c r="U39" s="1"/>
      <c r="W39" s="7"/>
      <c r="X39" s="19"/>
      <c r="Y39" s="19"/>
      <c r="Z39" s="19"/>
      <c r="AA39" s="19"/>
      <c r="AB39" s="24"/>
      <c r="AC39" s="24"/>
      <c r="AF39" s="333"/>
      <c r="AG39" s="7"/>
      <c r="AH39" s="19"/>
      <c r="AI39" s="19"/>
      <c r="AJ39" s="19"/>
      <c r="AK39" s="84"/>
      <c r="AL39" s="84"/>
      <c r="AM39" s="19"/>
      <c r="AN39" s="24"/>
      <c r="AO39" s="17"/>
      <c r="AP39" s="17"/>
      <c r="AQ39" s="84"/>
      <c r="AR39" s="17"/>
      <c r="AS39" s="84"/>
    </row>
    <row r="40" spans="1:45" x14ac:dyDescent="0.25">
      <c r="A40" s="1">
        <v>200</v>
      </c>
      <c r="B40" s="1"/>
      <c r="C40" s="13">
        <v>0.1</v>
      </c>
      <c r="E40" s="1">
        <f>C40*($A$40*730)</f>
        <v>14600</v>
      </c>
      <c r="F40" s="1"/>
      <c r="G40" s="28">
        <f t="shared" si="0"/>
        <v>4305.1038749999998</v>
      </c>
      <c r="H40" s="28">
        <f t="shared" si="1"/>
        <v>3808.4598749999996</v>
      </c>
      <c r="I40" s="28">
        <f t="shared" si="2"/>
        <v>1.8473397065836401</v>
      </c>
      <c r="J40" s="90">
        <f t="shared" si="3"/>
        <v>-498.49133970658386</v>
      </c>
      <c r="K40" s="54">
        <f>ROUND(+J40/G40,4)</f>
        <v>-0.1158</v>
      </c>
      <c r="L40" s="28">
        <f>ROUND($X$10*$E40,2)</f>
        <v>-19.579999999999998</v>
      </c>
      <c r="M40" s="28">
        <f>ROUND($X$11*$E40,2)</f>
        <v>5.7</v>
      </c>
      <c r="N40" s="28">
        <f>ROUND($X$12*$E40,2)</f>
        <v>19.98</v>
      </c>
      <c r="O40" s="28">
        <f t="shared" si="4"/>
        <v>4313.0512147065829</v>
      </c>
      <c r="P40" s="28">
        <f>+H40+L40+M40+N40</f>
        <v>3814.5598749999995</v>
      </c>
      <c r="Q40" s="54">
        <f>ROUND((P40-O40)/O40,4)</f>
        <v>-0.11559999999999999</v>
      </c>
      <c r="R40" s="28">
        <f t="shared" si="5"/>
        <v>-9.9280000000000008</v>
      </c>
      <c r="S40" s="90">
        <f t="shared" si="6"/>
        <v>3804.6318749999996</v>
      </c>
      <c r="T40" s="91">
        <f t="shared" si="7"/>
        <v>-0.1179</v>
      </c>
      <c r="U40" s="1"/>
      <c r="W40" s="7">
        <f>$W$20</f>
        <v>240.15187499999999</v>
      </c>
      <c r="X40" s="19">
        <f>$X$17*E40</f>
        <v>442.67199999999997</v>
      </c>
      <c r="Y40" s="19">
        <f>ROUND((($A$40*INPUT!$E$98*$Y$17)+($A$40*$Y$18)),2)</f>
        <v>3622.28</v>
      </c>
      <c r="Z40" s="19"/>
      <c r="AA40" s="19">
        <f>W40+X40+Y40</f>
        <v>4305.1038749999998</v>
      </c>
      <c r="AB40" s="24"/>
      <c r="AC40" s="24"/>
      <c r="AD40" s="19"/>
      <c r="AF40" s="333">
        <f>AF$20</f>
        <v>240.15187499999999</v>
      </c>
      <c r="AG40" s="7">
        <f>$AG$17*E40</f>
        <v>456.68799999999993</v>
      </c>
      <c r="AH40" s="19">
        <f>ROUND((($A$40*INPUT!$E$98*$AH$17)+($A$40*$AH$18)),2)</f>
        <v>3111.62</v>
      </c>
      <c r="AI40" s="19"/>
      <c r="AJ40" s="19">
        <f>AF40+AG40+AH40</f>
        <v>3808.4598749999996</v>
      </c>
      <c r="AK40" s="84">
        <f t="shared" si="8"/>
        <v>1.8473397065836401</v>
      </c>
      <c r="AL40" s="84">
        <f t="shared" si="9"/>
        <v>-9.9280000000000008</v>
      </c>
      <c r="AM40" s="19"/>
      <c r="AN40" s="24"/>
      <c r="AO40" s="24"/>
      <c r="AP40" s="17"/>
      <c r="AQ40" s="38"/>
      <c r="AR40" s="17"/>
      <c r="AS40" s="394"/>
    </row>
    <row r="41" spans="1:45" x14ac:dyDescent="0.25">
      <c r="A41" s="1"/>
      <c r="B41" s="1"/>
      <c r="C41" s="13">
        <v>0.3</v>
      </c>
      <c r="E41" s="1">
        <f>C41*($A$40*730)</f>
        <v>43800</v>
      </c>
      <c r="F41" s="1"/>
      <c r="G41" s="28">
        <f t="shared" ref="G41" si="40">+AA41</f>
        <v>5190.4478749999998</v>
      </c>
      <c r="H41" s="28">
        <f t="shared" ref="H41" si="41">+AJ41</f>
        <v>4721.8358749999998</v>
      </c>
      <c r="I41" s="28">
        <f t="shared" ref="I41" si="42">AK41</f>
        <v>5.542019119750921</v>
      </c>
      <c r="J41" s="90">
        <f t="shared" ref="J41" si="43">+H41-(I41+G41)</f>
        <v>-474.15401911975096</v>
      </c>
      <c r="K41" s="54">
        <f>ROUND(+J41/G41,4)</f>
        <v>-9.1399999999999995E-2</v>
      </c>
      <c r="L41" s="28">
        <f>ROUND($X$10*$E41,2)</f>
        <v>-58.75</v>
      </c>
      <c r="M41" s="28">
        <f>ROUND($X$11*$E41,2)</f>
        <v>17.11</v>
      </c>
      <c r="N41" s="28">
        <f>ROUND($X$12*$E41,2)</f>
        <v>59.93</v>
      </c>
      <c r="O41" s="28">
        <f t="shared" ref="O41" si="44">+G41+I41+L41+M41+N41</f>
        <v>5214.2798941197507</v>
      </c>
      <c r="P41" s="28">
        <f>+H41+L41+M41+N41</f>
        <v>4740.1258749999997</v>
      </c>
      <c r="Q41" s="54">
        <f>ROUND((P41-O41)/O41,4)</f>
        <v>-9.0899999999999995E-2</v>
      </c>
      <c r="R41" s="28">
        <f t="shared" ref="R41" si="45">AL41</f>
        <v>-29.784000000000002</v>
      </c>
      <c r="S41" s="90">
        <f t="shared" ref="S41" si="46">P41+R41</f>
        <v>4710.3418750000001</v>
      </c>
      <c r="T41" s="91">
        <f t="shared" ref="T41" si="47">ROUND((S41-O41)/O41,4)</f>
        <v>-9.6600000000000005E-2</v>
      </c>
      <c r="U41" s="1"/>
      <c r="W41" s="7">
        <f>$W$20</f>
        <v>240.15187499999999</v>
      </c>
      <c r="X41" s="19">
        <f>$X$17*E41</f>
        <v>1328.0160000000001</v>
      </c>
      <c r="Y41" s="19">
        <f>ROUND((($A$40*INPUT!$E$98*$Y$17)+($A$40*$Y$18)),2)</f>
        <v>3622.28</v>
      </c>
      <c r="Z41" s="19"/>
      <c r="AA41" s="19">
        <f>W41+X41+Y41</f>
        <v>5190.4478749999998</v>
      </c>
      <c r="AB41" s="24"/>
      <c r="AC41" s="24"/>
      <c r="AD41" s="19"/>
      <c r="AF41" s="333">
        <f>AF$20</f>
        <v>240.15187499999999</v>
      </c>
      <c r="AG41" s="7">
        <f>$AG$17*E41</f>
        <v>1370.0639999999999</v>
      </c>
      <c r="AH41" s="19">
        <f>ROUND((($A$40*INPUT!$E$98*$AH$17)+($A$40*$AH$18)),2)</f>
        <v>3111.62</v>
      </c>
      <c r="AI41" s="19"/>
      <c r="AJ41" s="19">
        <f>AF41+AG41+AH41</f>
        <v>4721.8358749999998</v>
      </c>
      <c r="AK41" s="84">
        <f t="shared" ref="AK41" si="48">$AK$17*E41</f>
        <v>5.542019119750921</v>
      </c>
      <c r="AL41" s="84">
        <f t="shared" ref="AL41" si="49">$AL$17*E41</f>
        <v>-29.784000000000002</v>
      </c>
      <c r="AM41" s="19"/>
      <c r="AN41" s="24"/>
      <c r="AO41" s="24"/>
      <c r="AP41" s="17"/>
      <c r="AQ41" s="38"/>
      <c r="AR41" s="17"/>
      <c r="AS41" s="394"/>
    </row>
    <row r="42" spans="1:45" x14ac:dyDescent="0.25">
      <c r="C42" s="13">
        <v>0.5</v>
      </c>
      <c r="E42" s="1">
        <f>C42*($A$40*730)</f>
        <v>73000</v>
      </c>
      <c r="F42" s="1"/>
      <c r="G42" s="28">
        <f t="shared" si="0"/>
        <v>6075.7918750000008</v>
      </c>
      <c r="H42" s="28">
        <f t="shared" si="1"/>
        <v>5635.2118749999991</v>
      </c>
      <c r="I42" s="28">
        <f t="shared" si="2"/>
        <v>9.2366985329182008</v>
      </c>
      <c r="J42" s="90">
        <f t="shared" si="3"/>
        <v>-449.81669853291987</v>
      </c>
      <c r="K42" s="54">
        <f>ROUND(+J42/G42,4)</f>
        <v>-7.3999999999999996E-2</v>
      </c>
      <c r="L42" s="28">
        <f>ROUND($X$10*$E42,2)</f>
        <v>-97.91</v>
      </c>
      <c r="M42" s="28">
        <f>ROUND($X$11*$E42,2)</f>
        <v>28.52</v>
      </c>
      <c r="N42" s="28">
        <f>ROUND($X$12*$E42,2)</f>
        <v>99.89</v>
      </c>
      <c r="O42" s="28">
        <f t="shared" si="4"/>
        <v>6115.5285735329198</v>
      </c>
      <c r="P42" s="28">
        <f>+H42+L42+M42+N42</f>
        <v>5665.711875</v>
      </c>
      <c r="Q42" s="54">
        <f>ROUND((P42-O42)/O42,4)</f>
        <v>-7.3599999999999999E-2</v>
      </c>
      <c r="R42" s="28">
        <f t="shared" si="5"/>
        <v>-49.64</v>
      </c>
      <c r="S42" s="90">
        <f t="shared" si="6"/>
        <v>5616.0718749999996</v>
      </c>
      <c r="T42" s="91">
        <f t="shared" si="7"/>
        <v>-8.1699999999999995E-2</v>
      </c>
      <c r="U42" s="1"/>
      <c r="W42" s="7">
        <f>$W$20</f>
        <v>240.15187499999999</v>
      </c>
      <c r="X42" s="19">
        <f>$X$17*E42</f>
        <v>2213.36</v>
      </c>
      <c r="Y42" s="19">
        <f>ROUND((($A$40*INPUT!$E$98*$Y$17)+($A$40*$Y$18)),2)</f>
        <v>3622.28</v>
      </c>
      <c r="Z42" s="19"/>
      <c r="AA42" s="19">
        <f>W42+X42+Y42</f>
        <v>6075.7918750000008</v>
      </c>
      <c r="AB42" s="24"/>
      <c r="AC42" s="24"/>
      <c r="AD42" s="19"/>
      <c r="AF42" s="333">
        <f>AF$20</f>
        <v>240.15187499999999</v>
      </c>
      <c r="AG42" s="7">
        <f>$AG$17*E42</f>
        <v>2283.4399999999996</v>
      </c>
      <c r="AH42" s="19">
        <f>ROUND((($A$40*INPUT!$E$98*$AH$17)+($A$40*$AH$18)),2)</f>
        <v>3111.62</v>
      </c>
      <c r="AI42" s="19"/>
      <c r="AJ42" s="19">
        <f>AF42+AG42+AH42</f>
        <v>5635.2118749999991</v>
      </c>
      <c r="AK42" s="84">
        <f t="shared" si="8"/>
        <v>9.2366985329182008</v>
      </c>
      <c r="AL42" s="84">
        <f t="shared" si="9"/>
        <v>-49.64</v>
      </c>
      <c r="AM42" s="19"/>
      <c r="AN42" s="24"/>
      <c r="AO42" s="24"/>
      <c r="AP42" s="17"/>
      <c r="AQ42" s="38"/>
      <c r="AR42" s="17"/>
      <c r="AS42" s="394"/>
    </row>
    <row r="43" spans="1:45" x14ac:dyDescent="0.25">
      <c r="C43" s="13">
        <v>0.7</v>
      </c>
      <c r="E43" s="1">
        <f>C43*($A$40*730)</f>
        <v>102200</v>
      </c>
      <c r="F43" s="1"/>
      <c r="G43" s="28">
        <f t="shared" si="0"/>
        <v>6961.1358749999999</v>
      </c>
      <c r="H43" s="28">
        <f t="shared" si="1"/>
        <v>6548.5878749999993</v>
      </c>
      <c r="I43" s="28">
        <f t="shared" si="2"/>
        <v>12.931377946085481</v>
      </c>
      <c r="J43" s="90">
        <f t="shared" si="3"/>
        <v>-425.47937794608606</v>
      </c>
      <c r="K43" s="54">
        <f>ROUND(+J43/G43,4)</f>
        <v>-6.1100000000000002E-2</v>
      </c>
      <c r="L43" s="28">
        <f>ROUND($X$10*$E43,2)</f>
        <v>-137.08000000000001</v>
      </c>
      <c r="M43" s="28">
        <f>ROUND($X$11*$E43,2)</f>
        <v>39.93</v>
      </c>
      <c r="N43" s="28">
        <f>ROUND($X$12*$E43,2)</f>
        <v>139.85</v>
      </c>
      <c r="O43" s="28">
        <f>+G43+I43+L43+M43+N43</f>
        <v>7016.767252946086</v>
      </c>
      <c r="P43" s="28">
        <f>+H43+L43+M43+N43</f>
        <v>6591.287875</v>
      </c>
      <c r="Q43" s="54">
        <f>ROUND((P43-O43)/O43,4)</f>
        <v>-6.0600000000000001E-2</v>
      </c>
      <c r="R43" s="28">
        <f t="shared" si="5"/>
        <v>-69.496000000000009</v>
      </c>
      <c r="S43" s="90">
        <f t="shared" si="6"/>
        <v>6521.7918749999999</v>
      </c>
      <c r="T43" s="91">
        <f t="shared" si="7"/>
        <v>-7.0499999999999993E-2</v>
      </c>
      <c r="U43" s="1"/>
      <c r="W43" s="7">
        <f>$W$20</f>
        <v>240.15187499999999</v>
      </c>
      <c r="X43" s="19">
        <f>$X$17*E43</f>
        <v>3098.7040000000002</v>
      </c>
      <c r="Y43" s="19">
        <f>ROUND((($A$40*INPUT!$E$98*$Y$17)+($A$40*$Y$18)),2)</f>
        <v>3622.28</v>
      </c>
      <c r="Z43" s="19"/>
      <c r="AA43" s="19">
        <f>W43+X43+Y43</f>
        <v>6961.1358749999999</v>
      </c>
      <c r="AB43" s="24"/>
      <c r="AC43" s="24"/>
      <c r="AD43" s="19"/>
      <c r="AF43" s="333">
        <f>AF$20</f>
        <v>240.15187499999999</v>
      </c>
      <c r="AG43" s="7">
        <f>$AG$17*E43</f>
        <v>3196.8159999999993</v>
      </c>
      <c r="AH43" s="19">
        <f>ROUND((($A$40*INPUT!$E$98*$AH$17)+($A$40*$AH$18)),2)</f>
        <v>3111.62</v>
      </c>
      <c r="AI43" s="19"/>
      <c r="AJ43" s="19">
        <f>AF43+AG43+AH43</f>
        <v>6548.5878749999993</v>
      </c>
      <c r="AK43" s="84">
        <f>$AK$17*E43</f>
        <v>12.931377946085481</v>
      </c>
      <c r="AL43" s="84">
        <f>$AL$17*E43</f>
        <v>-69.496000000000009</v>
      </c>
      <c r="AM43" s="19"/>
      <c r="AN43" s="24"/>
      <c r="AO43" s="24"/>
      <c r="AP43" s="17"/>
      <c r="AQ43" s="38"/>
      <c r="AR43" s="17"/>
      <c r="AS43" s="394"/>
    </row>
    <row r="44" spans="1:45" x14ac:dyDescent="0.25">
      <c r="X44" s="19"/>
      <c r="Y44" s="19"/>
      <c r="Z44" s="19"/>
      <c r="AA44" s="19"/>
      <c r="AB44" s="19"/>
      <c r="AC44" s="19"/>
      <c r="AI44" s="19"/>
    </row>
    <row r="45" spans="1:45" x14ac:dyDescent="0.25">
      <c r="A45" s="17" t="s">
        <v>301</v>
      </c>
      <c r="N45" s="51"/>
      <c r="X45" s="19"/>
      <c r="Y45" s="19"/>
      <c r="Z45" s="19"/>
      <c r="AA45" s="19"/>
      <c r="AB45" s="19"/>
      <c r="AC45" s="19"/>
    </row>
    <row r="46" spans="1:45" x14ac:dyDescent="0.25">
      <c r="A46" s="174" t="str">
        <f>("Average Usage = "&amp;TEXT(INPUT!$R26*1,"0")&amp;" kWh per month")</f>
        <v>Average Usage = 0 kWh per month</v>
      </c>
      <c r="G46" s="29"/>
      <c r="H46" s="87" t="s">
        <v>424</v>
      </c>
      <c r="I46" s="87"/>
      <c r="X46" s="19"/>
      <c r="Y46" s="19"/>
      <c r="Z46" s="19"/>
      <c r="AA46" s="19"/>
      <c r="AB46" s="19"/>
      <c r="AC46" s="19"/>
    </row>
    <row r="47" spans="1:45" x14ac:dyDescent="0.25">
      <c r="A47" s="174" t="str">
        <f>("Average Demand = "&amp;TEXT(INPUT!I111,"0")&amp;" kW per month")</f>
        <v>Average Demand = 0 kW per month</v>
      </c>
      <c r="G47" s="29"/>
      <c r="H47" s="87"/>
      <c r="I47" s="87"/>
      <c r="X47" s="19"/>
      <c r="Y47" s="19"/>
      <c r="Z47" s="19"/>
      <c r="AA47" s="19"/>
      <c r="AB47" s="19"/>
      <c r="AC47" s="19"/>
    </row>
    <row r="48" spans="1:45" x14ac:dyDescent="0.25">
      <c r="A48" s="175" t="s">
        <v>302</v>
      </c>
      <c r="C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I48" s="30"/>
      <c r="AJ48" s="19"/>
      <c r="AK48" s="19"/>
      <c r="AL48" s="19"/>
      <c r="AM48" s="19"/>
      <c r="AN48" s="19"/>
      <c r="AO48" s="19"/>
      <c r="AP48" s="19"/>
      <c r="AQ48" s="6"/>
    </row>
    <row r="49" spans="1:35" x14ac:dyDescent="0.25">
      <c r="A49" s="176" t="s">
        <v>607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X49" s="12"/>
      <c r="AI49" s="9"/>
    </row>
    <row r="50" spans="1:35" x14ac:dyDescent="0.25">
      <c r="A50" s="175" t="str">
        <f>+'Rate Case Constants'!$C$26</f>
        <v>Calculations may vary from other schedules due to rounding</v>
      </c>
      <c r="AI50" s="9"/>
    </row>
    <row r="51" spans="1:35" ht="13" x14ac:dyDescent="0.3">
      <c r="A51" s="178"/>
      <c r="W51" s="3"/>
      <c r="AA51" s="3"/>
      <c r="AE51" s="3"/>
      <c r="AI51" s="9"/>
    </row>
    <row r="52" spans="1:35" ht="13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E52" s="3"/>
      <c r="AF52" s="2"/>
      <c r="AG52" s="3"/>
      <c r="AI52" s="3"/>
    </row>
    <row r="53" spans="1:35" ht="13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E53" s="3"/>
      <c r="AF53" s="2"/>
      <c r="AG53" s="3"/>
      <c r="AI53" s="3"/>
    </row>
    <row r="54" spans="1:35" ht="13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</row>
    <row r="55" spans="1:35" x14ac:dyDescent="0.25">
      <c r="B55" s="17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AA55" s="12"/>
      <c r="AB55" s="12"/>
      <c r="AC55" s="12"/>
      <c r="AE55" s="6"/>
      <c r="AG55" s="6"/>
      <c r="AI55" s="9"/>
    </row>
    <row r="56" spans="1:35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AA56" s="12"/>
      <c r="AB56" s="12"/>
      <c r="AC56" s="12"/>
      <c r="AE56" s="6"/>
      <c r="AG56" s="6"/>
      <c r="AI56" s="9"/>
    </row>
    <row r="57" spans="1:35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AA57" s="12"/>
      <c r="AB57" s="12"/>
      <c r="AC57" s="12"/>
      <c r="AE57" s="6"/>
      <c r="AG57" s="6"/>
      <c r="AI57" s="9"/>
    </row>
    <row r="58" spans="1:35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AA58" s="12"/>
      <c r="AB58" s="12"/>
      <c r="AC58" s="12"/>
      <c r="AE58" s="6"/>
      <c r="AF58" s="10"/>
      <c r="AG58" s="6"/>
      <c r="AH58" s="10"/>
      <c r="AI58" s="9"/>
    </row>
    <row r="59" spans="1:35" ht="6.75" customHeight="1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AA59" s="12"/>
      <c r="AB59" s="12"/>
      <c r="AC59" s="12"/>
      <c r="AE59" s="6"/>
      <c r="AF59" s="10"/>
      <c r="AG59" s="6"/>
      <c r="AH59" s="10"/>
      <c r="AI59" s="9"/>
    </row>
    <row r="60" spans="1:35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AA60" s="12"/>
      <c r="AB60" s="12"/>
      <c r="AC60" s="12"/>
      <c r="AE60" s="6"/>
      <c r="AG60" s="6"/>
      <c r="AI60" s="9"/>
    </row>
    <row r="61" spans="1:35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AA61" s="12"/>
      <c r="AB61" s="12"/>
      <c r="AC61" s="12"/>
      <c r="AE61" s="6"/>
      <c r="AG61" s="6"/>
      <c r="AI61" s="9"/>
    </row>
    <row r="62" spans="1:35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AA62" s="12"/>
      <c r="AB62" s="12"/>
      <c r="AC62" s="12"/>
      <c r="AE62" s="6"/>
      <c r="AG62" s="6"/>
      <c r="AI62" s="9"/>
    </row>
    <row r="63" spans="1:35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AA63" s="12"/>
      <c r="AB63" s="12"/>
      <c r="AC63" s="12"/>
      <c r="AE63" s="6"/>
      <c r="AG63" s="6"/>
      <c r="AI63" s="9"/>
    </row>
    <row r="64" spans="1:35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AA64" s="12"/>
      <c r="AB64" s="12"/>
      <c r="AC64" s="12"/>
      <c r="AE64" s="6"/>
      <c r="AG64" s="6"/>
      <c r="AI64" s="9"/>
    </row>
    <row r="65" spans="5:41" ht="6.75" customHeight="1" x14ac:dyDescent="0.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7"/>
      <c r="X65" s="12"/>
      <c r="AA65" s="12"/>
      <c r="AB65" s="12"/>
      <c r="AC65" s="12"/>
      <c r="AE65" s="6"/>
      <c r="AG65" s="6"/>
      <c r="AI65" s="9"/>
    </row>
    <row r="66" spans="5:41" x14ac:dyDescent="0.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7"/>
      <c r="X66" s="12"/>
      <c r="AA66" s="12"/>
      <c r="AB66" s="12"/>
      <c r="AC66" s="12"/>
      <c r="AE66" s="6"/>
      <c r="AG66" s="6"/>
      <c r="AI66" s="9"/>
    </row>
    <row r="67" spans="5:41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7"/>
      <c r="X67" s="12"/>
      <c r="AA67" s="12"/>
      <c r="AB67" s="12"/>
      <c r="AC67" s="12"/>
      <c r="AE67" s="6"/>
      <c r="AG67" s="6"/>
      <c r="AI67" s="9"/>
    </row>
    <row r="68" spans="5:41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7"/>
      <c r="X68" s="12"/>
      <c r="AA68" s="12"/>
      <c r="AB68" s="12"/>
      <c r="AC68" s="12"/>
      <c r="AE68" s="6"/>
      <c r="AG68" s="6"/>
      <c r="AI68" s="9"/>
    </row>
    <row r="69" spans="5:41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7"/>
      <c r="X69" s="12"/>
      <c r="AA69" s="12"/>
      <c r="AB69" s="12"/>
      <c r="AC69" s="12"/>
      <c r="AE69" s="6"/>
      <c r="AG69" s="6"/>
      <c r="AI69" s="9"/>
    </row>
    <row r="70" spans="5:41" ht="13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</row>
    <row r="71" spans="5:41" ht="13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</row>
    <row r="72" spans="5:41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I72" s="9"/>
    </row>
    <row r="73" spans="5:41" x14ac:dyDescent="0.25">
      <c r="AN73" s="4"/>
      <c r="AO73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5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79998168889431442"/>
    <pageSetUpPr fitToPage="1"/>
  </sheetPr>
  <dimension ref="A1:AI44"/>
  <sheetViews>
    <sheetView zoomScale="80" zoomScaleNormal="80" zoomScaleSheetLayoutView="90" workbookViewId="0">
      <selection sqref="A1:P1"/>
    </sheetView>
  </sheetViews>
  <sheetFormatPr defaultColWidth="9.1796875" defaultRowHeight="12.5" x14ac:dyDescent="0.25"/>
  <cols>
    <col min="1" max="1" width="10" style="17" customWidth="1"/>
    <col min="2" max="2" width="3.54296875" style="17" customWidth="1"/>
    <col min="3" max="4" width="10.1796875" style="17" bestFit="1" customWidth="1"/>
    <col min="5" max="5" width="11.453125" style="17" bestFit="1" customWidth="1"/>
    <col min="6" max="6" width="12.1796875" style="17" bestFit="1" customWidth="1"/>
    <col min="7" max="7" width="9.26953125" style="17" bestFit="1" customWidth="1"/>
    <col min="8" max="8" width="10.7265625" style="17" bestFit="1" customWidth="1"/>
    <col min="9" max="9" width="10" style="17" bestFit="1" customWidth="1"/>
    <col min="10" max="10" width="10" style="17" customWidth="1"/>
    <col min="11" max="11" width="12.7265625" style="17" bestFit="1" customWidth="1"/>
    <col min="12" max="12" width="10.54296875" style="17" bestFit="1" customWidth="1"/>
    <col min="13" max="13" width="9.26953125" style="17" bestFit="1" customWidth="1"/>
    <col min="14" max="16" width="9.26953125" style="17" customWidth="1"/>
    <col min="17" max="17" width="11" style="17" customWidth="1"/>
    <col min="18" max="18" width="10.1796875" style="17" customWidth="1"/>
    <col min="19" max="20" width="3.54296875" style="17" customWidth="1"/>
    <col min="21" max="21" width="11.81640625" style="17" customWidth="1"/>
    <col min="22" max="22" width="9.81640625" style="17" customWidth="1"/>
    <col min="23" max="23" width="9.54296875" style="17" customWidth="1"/>
    <col min="24" max="24" width="7.1796875" style="17" customWidth="1"/>
    <col min="25" max="25" width="11.54296875" style="17" customWidth="1"/>
    <col min="26" max="26" width="9.54296875" style="17" customWidth="1"/>
    <col min="27" max="27" width="9.1796875" style="17"/>
    <col min="28" max="28" width="12.26953125" style="17" bestFit="1" customWidth="1"/>
    <col min="29" max="29" width="18.453125" style="17" customWidth="1"/>
    <col min="30" max="31" width="3" style="17" customWidth="1"/>
    <col min="32" max="32" width="9.1796875" style="17"/>
    <col min="33" max="33" width="2.7265625" style="17" customWidth="1"/>
    <col min="34" max="16384" width="9.1796875" style="17"/>
  </cols>
  <sheetData>
    <row r="1" spans="1:35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5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5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35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5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5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35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35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'Rate Case Constants'!L30</f>
        <v>PAGE 23 of 24</v>
      </c>
    </row>
    <row r="9" spans="1:3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N9" s="203"/>
      <c r="O9" s="203"/>
      <c r="P9" s="203" t="str">
        <f>+'Rate Case Constants'!C36</f>
        <v>WITNESS:   R. M. CONROY</v>
      </c>
    </row>
    <row r="10" spans="1:35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1"/>
      <c r="N10" s="201"/>
      <c r="O10" s="201"/>
      <c r="P10" s="201"/>
      <c r="U10" s="83" t="s">
        <v>68</v>
      </c>
      <c r="V10" s="83">
        <f>+INPUT!$H$82</f>
        <v>0</v>
      </c>
    </row>
    <row r="11" spans="1:35" ht="13" x14ac:dyDescent="0.3">
      <c r="A11" s="204" t="s">
        <v>469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3" t="s">
        <v>70</v>
      </c>
      <c r="V11" s="83">
        <f>+INPUT!$I$82</f>
        <v>0</v>
      </c>
      <c r="W11" s="87"/>
      <c r="X11" s="87"/>
      <c r="Y11" s="138"/>
      <c r="Z11" s="87"/>
      <c r="AA11" s="87"/>
      <c r="AB11" s="87"/>
      <c r="AC11" s="87"/>
    </row>
    <row r="12" spans="1:35" ht="13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3" t="s">
        <v>69</v>
      </c>
      <c r="V12" s="83">
        <f>+INPUT!$J$82</f>
        <v>0</v>
      </c>
      <c r="W12" s="87"/>
      <c r="X12" s="87"/>
      <c r="Y12" s="87"/>
      <c r="Z12" s="87"/>
      <c r="AA12" s="87"/>
      <c r="AB12" s="87"/>
      <c r="AC12" s="87"/>
    </row>
    <row r="13" spans="1:35" ht="13" x14ac:dyDescent="0.3">
      <c r="A13" s="87"/>
      <c r="B13" s="87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35" ht="13" x14ac:dyDescent="0.3">
      <c r="C14" s="195" t="s">
        <v>313</v>
      </c>
      <c r="D14" s="195" t="s">
        <v>313</v>
      </c>
      <c r="E14" s="195" t="s">
        <v>69</v>
      </c>
      <c r="K14" s="85" t="s">
        <v>5</v>
      </c>
      <c r="L14" s="85" t="s">
        <v>5</v>
      </c>
      <c r="N14" s="85" t="s">
        <v>592</v>
      </c>
      <c r="O14" s="85" t="s">
        <v>5</v>
      </c>
      <c r="U14" s="139" t="s">
        <v>56</v>
      </c>
      <c r="V14" s="139"/>
      <c r="W14" s="139"/>
      <c r="Y14" s="139" t="s">
        <v>57</v>
      </c>
      <c r="Z14" s="139"/>
      <c r="AA14" s="139"/>
      <c r="AB14" s="46"/>
      <c r="AC14" s="46" t="s">
        <v>476</v>
      </c>
    </row>
    <row r="15" spans="1:35" ht="13" x14ac:dyDescent="0.3">
      <c r="C15" s="85" t="s">
        <v>1</v>
      </c>
      <c r="D15" s="85" t="s">
        <v>71</v>
      </c>
      <c r="E15" s="85" t="s">
        <v>470</v>
      </c>
      <c r="F15" s="85"/>
      <c r="G15" s="85"/>
      <c r="H15" s="407" t="s">
        <v>245</v>
      </c>
      <c r="I15" s="407"/>
      <c r="J15" s="408"/>
      <c r="K15" s="85" t="s">
        <v>1</v>
      </c>
      <c r="L15" s="85" t="s">
        <v>71</v>
      </c>
      <c r="M15" s="85"/>
      <c r="N15" s="85" t="s">
        <v>593</v>
      </c>
      <c r="O15" s="85" t="s">
        <v>71</v>
      </c>
      <c r="P15" s="85"/>
      <c r="Q15" s="85"/>
      <c r="R15" s="85"/>
      <c r="U15" s="86" t="s">
        <v>59</v>
      </c>
      <c r="V15" s="85"/>
      <c r="W15" s="86"/>
      <c r="Y15" s="86" t="s">
        <v>59</v>
      </c>
      <c r="Z15" s="85"/>
      <c r="AA15" s="86"/>
      <c r="AB15" s="86"/>
      <c r="AC15" s="85" t="s">
        <v>592</v>
      </c>
    </row>
    <row r="16" spans="1:35" ht="13" x14ac:dyDescent="0.3">
      <c r="A16" s="85"/>
      <c r="B16" s="85"/>
      <c r="C16" s="85" t="s">
        <v>4</v>
      </c>
      <c r="D16" s="85" t="s">
        <v>4</v>
      </c>
      <c r="E16" s="85" t="s">
        <v>471</v>
      </c>
      <c r="F16" s="85" t="s">
        <v>72</v>
      </c>
      <c r="G16" s="85" t="s">
        <v>72</v>
      </c>
      <c r="H16" s="85" t="s">
        <v>320</v>
      </c>
      <c r="I16" s="85" t="s">
        <v>70</v>
      </c>
      <c r="J16" s="85" t="s">
        <v>69</v>
      </c>
      <c r="K16" s="85" t="s">
        <v>4</v>
      </c>
      <c r="L16" s="85" t="s">
        <v>4</v>
      </c>
      <c r="M16" s="85" t="s">
        <v>72</v>
      </c>
      <c r="N16" s="85" t="s">
        <v>439</v>
      </c>
      <c r="O16" s="85" t="s">
        <v>443</v>
      </c>
      <c r="P16" s="85" t="s">
        <v>72</v>
      </c>
      <c r="Q16" s="85"/>
      <c r="R16" s="85"/>
      <c r="S16" s="85"/>
      <c r="T16" s="85"/>
      <c r="U16" s="86" t="s">
        <v>58</v>
      </c>
      <c r="V16" s="85" t="s">
        <v>53</v>
      </c>
      <c r="W16" s="86" t="s">
        <v>5</v>
      </c>
      <c r="Y16" s="86" t="s">
        <v>58</v>
      </c>
      <c r="Z16" s="85" t="s">
        <v>53</v>
      </c>
      <c r="AA16" s="86" t="s">
        <v>5</v>
      </c>
      <c r="AB16" s="86" t="s">
        <v>69</v>
      </c>
      <c r="AC16" s="85" t="s">
        <v>593</v>
      </c>
      <c r="AE16" s="83"/>
      <c r="AF16" s="85"/>
      <c r="AG16" s="85"/>
      <c r="AH16" s="85"/>
      <c r="AI16" s="85"/>
    </row>
    <row r="17" spans="1:35" ht="13" x14ac:dyDescent="0.3">
      <c r="A17" s="85" t="s">
        <v>422</v>
      </c>
      <c r="B17" s="85"/>
      <c r="C17" s="85"/>
      <c r="D17" s="85"/>
      <c r="E17" s="85"/>
      <c r="F17" s="85" t="s">
        <v>66</v>
      </c>
      <c r="G17" s="86" t="s">
        <v>67</v>
      </c>
      <c r="H17" s="88"/>
      <c r="I17" s="88"/>
      <c r="J17" s="89"/>
      <c r="K17" s="85" t="s">
        <v>66</v>
      </c>
      <c r="L17" s="85" t="s">
        <v>66</v>
      </c>
      <c r="M17" s="86" t="s">
        <v>67</v>
      </c>
      <c r="N17" s="86"/>
      <c r="O17" s="86" t="s">
        <v>439</v>
      </c>
      <c r="P17" s="86" t="s">
        <v>67</v>
      </c>
      <c r="Q17" s="85"/>
      <c r="R17" s="85"/>
      <c r="S17" s="85"/>
      <c r="T17" s="85"/>
      <c r="U17" s="261" t="s">
        <v>3</v>
      </c>
      <c r="V17" s="262" t="s">
        <v>3</v>
      </c>
      <c r="W17" s="261" t="s">
        <v>4</v>
      </c>
      <c r="Y17" s="261" t="s">
        <v>3</v>
      </c>
      <c r="Z17" s="262" t="s">
        <v>3</v>
      </c>
      <c r="AA17" s="261" t="s">
        <v>4</v>
      </c>
      <c r="AB17" s="386" t="s">
        <v>471</v>
      </c>
      <c r="AC17" s="350" t="s">
        <v>439</v>
      </c>
      <c r="AE17" s="83"/>
      <c r="AF17" s="85"/>
      <c r="AG17" s="85"/>
      <c r="AH17" s="85"/>
      <c r="AI17" s="85"/>
    </row>
    <row r="18" spans="1:35" ht="13" x14ac:dyDescent="0.3">
      <c r="A18" s="262"/>
      <c r="B18" s="262"/>
      <c r="C18" s="262"/>
      <c r="D18" s="262"/>
      <c r="E18" s="351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85"/>
      <c r="R18" s="85"/>
      <c r="S18" s="85"/>
      <c r="T18" s="85"/>
      <c r="U18" s="86"/>
      <c r="V18" s="140">
        <f>INPUT!T20</f>
        <v>0.75</v>
      </c>
      <c r="W18" s="86"/>
      <c r="Y18" s="86"/>
      <c r="Z18" s="140">
        <f>INPUT!$T$47</f>
        <v>0.75</v>
      </c>
      <c r="AA18" s="86"/>
      <c r="AB18" s="86">
        <f>INPUT!K82</f>
        <v>0</v>
      </c>
      <c r="AC18" s="86">
        <f>INPUT!T52*4.01</f>
        <v>-2.7268000000000001E-3</v>
      </c>
      <c r="AE18" s="83"/>
      <c r="AF18" s="85"/>
      <c r="AG18" s="85"/>
      <c r="AH18" s="85"/>
      <c r="AI18" s="85"/>
    </row>
    <row r="19" spans="1:35" ht="13" x14ac:dyDescent="0.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140">
        <f>INPUT!T21</f>
        <v>1</v>
      </c>
      <c r="W19" s="86"/>
      <c r="Y19" s="86"/>
      <c r="Z19" s="140">
        <f>INPUT!$T$48</f>
        <v>1</v>
      </c>
      <c r="AA19" s="86"/>
      <c r="AB19" s="86" t="s">
        <v>11</v>
      </c>
      <c r="AC19" s="86" t="s">
        <v>477</v>
      </c>
      <c r="AE19" s="83"/>
      <c r="AF19" s="85"/>
      <c r="AG19" s="85"/>
      <c r="AH19" s="85"/>
      <c r="AI19" s="85"/>
    </row>
    <row r="20" spans="1:35" ht="13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V20" s="85" t="s">
        <v>423</v>
      </c>
      <c r="W20" s="85"/>
      <c r="Z20" s="85" t="s">
        <v>423</v>
      </c>
      <c r="AA20" s="85"/>
      <c r="AB20" s="85"/>
      <c r="AC20" s="85"/>
    </row>
    <row r="21" spans="1:35" x14ac:dyDescent="0.25">
      <c r="A21" s="82">
        <v>1</v>
      </c>
      <c r="C21" s="90">
        <f>+W21</f>
        <v>0.75</v>
      </c>
      <c r="D21" s="90">
        <f>+AA21</f>
        <v>0.75</v>
      </c>
      <c r="E21" s="90">
        <f>AB21</f>
        <v>0</v>
      </c>
      <c r="F21" s="90">
        <f>+D21-(E21+C21)</f>
        <v>0</v>
      </c>
      <c r="G21" s="91">
        <f>ROUND(+F21/C21,4)</f>
        <v>0</v>
      </c>
      <c r="H21" s="90">
        <f>ROUND($V$10*$A21,2)</f>
        <v>0</v>
      </c>
      <c r="I21" s="90">
        <f>ROUND($V$11*$A21,2)</f>
        <v>0</v>
      </c>
      <c r="J21" s="90">
        <f>ROUND($V$12*$A21,2)</f>
        <v>0</v>
      </c>
      <c r="K21" s="90">
        <f>+C21+E21+H21+I21+J21</f>
        <v>0.75</v>
      </c>
      <c r="L21" s="90">
        <f>+D21+H21+I21+J21</f>
        <v>0.75</v>
      </c>
      <c r="M21" s="91">
        <f>ROUND((L21-K21)/K21,4)</f>
        <v>0</v>
      </c>
      <c r="N21" s="90">
        <f>AC21</f>
        <v>-2.7268000000000001E-3</v>
      </c>
      <c r="O21" s="90">
        <f>L21+N21</f>
        <v>0.74727319999999997</v>
      </c>
      <c r="P21" s="91">
        <f>ROUND((O21-K21)/K21,4)</f>
        <v>-3.5999999999999999E-3</v>
      </c>
      <c r="R21" s="141"/>
      <c r="U21" s="38">
        <f>+INPUT!$T$4</f>
        <v>0</v>
      </c>
      <c r="V21" s="84">
        <f>A21*$V$18</f>
        <v>0.75</v>
      </c>
      <c r="W21" s="84">
        <f>U21+V21</f>
        <v>0.75</v>
      </c>
      <c r="Y21" s="38">
        <f>INPUT!$T$32</f>
        <v>0</v>
      </c>
      <c r="Z21" s="84">
        <f>A21*$Z$18</f>
        <v>0.75</v>
      </c>
      <c r="AA21" s="84">
        <f>Y21+Z21</f>
        <v>0.75</v>
      </c>
      <c r="AB21" s="84">
        <f>$AB$18*A21</f>
        <v>0</v>
      </c>
      <c r="AC21" s="84">
        <f>$AC$18*A21</f>
        <v>-2.7268000000000001E-3</v>
      </c>
      <c r="AF21" s="84"/>
      <c r="AH21" s="141"/>
      <c r="AI21" s="141"/>
    </row>
    <row r="22" spans="1:35" x14ac:dyDescent="0.25">
      <c r="A22" s="82"/>
      <c r="C22" s="90"/>
      <c r="D22" s="90"/>
      <c r="E22" s="90"/>
      <c r="F22" s="90"/>
      <c r="K22" s="90"/>
      <c r="U22" s="38"/>
      <c r="V22" s="84"/>
      <c r="W22" s="84"/>
      <c r="Y22" s="38"/>
      <c r="Z22" s="84"/>
      <c r="AA22" s="84"/>
      <c r="AB22" s="84"/>
      <c r="AC22" s="84"/>
      <c r="AH22" s="141"/>
      <c r="AI22" s="141"/>
    </row>
    <row r="23" spans="1:35" x14ac:dyDescent="0.25">
      <c r="A23" s="82">
        <v>2</v>
      </c>
      <c r="C23" s="90">
        <f>+W23</f>
        <v>1.5</v>
      </c>
      <c r="D23" s="90">
        <f>+AA23</f>
        <v>1.5</v>
      </c>
      <c r="E23" s="90">
        <f t="shared" ref="E23:E35" si="0">AB23</f>
        <v>0</v>
      </c>
      <c r="F23" s="90">
        <f t="shared" ref="F23:F33" si="1">+D23-(E23+C23)</f>
        <v>0</v>
      </c>
      <c r="G23" s="91">
        <f>ROUND(+F23/C23,4)</f>
        <v>0</v>
      </c>
      <c r="H23" s="90">
        <f>ROUND($V$10*$A23,2)</f>
        <v>0</v>
      </c>
      <c r="I23" s="90">
        <f>ROUND($V$11*$A23,2)</f>
        <v>0</v>
      </c>
      <c r="J23" s="90">
        <f>ROUND($V$12*$A23,2)</f>
        <v>0</v>
      </c>
      <c r="K23" s="90">
        <f t="shared" ref="K23:K33" si="2">+C23+E23+H23+I23+J23</f>
        <v>1.5</v>
      </c>
      <c r="L23" s="90">
        <f>+D23+H23+I23+J23</f>
        <v>1.5</v>
      </c>
      <c r="M23" s="91">
        <f>ROUND((L23-K23)/K23,4)</f>
        <v>0</v>
      </c>
      <c r="N23" s="90">
        <f t="shared" ref="N23:N35" si="3">AC23</f>
        <v>-5.4536000000000003E-3</v>
      </c>
      <c r="O23" s="90">
        <f t="shared" ref="O23:O35" si="4">L23+N23</f>
        <v>1.4945463999999999</v>
      </c>
      <c r="P23" s="91">
        <f t="shared" ref="P23:P35" si="5">ROUND((O23-K23)/K23,4)</f>
        <v>-3.5999999999999999E-3</v>
      </c>
      <c r="U23" s="38">
        <f>$U$21</f>
        <v>0</v>
      </c>
      <c r="V23" s="84">
        <f>A23*$V$18</f>
        <v>1.5</v>
      </c>
      <c r="W23" s="84">
        <f>U23+V23</f>
        <v>1.5</v>
      </c>
      <c r="Y23" s="38">
        <f>Y$21</f>
        <v>0</v>
      </c>
      <c r="Z23" s="84">
        <f>A23*$Z$18</f>
        <v>1.5</v>
      </c>
      <c r="AA23" s="84">
        <f>Y23+Z23</f>
        <v>1.5</v>
      </c>
      <c r="AB23" s="84">
        <f t="shared" ref="AB23:AB33" si="6">$AB$18*A23</f>
        <v>0</v>
      </c>
      <c r="AC23" s="84">
        <f>$AC$18*A23</f>
        <v>-5.4536000000000003E-3</v>
      </c>
      <c r="AF23" s="84"/>
      <c r="AH23" s="141"/>
      <c r="AI23" s="141"/>
    </row>
    <row r="24" spans="1:35" x14ac:dyDescent="0.25">
      <c r="A24" s="82"/>
      <c r="C24" s="90"/>
      <c r="D24" s="90"/>
      <c r="E24" s="90"/>
      <c r="F24" s="90"/>
      <c r="G24" s="91"/>
      <c r="H24" s="90"/>
      <c r="I24" s="90"/>
      <c r="J24" s="90"/>
      <c r="K24" s="90"/>
      <c r="L24" s="90"/>
      <c r="M24" s="91"/>
      <c r="N24" s="90"/>
      <c r="O24" s="90"/>
      <c r="P24" s="91"/>
      <c r="U24" s="142"/>
      <c r="V24" s="84"/>
      <c r="W24" s="84"/>
      <c r="Y24" s="38"/>
      <c r="Z24" s="84"/>
      <c r="AA24" s="84"/>
      <c r="AB24" s="84"/>
      <c r="AC24" s="84"/>
      <c r="AH24" s="143"/>
      <c r="AI24" s="143"/>
    </row>
    <row r="25" spans="1:35" s="144" customFormat="1" x14ac:dyDescent="0.25">
      <c r="A25" s="82">
        <v>3</v>
      </c>
      <c r="B25" s="17"/>
      <c r="C25" s="90">
        <f>+W25</f>
        <v>2.5</v>
      </c>
      <c r="D25" s="90">
        <f>+AA25</f>
        <v>2.5</v>
      </c>
      <c r="E25" s="90">
        <f t="shared" si="0"/>
        <v>0</v>
      </c>
      <c r="F25" s="90">
        <f t="shared" si="1"/>
        <v>0</v>
      </c>
      <c r="G25" s="91">
        <f>ROUND(+F25/C25,4)</f>
        <v>0</v>
      </c>
      <c r="H25" s="90">
        <f>ROUND($V$10*$A25,2)</f>
        <v>0</v>
      </c>
      <c r="I25" s="90">
        <f>ROUND($V$11*$A25,2)</f>
        <v>0</v>
      </c>
      <c r="J25" s="90">
        <f>ROUND($V$12*$A25,2)</f>
        <v>0</v>
      </c>
      <c r="K25" s="90">
        <f t="shared" si="2"/>
        <v>2.5</v>
      </c>
      <c r="L25" s="90">
        <f>+D25+H25+I25+J25</f>
        <v>2.5</v>
      </c>
      <c r="M25" s="91">
        <f>ROUND((L25-K25)/K25,4)</f>
        <v>0</v>
      </c>
      <c r="N25" s="90">
        <f t="shared" si="3"/>
        <v>-8.1804000000000009E-3</v>
      </c>
      <c r="O25" s="90">
        <f t="shared" si="4"/>
        <v>2.4918195999999999</v>
      </c>
      <c r="P25" s="91">
        <f t="shared" si="5"/>
        <v>-3.3E-3</v>
      </c>
      <c r="U25" s="142">
        <f>$U$21</f>
        <v>0</v>
      </c>
      <c r="V25" s="84">
        <f>$A$23*$V$18+$V$19*A21</f>
        <v>2.5</v>
      </c>
      <c r="W25" s="145">
        <f>U25+V25</f>
        <v>2.5</v>
      </c>
      <c r="Y25" s="38">
        <f>Y$21</f>
        <v>0</v>
      </c>
      <c r="Z25" s="84">
        <f>$A$23*$Z$18+$Z$19*A21</f>
        <v>2.5</v>
      </c>
      <c r="AA25" s="145">
        <f>Y25+Z25</f>
        <v>2.5</v>
      </c>
      <c r="AB25" s="84">
        <f t="shared" si="6"/>
        <v>0</v>
      </c>
      <c r="AC25" s="84">
        <f t="shared" ref="AC25:AC33" si="7">$AC$18*A25</f>
        <v>-8.1804000000000009E-3</v>
      </c>
      <c r="AF25" s="145"/>
      <c r="AH25" s="143"/>
      <c r="AI25" s="143"/>
    </row>
    <row r="26" spans="1:35" x14ac:dyDescent="0.25">
      <c r="A26" s="82"/>
      <c r="C26" s="90"/>
      <c r="D26" s="90"/>
      <c r="E26" s="90"/>
      <c r="F26" s="90"/>
      <c r="K26" s="90"/>
      <c r="U26" s="38"/>
      <c r="V26" s="84"/>
      <c r="W26" s="84"/>
      <c r="Y26" s="38"/>
      <c r="Z26" s="84"/>
      <c r="AA26" s="84"/>
      <c r="AB26" s="84"/>
      <c r="AC26" s="84"/>
      <c r="AH26" s="141"/>
      <c r="AI26" s="141"/>
    </row>
    <row r="27" spans="1:35" x14ac:dyDescent="0.25">
      <c r="A27" s="264">
        <v>4</v>
      </c>
      <c r="B27" s="144"/>
      <c r="C27" s="90">
        <f>+W27</f>
        <v>3.5</v>
      </c>
      <c r="D27" s="90">
        <f>+AA27</f>
        <v>3.5</v>
      </c>
      <c r="E27" s="90">
        <f t="shared" si="0"/>
        <v>0</v>
      </c>
      <c r="F27" s="90">
        <f t="shared" si="1"/>
        <v>0</v>
      </c>
      <c r="G27" s="265">
        <f>ROUND(+F27/C27,4)</f>
        <v>0</v>
      </c>
      <c r="H27" s="224">
        <f>ROUND($V$10*$A27,2)</f>
        <v>0</v>
      </c>
      <c r="I27" s="224">
        <f>ROUND($V$11*$A27,2)</f>
        <v>0</v>
      </c>
      <c r="J27" s="224">
        <f>ROUND($V$12*$A27,2)</f>
        <v>0</v>
      </c>
      <c r="K27" s="90">
        <f t="shared" si="2"/>
        <v>3.5</v>
      </c>
      <c r="L27" s="224">
        <f>+D27+H27+I27+J27</f>
        <v>3.5</v>
      </c>
      <c r="M27" s="265">
        <f>ROUND((L27-K27)/K27,4)</f>
        <v>0</v>
      </c>
      <c r="N27" s="90">
        <f t="shared" si="3"/>
        <v>-1.0907200000000001E-2</v>
      </c>
      <c r="O27" s="90">
        <f t="shared" si="4"/>
        <v>3.4890927999999999</v>
      </c>
      <c r="P27" s="91">
        <f t="shared" si="5"/>
        <v>-3.0999999999999999E-3</v>
      </c>
      <c r="Q27" s="184"/>
      <c r="R27" s="184"/>
      <c r="S27" s="144"/>
      <c r="T27" s="144"/>
      <c r="U27" s="142">
        <f>$U$21</f>
        <v>0</v>
      </c>
      <c r="V27" s="84">
        <f>$A$23*$V$18+$V$19*A23</f>
        <v>3.5</v>
      </c>
      <c r="W27" s="145">
        <f>U27+V27</f>
        <v>3.5</v>
      </c>
      <c r="X27" s="144"/>
      <c r="Y27" s="38">
        <f>Y$21</f>
        <v>0</v>
      </c>
      <c r="Z27" s="84">
        <f>$A$23*$Z$18+$Z$19*A23</f>
        <v>3.5</v>
      </c>
      <c r="AA27" s="145">
        <f>Y27+Z27</f>
        <v>3.5</v>
      </c>
      <c r="AB27" s="84">
        <f t="shared" si="6"/>
        <v>0</v>
      </c>
      <c r="AC27" s="84">
        <f t="shared" si="7"/>
        <v>-1.0907200000000001E-2</v>
      </c>
      <c r="AD27" s="144"/>
      <c r="AE27" s="144"/>
      <c r="AF27" s="145"/>
      <c r="AG27" s="144"/>
      <c r="AH27" s="143"/>
      <c r="AI27" s="141"/>
    </row>
    <row r="28" spans="1:35" x14ac:dyDescent="0.25">
      <c r="A28" s="82"/>
      <c r="C28" s="90"/>
      <c r="D28" s="90"/>
      <c r="E28" s="90"/>
      <c r="F28" s="90"/>
      <c r="K28" s="90"/>
      <c r="U28" s="38"/>
      <c r="V28" s="84"/>
      <c r="W28" s="84"/>
      <c r="Y28" s="38"/>
      <c r="Z28" s="84"/>
      <c r="AA28" s="84"/>
      <c r="AB28" s="84"/>
      <c r="AC28" s="84"/>
      <c r="AH28" s="141"/>
      <c r="AI28" s="141"/>
    </row>
    <row r="29" spans="1:35" x14ac:dyDescent="0.25">
      <c r="A29" s="82">
        <v>5</v>
      </c>
      <c r="C29" s="90">
        <f>+W29</f>
        <v>4.5</v>
      </c>
      <c r="D29" s="90">
        <f>+AA29</f>
        <v>4.5</v>
      </c>
      <c r="E29" s="90">
        <f t="shared" si="0"/>
        <v>0</v>
      </c>
      <c r="F29" s="90">
        <f t="shared" si="1"/>
        <v>0</v>
      </c>
      <c r="G29" s="91">
        <f>ROUND(+F29/C29,4)</f>
        <v>0</v>
      </c>
      <c r="H29" s="90">
        <f>ROUND($V$10*$A29,2)</f>
        <v>0</v>
      </c>
      <c r="I29" s="90">
        <f>ROUND($V$11*$A29,2)</f>
        <v>0</v>
      </c>
      <c r="J29" s="90">
        <f>ROUND($V$12*$A29,2)</f>
        <v>0</v>
      </c>
      <c r="K29" s="90">
        <f t="shared" si="2"/>
        <v>4.5</v>
      </c>
      <c r="L29" s="90">
        <f>+D29+H29+I29+J29</f>
        <v>4.5</v>
      </c>
      <c r="M29" s="91">
        <f>ROUND((L29-K29)/K29,4)</f>
        <v>0</v>
      </c>
      <c r="N29" s="90">
        <f t="shared" si="3"/>
        <v>-1.3634E-2</v>
      </c>
      <c r="O29" s="90">
        <f t="shared" si="4"/>
        <v>4.4863660000000003</v>
      </c>
      <c r="P29" s="91">
        <f t="shared" si="5"/>
        <v>-3.0000000000000001E-3</v>
      </c>
      <c r="U29" s="38">
        <f>$U$21</f>
        <v>0</v>
      </c>
      <c r="V29" s="84">
        <f>$A$23*$V$18+$V$19*A25</f>
        <v>4.5</v>
      </c>
      <c r="W29" s="84">
        <f>U29+V29</f>
        <v>4.5</v>
      </c>
      <c r="Y29" s="38">
        <f>Y$21</f>
        <v>0</v>
      </c>
      <c r="Z29" s="84">
        <f>$A$23*$Z$18+$Z$19*A25</f>
        <v>4.5</v>
      </c>
      <c r="AA29" s="84">
        <f>Y29+Z29</f>
        <v>4.5</v>
      </c>
      <c r="AB29" s="84">
        <f t="shared" si="6"/>
        <v>0</v>
      </c>
      <c r="AC29" s="84">
        <f t="shared" si="7"/>
        <v>-1.3634E-2</v>
      </c>
      <c r="AF29" s="84"/>
      <c r="AH29" s="141"/>
      <c r="AI29" s="141"/>
    </row>
    <row r="30" spans="1:35" x14ac:dyDescent="0.25">
      <c r="C30" s="90"/>
      <c r="D30" s="90"/>
      <c r="E30" s="90"/>
      <c r="F30" s="90"/>
      <c r="K30" s="90"/>
      <c r="U30" s="38"/>
      <c r="V30" s="84"/>
      <c r="W30" s="84"/>
      <c r="Y30" s="38"/>
      <c r="Z30" s="84"/>
      <c r="AA30" s="84"/>
      <c r="AB30" s="84"/>
      <c r="AC30" s="84"/>
      <c r="AH30" s="141"/>
      <c r="AI30" s="141"/>
    </row>
    <row r="31" spans="1:35" x14ac:dyDescent="0.25">
      <c r="A31" s="82">
        <v>6</v>
      </c>
      <c r="C31" s="90">
        <f>+W31</f>
        <v>5.5</v>
      </c>
      <c r="D31" s="90">
        <f>+AA31</f>
        <v>5.5</v>
      </c>
      <c r="E31" s="90">
        <f t="shared" si="0"/>
        <v>0</v>
      </c>
      <c r="F31" s="90">
        <f t="shared" si="1"/>
        <v>0</v>
      </c>
      <c r="G31" s="91">
        <f>ROUND(+F31/C31,4)</f>
        <v>0</v>
      </c>
      <c r="H31" s="90">
        <f>ROUND($V$10*$A31,2)</f>
        <v>0</v>
      </c>
      <c r="I31" s="90">
        <f>ROUND($V$11*$A31,2)</f>
        <v>0</v>
      </c>
      <c r="J31" s="90">
        <f>ROUND($V$12*$A31,2)</f>
        <v>0</v>
      </c>
      <c r="K31" s="90">
        <f t="shared" si="2"/>
        <v>5.5</v>
      </c>
      <c r="L31" s="90">
        <f>+D31+H31+I31+J31</f>
        <v>5.5</v>
      </c>
      <c r="M31" s="91">
        <f>ROUND((L31-K31)/K31,4)</f>
        <v>0</v>
      </c>
      <c r="N31" s="90">
        <f t="shared" si="3"/>
        <v>-1.6360800000000002E-2</v>
      </c>
      <c r="O31" s="90">
        <f t="shared" si="4"/>
        <v>5.4836391999999998</v>
      </c>
      <c r="P31" s="91">
        <f t="shared" si="5"/>
        <v>-3.0000000000000001E-3</v>
      </c>
      <c r="U31" s="38">
        <f>$U$21</f>
        <v>0</v>
      </c>
      <c r="V31" s="84">
        <f>$A$23*$V$18+$V$19*A27</f>
        <v>5.5</v>
      </c>
      <c r="W31" s="84">
        <f>U31+V31</f>
        <v>5.5</v>
      </c>
      <c r="Y31" s="38">
        <f>Y$21</f>
        <v>0</v>
      </c>
      <c r="Z31" s="84">
        <f>$A$23*$Z$18+$Z$19*A27</f>
        <v>5.5</v>
      </c>
      <c r="AA31" s="84">
        <f>Y31+Z31</f>
        <v>5.5</v>
      </c>
      <c r="AB31" s="84">
        <f t="shared" si="6"/>
        <v>0</v>
      </c>
      <c r="AC31" s="84">
        <f t="shared" si="7"/>
        <v>-1.6360800000000002E-2</v>
      </c>
      <c r="AF31" s="84"/>
      <c r="AH31" s="141"/>
      <c r="AI31" s="141"/>
    </row>
    <row r="32" spans="1:35" x14ac:dyDescent="0.25">
      <c r="A32" s="82"/>
      <c r="C32" s="90"/>
      <c r="D32" s="90"/>
      <c r="E32" s="90"/>
      <c r="F32" s="90"/>
      <c r="K32" s="90"/>
      <c r="U32" s="38"/>
      <c r="V32" s="84"/>
      <c r="W32" s="84"/>
      <c r="Y32" s="38"/>
      <c r="Z32" s="84"/>
      <c r="AA32" s="84"/>
      <c r="AB32" s="84"/>
      <c r="AC32" s="84"/>
      <c r="AH32" s="141"/>
      <c r="AI32" s="141"/>
    </row>
    <row r="33" spans="1:35" x14ac:dyDescent="0.25">
      <c r="A33" s="82">
        <v>7</v>
      </c>
      <c r="C33" s="90">
        <f>+W33</f>
        <v>6.5</v>
      </c>
      <c r="D33" s="90">
        <f>+AA33</f>
        <v>6.5</v>
      </c>
      <c r="E33" s="90">
        <f t="shared" si="0"/>
        <v>0</v>
      </c>
      <c r="F33" s="90">
        <f t="shared" si="1"/>
        <v>0</v>
      </c>
      <c r="G33" s="91">
        <f>ROUND(+F33/C33,4)</f>
        <v>0</v>
      </c>
      <c r="H33" s="90">
        <f>ROUND($V$10*$A33,2)</f>
        <v>0</v>
      </c>
      <c r="I33" s="90">
        <f>ROUND($V$11*$A33,2)</f>
        <v>0</v>
      </c>
      <c r="J33" s="90">
        <f>ROUND($V$12*$A33,2)</f>
        <v>0</v>
      </c>
      <c r="K33" s="90">
        <f t="shared" si="2"/>
        <v>6.5</v>
      </c>
      <c r="L33" s="90">
        <f>+D33+H33+I33+J33</f>
        <v>6.5</v>
      </c>
      <c r="M33" s="91">
        <f>ROUND((L33-K33)/K33,4)</f>
        <v>0</v>
      </c>
      <c r="N33" s="90">
        <f t="shared" si="3"/>
        <v>-1.90876E-2</v>
      </c>
      <c r="O33" s="90">
        <f t="shared" si="4"/>
        <v>6.4809124000000002</v>
      </c>
      <c r="P33" s="91">
        <f t="shared" si="5"/>
        <v>-2.8999999999999998E-3</v>
      </c>
      <c r="U33" s="38">
        <f>$U$21</f>
        <v>0</v>
      </c>
      <c r="V33" s="84">
        <f>$A$23*$V$18+$V$19*A29</f>
        <v>6.5</v>
      </c>
      <c r="W33" s="84">
        <f>U33+V33</f>
        <v>6.5</v>
      </c>
      <c r="Y33" s="38">
        <f>Y$21</f>
        <v>0</v>
      </c>
      <c r="Z33" s="84">
        <f>$A$23*$Z$18+$Z$19*A29</f>
        <v>6.5</v>
      </c>
      <c r="AA33" s="84">
        <f>Y33+Z33</f>
        <v>6.5</v>
      </c>
      <c r="AB33" s="84">
        <f t="shared" si="6"/>
        <v>0</v>
      </c>
      <c r="AC33" s="84">
        <f t="shared" si="7"/>
        <v>-1.90876E-2</v>
      </c>
      <c r="AF33" s="84"/>
      <c r="AH33" s="141"/>
      <c r="AI33" s="141"/>
    </row>
    <row r="34" spans="1:35" x14ac:dyDescent="0.25">
      <c r="C34" s="90"/>
      <c r="D34" s="90"/>
      <c r="E34" s="90"/>
      <c r="F34" s="90"/>
      <c r="K34" s="90"/>
      <c r="U34" s="38"/>
      <c r="V34" s="84"/>
      <c r="W34" s="84"/>
      <c r="Y34" s="38"/>
      <c r="Z34" s="84"/>
      <c r="AA34" s="84"/>
      <c r="AB34" s="84"/>
      <c r="AC34" s="84"/>
      <c r="AH34" s="141"/>
      <c r="AI34" s="141"/>
    </row>
    <row r="35" spans="1:35" x14ac:dyDescent="0.25">
      <c r="A35" s="82">
        <v>8</v>
      </c>
      <c r="C35" s="90">
        <f>+W35</f>
        <v>7.5</v>
      </c>
      <c r="D35" s="90">
        <f>+AA35</f>
        <v>7.5</v>
      </c>
      <c r="E35" s="90">
        <f t="shared" si="0"/>
        <v>0</v>
      </c>
      <c r="F35" s="90">
        <f>+D35-(E35+C35)</f>
        <v>0</v>
      </c>
      <c r="G35" s="91">
        <f>ROUND(+F35/C35,4)</f>
        <v>0</v>
      </c>
      <c r="H35" s="90">
        <f>ROUND($V$10*$A35,2)</f>
        <v>0</v>
      </c>
      <c r="I35" s="90">
        <f>ROUND($V$11*$A35,2)</f>
        <v>0</v>
      </c>
      <c r="J35" s="90">
        <f>ROUND($V$12*$A35,2)</f>
        <v>0</v>
      </c>
      <c r="K35" s="90">
        <f>+C35+E35+H35+I35+J35</f>
        <v>7.5</v>
      </c>
      <c r="L35" s="90">
        <f>+D35+H35+I35+J35</f>
        <v>7.5</v>
      </c>
      <c r="M35" s="91">
        <f>ROUND((L35-K35)/K35,4)</f>
        <v>0</v>
      </c>
      <c r="N35" s="90">
        <f t="shared" si="3"/>
        <v>-2.1814400000000001E-2</v>
      </c>
      <c r="O35" s="90">
        <f t="shared" si="4"/>
        <v>7.4781855999999998</v>
      </c>
      <c r="P35" s="91">
        <f t="shared" si="5"/>
        <v>-2.8999999999999998E-3</v>
      </c>
      <c r="U35" s="38">
        <f>$U$21</f>
        <v>0</v>
      </c>
      <c r="V35" s="84">
        <f>$A$23*$V$18+$V$19*A31</f>
        <v>7.5</v>
      </c>
      <c r="W35" s="84">
        <f>U35+V35</f>
        <v>7.5</v>
      </c>
      <c r="Y35" s="38">
        <f>Y$21</f>
        <v>0</v>
      </c>
      <c r="Z35" s="84">
        <f>$A$23*$Z$18+$Z$19*A31</f>
        <v>7.5</v>
      </c>
      <c r="AA35" s="84">
        <f>Y35+Z35</f>
        <v>7.5</v>
      </c>
      <c r="AB35" s="84">
        <f>$AB$18*A35</f>
        <v>0</v>
      </c>
      <c r="AC35" s="84">
        <f>$AC$18*A35</f>
        <v>-2.1814400000000001E-2</v>
      </c>
      <c r="AF35" s="84"/>
      <c r="AH35" s="141"/>
      <c r="AI35" s="141"/>
    </row>
    <row r="36" spans="1:35" x14ac:dyDescent="0.25">
      <c r="A36" s="82"/>
      <c r="C36" s="90"/>
      <c r="D36" s="90"/>
      <c r="E36" s="90"/>
      <c r="F36" s="90"/>
      <c r="G36" s="91"/>
      <c r="H36" s="90"/>
      <c r="I36" s="90"/>
      <c r="J36" s="90"/>
      <c r="K36" s="90"/>
      <c r="L36" s="90"/>
      <c r="M36" s="91"/>
      <c r="N36" s="90"/>
      <c r="O36" s="90"/>
      <c r="P36" s="91"/>
      <c r="U36" s="38"/>
      <c r="V36" s="84"/>
      <c r="W36" s="84"/>
      <c r="Y36" s="38"/>
      <c r="Z36" s="84"/>
      <c r="AA36" s="84"/>
      <c r="AB36" s="84"/>
      <c r="AC36" s="84"/>
      <c r="AF36" s="84"/>
      <c r="AH36" s="141"/>
      <c r="AI36" s="141"/>
    </row>
    <row r="37" spans="1:35" x14ac:dyDescent="0.25">
      <c r="A37" s="1" t="s">
        <v>590</v>
      </c>
      <c r="C37" s="90"/>
      <c r="D37" s="90"/>
      <c r="E37" s="90"/>
      <c r="F37" s="90"/>
      <c r="G37" s="91"/>
      <c r="H37" s="90"/>
      <c r="I37" s="90"/>
      <c r="J37" s="90"/>
      <c r="K37" s="90"/>
      <c r="L37" s="90"/>
      <c r="M37" s="91"/>
      <c r="N37" s="90"/>
      <c r="O37" s="90"/>
      <c r="P37" s="91"/>
      <c r="U37" s="38"/>
      <c r="V37" s="84"/>
      <c r="W37" s="84"/>
      <c r="Y37" s="38"/>
      <c r="Z37" s="84"/>
      <c r="AA37" s="84"/>
      <c r="AB37" s="84"/>
      <c r="AC37" s="84"/>
      <c r="AF37" s="84"/>
      <c r="AH37" s="141"/>
      <c r="AI37" s="141"/>
    </row>
    <row r="39" spans="1:35" x14ac:dyDescent="0.25">
      <c r="A39" s="17" t="s">
        <v>301</v>
      </c>
      <c r="U39" s="38"/>
    </row>
    <row r="40" spans="1:35" x14ac:dyDescent="0.25">
      <c r="A40" s="175" t="s">
        <v>302</v>
      </c>
    </row>
    <row r="41" spans="1:35" x14ac:dyDescent="0.25">
      <c r="A41" s="175" t="str">
        <f>+'Rate Case Constants'!$C$26</f>
        <v>Calculations may vary from other schedules due to rounding</v>
      </c>
    </row>
    <row r="44" spans="1:35" ht="12" customHeight="1" x14ac:dyDescent="0.25"/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  <pageSetUpPr fitToPage="1"/>
  </sheetPr>
  <dimension ref="A1:W41"/>
  <sheetViews>
    <sheetView zoomScale="80" zoomScaleNormal="80" zoomScaleSheetLayoutView="90" workbookViewId="0">
      <selection sqref="A1:F1"/>
    </sheetView>
  </sheetViews>
  <sheetFormatPr defaultRowHeight="12.5" x14ac:dyDescent="0.25"/>
  <cols>
    <col min="1" max="1" width="23.54296875" customWidth="1"/>
    <col min="2" max="2" width="3.54296875" customWidth="1"/>
    <col min="3" max="4" width="20.26953125" customWidth="1"/>
    <col min="5" max="5" width="15.81640625" customWidth="1"/>
    <col min="6" max="6" width="16.26953125" customWidth="1"/>
    <col min="7" max="10" width="3.54296875" customWidth="1"/>
    <col min="11" max="11" width="11.81640625" customWidth="1"/>
    <col min="12" max="12" width="9.81640625" customWidth="1"/>
    <col min="13" max="13" width="11.1796875" bestFit="1" customWidth="1"/>
    <col min="14" max="14" width="7.1796875" customWidth="1"/>
    <col min="15" max="15" width="11.54296875" customWidth="1"/>
    <col min="16" max="16" width="9.54296875" customWidth="1"/>
    <col min="17" max="17" width="11.1796875" bestFit="1" customWidth="1"/>
    <col min="18" max="19" width="3" customWidth="1"/>
    <col min="21" max="21" width="2.7265625" customWidth="1"/>
  </cols>
  <sheetData>
    <row r="1" spans="1:23" ht="13" x14ac:dyDescent="0.3">
      <c r="A1" s="418" t="str">
        <f>+'Rate Case Constants'!C9</f>
        <v>KENTUCKY UTILITIES COMPANY</v>
      </c>
      <c r="B1" s="418"/>
      <c r="C1" s="418"/>
      <c r="D1" s="418"/>
      <c r="E1" s="418"/>
      <c r="F1" s="418"/>
    </row>
    <row r="2" spans="1:23" ht="13" x14ac:dyDescent="0.3">
      <c r="A2" s="418" t="str">
        <f>+'Rate Case Constants'!C10</f>
        <v>CASE NO. 2020-00349</v>
      </c>
      <c r="B2" s="418"/>
      <c r="C2" s="418"/>
      <c r="D2" s="418"/>
      <c r="E2" s="418"/>
      <c r="F2" s="418"/>
    </row>
    <row r="3" spans="1:23" ht="13" x14ac:dyDescent="0.3">
      <c r="A3" s="419" t="str">
        <f>+'Rate Case Constants'!C24</f>
        <v>Typical Bill Comparison under Current &amp; Proposed Rates</v>
      </c>
      <c r="B3" s="419"/>
      <c r="C3" s="419"/>
      <c r="D3" s="419"/>
      <c r="E3" s="419"/>
      <c r="F3" s="419"/>
    </row>
    <row r="4" spans="1:23" ht="13" x14ac:dyDescent="0.3">
      <c r="A4" s="418" t="str">
        <f>+'Rate Case Constants'!C21</f>
        <v>FORECAST PERIOD FOR THE 12 MONTHS ENDED JUNE 30, 2022</v>
      </c>
      <c r="B4" s="418"/>
      <c r="C4" s="418"/>
      <c r="D4" s="418"/>
      <c r="E4" s="418"/>
      <c r="F4" s="418"/>
    </row>
    <row r="5" spans="1:23" ht="13" x14ac:dyDescent="0.3">
      <c r="A5" s="222"/>
      <c r="B5" s="222"/>
      <c r="C5" s="222"/>
      <c r="D5" s="222"/>
      <c r="E5" s="222"/>
      <c r="F5" s="222"/>
    </row>
    <row r="6" spans="1:23" ht="13" x14ac:dyDescent="0.3">
      <c r="A6" s="2"/>
      <c r="B6" s="2"/>
      <c r="C6" s="2"/>
      <c r="D6" s="2"/>
      <c r="E6" s="2"/>
      <c r="F6" s="2"/>
    </row>
    <row r="7" spans="1:23" ht="13" x14ac:dyDescent="0.3">
      <c r="A7" s="2" t="str">
        <f>+'Rate Case Constants'!C33</f>
        <v>DATA: ____BASE PERIOD__X___FORECASTED PERIOD</v>
      </c>
      <c r="B7" s="2"/>
      <c r="C7" s="2"/>
      <c r="D7" s="2"/>
      <c r="E7" s="2"/>
      <c r="F7" s="212" t="str">
        <f>+'Rate Case Constants'!C25</f>
        <v>SCHEDULE N</v>
      </c>
    </row>
    <row r="8" spans="1:23" ht="13" x14ac:dyDescent="0.3">
      <c r="A8" s="2" t="str">
        <f>+'Rate Case Constants'!C29</f>
        <v>TYPE OF FILING: __X__ ORIGINAL  _____ UPDATED  _____ REVISED</v>
      </c>
      <c r="B8" s="2"/>
      <c r="C8" s="2"/>
      <c r="D8" s="2"/>
      <c r="E8" s="2"/>
      <c r="F8" s="213" t="str">
        <f>'Rate Case Constants'!L31</f>
        <v>PAGE 24 of 24</v>
      </c>
    </row>
    <row r="9" spans="1:23" ht="13" x14ac:dyDescent="0.3">
      <c r="A9" s="2" t="str">
        <f>+'Rate Case Constants'!C34</f>
        <v>WORKPAPER REFERENCE NO(S):________</v>
      </c>
      <c r="B9" s="2"/>
      <c r="C9" s="2"/>
      <c r="D9" s="2"/>
      <c r="E9" s="2"/>
      <c r="F9" s="213" t="str">
        <f>+'Rate Case Constants'!C36</f>
        <v>WITNESS:   R. M. CONROY</v>
      </c>
    </row>
    <row r="10" spans="1:23" ht="13" x14ac:dyDescent="0.3">
      <c r="A10" s="205"/>
      <c r="B10" s="205"/>
      <c r="C10" s="205"/>
      <c r="D10" s="205"/>
      <c r="E10" s="205"/>
      <c r="F10" s="205"/>
    </row>
    <row r="11" spans="1:23" ht="13" x14ac:dyDescent="0.3">
      <c r="A11" s="124" t="s">
        <v>354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2"/>
      <c r="P11" s="29"/>
      <c r="Q11" s="29"/>
    </row>
    <row r="12" spans="1:23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23" ht="13" x14ac:dyDescent="0.3">
      <c r="A13" s="29"/>
      <c r="B13" s="29"/>
      <c r="C13" s="3" t="s">
        <v>291</v>
      </c>
      <c r="D13" s="3" t="s">
        <v>292</v>
      </c>
      <c r="E13" s="25" t="s">
        <v>293</v>
      </c>
      <c r="F13" s="3" t="s">
        <v>294</v>
      </c>
      <c r="G13" s="29"/>
      <c r="H13" s="29"/>
      <c r="I13" s="29"/>
      <c r="J13" s="29"/>
      <c r="K13" s="46" t="s">
        <v>56</v>
      </c>
      <c r="L13" s="139"/>
      <c r="M13" s="46"/>
      <c r="O13" s="46" t="s">
        <v>57</v>
      </c>
      <c r="P13" s="139"/>
      <c r="Q13" s="46"/>
    </row>
    <row r="14" spans="1:23" ht="13" x14ac:dyDescent="0.3">
      <c r="C14" s="3" t="s">
        <v>1</v>
      </c>
      <c r="D14" s="3" t="s">
        <v>71</v>
      </c>
      <c r="E14" s="3"/>
      <c r="F14" s="3"/>
      <c r="K14" s="25" t="s">
        <v>59</v>
      </c>
      <c r="L14" s="85"/>
      <c r="M14" s="25"/>
      <c r="O14" s="25" t="s">
        <v>59</v>
      </c>
      <c r="P14" s="85"/>
      <c r="Q14" s="25"/>
    </row>
    <row r="15" spans="1:23" ht="13" x14ac:dyDescent="0.3">
      <c r="A15" s="3"/>
      <c r="B15" s="3"/>
      <c r="C15" s="3" t="s">
        <v>4</v>
      </c>
      <c r="D15" s="3" t="s">
        <v>4</v>
      </c>
      <c r="E15" s="3" t="s">
        <v>72</v>
      </c>
      <c r="F15" s="3" t="s">
        <v>72</v>
      </c>
      <c r="G15" s="3"/>
      <c r="H15" s="3"/>
      <c r="I15" s="3"/>
      <c r="J15" s="3"/>
      <c r="K15" s="25" t="s">
        <v>58</v>
      </c>
      <c r="L15" s="85"/>
      <c r="M15" s="25" t="s">
        <v>5</v>
      </c>
      <c r="O15" s="25" t="s">
        <v>58</v>
      </c>
      <c r="P15" s="85"/>
      <c r="Q15" s="25" t="s">
        <v>5</v>
      </c>
      <c r="S15" s="2"/>
      <c r="T15" s="85"/>
      <c r="U15" s="85"/>
      <c r="V15" s="85"/>
      <c r="W15" s="3"/>
    </row>
    <row r="16" spans="1:23" ht="13" x14ac:dyDescent="0.3">
      <c r="A16" s="3" t="s">
        <v>225</v>
      </c>
      <c r="B16" s="3"/>
      <c r="C16" s="3"/>
      <c r="D16" s="3"/>
      <c r="E16" s="3" t="s">
        <v>66</v>
      </c>
      <c r="F16" s="25" t="s">
        <v>67</v>
      </c>
      <c r="G16" s="3"/>
      <c r="H16" s="3"/>
      <c r="I16" s="3"/>
      <c r="J16" s="3"/>
      <c r="K16" s="79" t="s">
        <v>3</v>
      </c>
      <c r="L16" s="391"/>
      <c r="M16" s="79" t="s">
        <v>4</v>
      </c>
      <c r="O16" s="79" t="s">
        <v>3</v>
      </c>
      <c r="P16" s="391"/>
      <c r="Q16" s="79" t="s">
        <v>4</v>
      </c>
      <c r="S16" s="2"/>
      <c r="T16" s="85"/>
      <c r="U16" s="85"/>
      <c r="V16" s="85"/>
      <c r="W16" s="3"/>
    </row>
    <row r="17" spans="1:23" ht="13" x14ac:dyDescent="0.3">
      <c r="A17" s="80" t="s">
        <v>226</v>
      </c>
      <c r="B17" s="80"/>
      <c r="C17" s="80"/>
      <c r="D17" s="80"/>
      <c r="E17" s="199" t="str">
        <f>("[ "&amp;D13&amp;" - "&amp;C13&amp;" ]")</f>
        <v>[ B - A ]</v>
      </c>
      <c r="F17" s="199" t="str">
        <f>("[ "&amp;E13&amp;" / "&amp;C13&amp;" ]")</f>
        <v>[ C / A ]</v>
      </c>
      <c r="G17" s="3"/>
      <c r="H17" s="3"/>
      <c r="I17" s="3"/>
      <c r="J17" s="3"/>
      <c r="K17" s="132">
        <f>+INPUT!$U$4</f>
        <v>7.25</v>
      </c>
      <c r="L17" s="140"/>
      <c r="M17" s="25"/>
      <c r="O17" s="132">
        <f>INPUT!U32</f>
        <v>7.25</v>
      </c>
      <c r="P17" s="140"/>
      <c r="Q17" s="25"/>
      <c r="S17" s="2"/>
      <c r="T17" s="85"/>
      <c r="U17" s="85"/>
      <c r="V17" s="85"/>
      <c r="W17" s="3"/>
    </row>
    <row r="18" spans="1:23" ht="1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25" t="s">
        <v>227</v>
      </c>
      <c r="L18" s="85"/>
      <c r="M18" s="25"/>
      <c r="O18" s="25" t="s">
        <v>227</v>
      </c>
      <c r="P18" s="85"/>
      <c r="Q18" s="25"/>
      <c r="S18" s="2"/>
      <c r="T18" s="85"/>
      <c r="U18" s="85"/>
      <c r="V18" s="85"/>
      <c r="W18" s="3"/>
    </row>
    <row r="19" spans="1:23" ht="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L19" s="85"/>
      <c r="M19" s="3"/>
      <c r="P19" s="85"/>
      <c r="Q19" s="3"/>
      <c r="T19" s="17"/>
      <c r="U19" s="17"/>
      <c r="V19" s="17"/>
    </row>
    <row r="20" spans="1:23" x14ac:dyDescent="0.25">
      <c r="A20" s="131">
        <v>1000</v>
      </c>
      <c r="C20" s="28">
        <f>+M20</f>
        <v>7250</v>
      </c>
      <c r="D20" s="28">
        <f>+Q20</f>
        <v>7250</v>
      </c>
      <c r="E20" s="28">
        <f>+D20-C20</f>
        <v>0</v>
      </c>
      <c r="F20" s="54">
        <f>ROUND(+E20/C20,1)</f>
        <v>0</v>
      </c>
      <c r="K20" s="7">
        <f>+$K$17*$A20</f>
        <v>7250</v>
      </c>
      <c r="L20" s="84"/>
      <c r="M20" s="6">
        <f>K20+L20</f>
        <v>7250</v>
      </c>
      <c r="O20" s="7">
        <f>+$O$17*$A20</f>
        <v>7250</v>
      </c>
      <c r="P20" s="84"/>
      <c r="Q20" s="6">
        <f>O20+P20</f>
        <v>7250</v>
      </c>
      <c r="T20" s="84"/>
      <c r="U20" s="17"/>
      <c r="V20" s="141"/>
      <c r="W20" s="8"/>
    </row>
    <row r="21" spans="1:23" x14ac:dyDescent="0.25">
      <c r="A21" s="131"/>
      <c r="C21" s="28"/>
      <c r="D21" s="28"/>
      <c r="E21" s="28"/>
      <c r="K21" s="7"/>
      <c r="L21" s="84"/>
      <c r="M21" s="6"/>
      <c r="O21" s="7"/>
      <c r="P21" s="84"/>
      <c r="Q21" s="6"/>
      <c r="T21" s="17"/>
      <c r="U21" s="17"/>
      <c r="V21" s="141"/>
      <c r="W21" s="8"/>
    </row>
    <row r="22" spans="1:23" x14ac:dyDescent="0.25">
      <c r="A22" s="131">
        <v>5000</v>
      </c>
      <c r="C22" s="28">
        <f>+M22</f>
        <v>36250</v>
      </c>
      <c r="D22" s="28">
        <f>+Q22</f>
        <v>36250</v>
      </c>
      <c r="E22" s="28">
        <f>+D22-C22</f>
        <v>0</v>
      </c>
      <c r="F22" s="54">
        <f>ROUND(+E22/C22,1)</f>
        <v>0</v>
      </c>
      <c r="K22" s="7">
        <f>+$K$17*$A22</f>
        <v>36250</v>
      </c>
      <c r="L22" s="84"/>
      <c r="M22" s="6">
        <f>K22+L22</f>
        <v>36250</v>
      </c>
      <c r="O22" s="7">
        <f>+$O$17*$A22</f>
        <v>36250</v>
      </c>
      <c r="P22" s="84"/>
      <c r="Q22" s="6">
        <f>O22+P22</f>
        <v>36250</v>
      </c>
      <c r="T22" s="84"/>
      <c r="U22" s="17"/>
      <c r="V22" s="141"/>
      <c r="W22" s="8"/>
    </row>
    <row r="23" spans="1:23" x14ac:dyDescent="0.25">
      <c r="A23" s="131"/>
      <c r="C23" s="28"/>
      <c r="D23" s="28"/>
      <c r="E23" s="28"/>
      <c r="F23" s="54"/>
      <c r="K23" s="55"/>
      <c r="L23" s="84"/>
      <c r="M23" s="6"/>
      <c r="O23" s="7"/>
      <c r="P23" s="84"/>
      <c r="Q23" s="6"/>
      <c r="T23" s="17"/>
      <c r="U23" s="17"/>
      <c r="V23" s="143"/>
      <c r="W23" s="26"/>
    </row>
    <row r="24" spans="1:23" s="10" customFormat="1" x14ac:dyDescent="0.25">
      <c r="A24" s="131">
        <v>10000</v>
      </c>
      <c r="B24"/>
      <c r="C24" s="28">
        <f>+M24</f>
        <v>72500</v>
      </c>
      <c r="D24" s="28">
        <f>+Q24</f>
        <v>72500</v>
      </c>
      <c r="E24" s="28">
        <f>+D24-C24</f>
        <v>0</v>
      </c>
      <c r="F24" s="54">
        <f>ROUND(+E24/C24,1)</f>
        <v>0</v>
      </c>
      <c r="K24" s="7">
        <f>+$K$17*$A24</f>
        <v>72500</v>
      </c>
      <c r="L24" s="84"/>
      <c r="M24" s="11">
        <f>K24+L24</f>
        <v>72500</v>
      </c>
      <c r="O24" s="7">
        <f>+$O$17*$A24</f>
        <v>72500</v>
      </c>
      <c r="P24" s="84"/>
      <c r="Q24" s="11">
        <f>O24+P24</f>
        <v>72500</v>
      </c>
      <c r="T24" s="145"/>
      <c r="U24" s="144"/>
      <c r="V24" s="143"/>
      <c r="W24" s="26"/>
    </row>
    <row r="25" spans="1:23" x14ac:dyDescent="0.25">
      <c r="A25" s="131"/>
      <c r="C25" s="28"/>
      <c r="D25" s="28"/>
      <c r="E25" s="28"/>
      <c r="K25" s="7"/>
      <c r="L25" s="84"/>
      <c r="M25" s="6"/>
      <c r="O25" s="7"/>
      <c r="P25" s="84"/>
      <c r="Q25" s="6"/>
      <c r="T25" s="17"/>
      <c r="U25" s="17"/>
      <c r="V25" s="141"/>
      <c r="W25" s="8"/>
    </row>
    <row r="26" spans="1:23" s="10" customFormat="1" x14ac:dyDescent="0.25">
      <c r="A26" s="131">
        <v>20000</v>
      </c>
      <c r="B26"/>
      <c r="C26" s="28">
        <f>+M26</f>
        <v>145000</v>
      </c>
      <c r="D26" s="28">
        <f>+Q26</f>
        <v>145000</v>
      </c>
      <c r="E26" s="28">
        <f>+D26-C26</f>
        <v>0</v>
      </c>
      <c r="F26" s="54">
        <f>ROUND(+E26/C26,1)</f>
        <v>0</v>
      </c>
      <c r="K26" s="7">
        <f>+$K$17*$A26</f>
        <v>145000</v>
      </c>
      <c r="L26" s="84"/>
      <c r="M26" s="11">
        <f>K26+L26</f>
        <v>145000</v>
      </c>
      <c r="O26" s="7">
        <f>+$O$17*$A26</f>
        <v>145000</v>
      </c>
      <c r="P26" s="84"/>
      <c r="Q26" s="11">
        <f>O26+P26</f>
        <v>145000</v>
      </c>
      <c r="T26" s="145"/>
      <c r="U26" s="144"/>
      <c r="V26" s="143"/>
      <c r="W26" s="26"/>
    </row>
    <row r="27" spans="1:23" x14ac:dyDescent="0.25">
      <c r="A27" s="131"/>
      <c r="C27" s="28"/>
      <c r="D27" s="28"/>
      <c r="E27" s="28"/>
      <c r="K27" s="7"/>
      <c r="L27" s="84"/>
      <c r="M27" s="6"/>
      <c r="O27" s="7"/>
      <c r="P27" s="84"/>
      <c r="Q27" s="6"/>
      <c r="T27" s="17"/>
      <c r="U27" s="17"/>
      <c r="V27" s="141"/>
      <c r="W27" s="8"/>
    </row>
    <row r="28" spans="1:23" x14ac:dyDescent="0.25">
      <c r="A28" s="131">
        <v>30000</v>
      </c>
      <c r="C28" s="28">
        <f>+M28</f>
        <v>217500</v>
      </c>
      <c r="D28" s="28">
        <f>+Q28</f>
        <v>217500</v>
      </c>
      <c r="E28" s="28">
        <f>+D28-C28</f>
        <v>0</v>
      </c>
      <c r="F28" s="54">
        <f>ROUND(+E28/C28,1)</f>
        <v>0</v>
      </c>
      <c r="K28" s="7">
        <f>+$K$17*$A28</f>
        <v>217500</v>
      </c>
      <c r="L28" s="84"/>
      <c r="M28" s="6">
        <f>K28+L28</f>
        <v>217500</v>
      </c>
      <c r="O28" s="7">
        <f>+$O$17*$A28</f>
        <v>217500</v>
      </c>
      <c r="P28" s="84"/>
      <c r="Q28" s="6">
        <f>O28+P28</f>
        <v>217500</v>
      </c>
      <c r="T28" s="84"/>
      <c r="U28" s="17"/>
      <c r="V28" s="141"/>
      <c r="W28" s="8"/>
    </row>
    <row r="29" spans="1:23" x14ac:dyDescent="0.25">
      <c r="A29" s="5"/>
      <c r="C29" s="28"/>
      <c r="D29" s="28"/>
      <c r="E29" s="28"/>
      <c r="K29" s="7"/>
      <c r="L29" s="84"/>
      <c r="M29" s="6"/>
      <c r="O29" s="7"/>
      <c r="P29" s="84"/>
      <c r="Q29" s="6"/>
      <c r="T29" s="17"/>
      <c r="U29" s="17"/>
      <c r="V29" s="141"/>
      <c r="W29" s="8"/>
    </row>
    <row r="30" spans="1:23" x14ac:dyDescent="0.25">
      <c r="A30" s="131">
        <v>40000</v>
      </c>
      <c r="C30" s="28">
        <f>+M30</f>
        <v>290000</v>
      </c>
      <c r="D30" s="28">
        <f>+Q30</f>
        <v>290000</v>
      </c>
      <c r="E30" s="28">
        <f>+D30-C30</f>
        <v>0</v>
      </c>
      <c r="F30" s="54">
        <f>ROUND(+E30/C30,1)</f>
        <v>0</v>
      </c>
      <c r="K30" s="7">
        <f>+$K$17*$A30</f>
        <v>290000</v>
      </c>
      <c r="L30" s="84"/>
      <c r="M30" s="6">
        <f>K30+L30</f>
        <v>290000</v>
      </c>
      <c r="O30" s="7">
        <f>+$O$17*$A30</f>
        <v>290000</v>
      </c>
      <c r="P30" s="84"/>
      <c r="Q30" s="6">
        <f>O30+P30</f>
        <v>290000</v>
      </c>
      <c r="T30" s="84"/>
      <c r="U30" s="17"/>
      <c r="V30" s="141"/>
      <c r="W30" s="8"/>
    </row>
    <row r="31" spans="1:23" x14ac:dyDescent="0.25">
      <c r="A31" s="131"/>
      <c r="C31" s="28"/>
      <c r="D31" s="28"/>
      <c r="E31" s="28"/>
      <c r="K31" s="7"/>
      <c r="L31" s="84"/>
      <c r="M31" s="6"/>
      <c r="O31" s="7"/>
      <c r="P31" s="84"/>
      <c r="Q31" s="6"/>
      <c r="T31" s="17"/>
      <c r="U31" s="17"/>
      <c r="V31" s="141"/>
      <c r="W31" s="8"/>
    </row>
    <row r="32" spans="1:23" x14ac:dyDescent="0.25">
      <c r="A32" s="131">
        <v>50000</v>
      </c>
      <c r="C32" s="28">
        <f>+M32</f>
        <v>362500</v>
      </c>
      <c r="D32" s="28">
        <f>+Q32</f>
        <v>362500</v>
      </c>
      <c r="E32" s="28">
        <f>+D32-C32</f>
        <v>0</v>
      </c>
      <c r="F32" s="54">
        <f>ROUND(+E32/C32,1)</f>
        <v>0</v>
      </c>
      <c r="K32" s="7">
        <f>+$K$17*$A32</f>
        <v>362500</v>
      </c>
      <c r="L32" s="84"/>
      <c r="M32" s="6">
        <f>K32+L32</f>
        <v>362500</v>
      </c>
      <c r="O32" s="7">
        <f>+$O$17*$A32</f>
        <v>362500</v>
      </c>
      <c r="P32" s="84"/>
      <c r="Q32" s="6">
        <f>O32+P32</f>
        <v>362500</v>
      </c>
      <c r="T32" s="84"/>
      <c r="U32" s="17"/>
      <c r="V32" s="141"/>
      <c r="W32" s="8"/>
    </row>
    <row r="33" spans="1:23" x14ac:dyDescent="0.25">
      <c r="A33" s="5"/>
      <c r="C33" s="28"/>
      <c r="D33" s="28"/>
      <c r="E33" s="28"/>
      <c r="K33" s="7"/>
      <c r="L33" s="84"/>
      <c r="M33" s="6"/>
      <c r="O33" s="7"/>
      <c r="P33" s="84"/>
      <c r="Q33" s="6"/>
      <c r="T33" s="17"/>
      <c r="U33" s="17"/>
      <c r="V33" s="141"/>
      <c r="W33" s="8"/>
    </row>
    <row r="34" spans="1:23" x14ac:dyDescent="0.25">
      <c r="A34" s="131">
        <v>100000</v>
      </c>
      <c r="C34" s="28">
        <f>+M34</f>
        <v>725000</v>
      </c>
      <c r="D34" s="28">
        <f>+Q34</f>
        <v>725000</v>
      </c>
      <c r="E34" s="28">
        <f>+D34-C34</f>
        <v>0</v>
      </c>
      <c r="F34" s="54">
        <f>ROUND(+E34/C34,1)</f>
        <v>0</v>
      </c>
      <c r="K34" s="7">
        <f>+$K$17*$A34</f>
        <v>725000</v>
      </c>
      <c r="L34" s="84"/>
      <c r="M34" s="6">
        <f>K34+L34</f>
        <v>725000</v>
      </c>
      <c r="O34" s="7">
        <f>+$O$17*$A34</f>
        <v>725000</v>
      </c>
      <c r="P34" s="84"/>
      <c r="Q34" s="6">
        <f>O34+P34</f>
        <v>725000</v>
      </c>
      <c r="T34" s="84"/>
      <c r="U34" s="17"/>
      <c r="V34" s="141"/>
      <c r="W34" s="8"/>
    </row>
    <row r="35" spans="1:23" x14ac:dyDescent="0.25">
      <c r="A35" s="5"/>
      <c r="K35" s="7"/>
      <c r="L35" s="6"/>
      <c r="M35" s="6"/>
      <c r="O35" s="7"/>
      <c r="P35" s="6"/>
      <c r="Q35" s="6"/>
      <c r="V35" s="8"/>
      <c r="W35" s="8"/>
    </row>
    <row r="36" spans="1:23" x14ac:dyDescent="0.25">
      <c r="A36" t="s">
        <v>340</v>
      </c>
      <c r="B36" t="s">
        <v>341</v>
      </c>
      <c r="K36" s="7"/>
    </row>
    <row r="37" spans="1:23" x14ac:dyDescent="0.25">
      <c r="B37" t="s">
        <v>425</v>
      </c>
    </row>
    <row r="38" spans="1:23" s="17" customFormat="1" x14ac:dyDescent="0.25">
      <c r="A38" s="81"/>
    </row>
    <row r="39" spans="1:23" s="17" customFormat="1" x14ac:dyDescent="0.25"/>
    <row r="41" spans="1:23" ht="12" customHeight="1" x14ac:dyDescent="0.25"/>
  </sheetData>
  <mergeCells count="4">
    <mergeCell ref="A1:F1"/>
    <mergeCell ref="A2:F2"/>
    <mergeCell ref="A3:F3"/>
    <mergeCell ref="A4:F4"/>
  </mergeCells>
  <printOptions horizontalCentered="1"/>
  <pageMargins left="0.75" right="0.75" top="1.5" bottom="0.5" header="1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AI42"/>
  <sheetViews>
    <sheetView zoomScale="80" zoomScaleNormal="80" zoomScaleSheetLayoutView="100" workbookViewId="0">
      <selection sqref="A1:P1"/>
    </sheetView>
  </sheetViews>
  <sheetFormatPr defaultColWidth="9.1796875" defaultRowHeight="12.5" x14ac:dyDescent="0.25"/>
  <cols>
    <col min="1" max="1" width="10" style="17" customWidth="1"/>
    <col min="2" max="2" width="3.54296875" style="17" customWidth="1"/>
    <col min="3" max="4" width="10.1796875" style="17" bestFit="1" customWidth="1"/>
    <col min="5" max="5" width="11.453125" style="17" bestFit="1" customWidth="1"/>
    <col min="6" max="6" width="12.1796875" style="17" bestFit="1" customWidth="1"/>
    <col min="7" max="7" width="9.26953125" style="17" bestFit="1" customWidth="1"/>
    <col min="8" max="8" width="10.7265625" style="17" bestFit="1" customWidth="1"/>
    <col min="9" max="9" width="10" style="17" bestFit="1" customWidth="1"/>
    <col min="10" max="10" width="10" style="17" customWidth="1"/>
    <col min="11" max="11" width="12.7265625" style="17" bestFit="1" customWidth="1"/>
    <col min="12" max="12" width="10.54296875" style="17" bestFit="1" customWidth="1"/>
    <col min="13" max="13" width="9.26953125" style="17" bestFit="1" customWidth="1"/>
    <col min="14" max="16" width="9.26953125" style="17" customWidth="1"/>
    <col min="17" max="17" width="11" style="17" customWidth="1"/>
    <col min="18" max="18" width="10.1796875" style="17" customWidth="1"/>
    <col min="19" max="20" width="3.54296875" style="17" customWidth="1"/>
    <col min="21" max="21" width="11.81640625" style="17" customWidth="1"/>
    <col min="22" max="22" width="9.81640625" style="17" customWidth="1"/>
    <col min="23" max="23" width="9.54296875" style="17" customWidth="1"/>
    <col min="24" max="24" width="7.1796875" style="17" customWidth="1"/>
    <col min="25" max="25" width="11.54296875" style="17" customWidth="1"/>
    <col min="26" max="26" width="9.54296875" style="17" customWidth="1"/>
    <col min="27" max="27" width="9.1796875" style="17"/>
    <col min="28" max="28" width="11.453125" style="17" bestFit="1" customWidth="1"/>
    <col min="29" max="29" width="9" style="17" bestFit="1" customWidth="1"/>
    <col min="30" max="31" width="3" style="17" customWidth="1"/>
    <col min="32" max="32" width="9.1796875" style="17"/>
    <col min="33" max="33" width="2.7265625" style="17" customWidth="1"/>
    <col min="34" max="16384" width="9.1796875" style="17"/>
  </cols>
  <sheetData>
    <row r="1" spans="1:35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5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5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35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5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5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35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35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+'Rate Case Constants'!L8</f>
        <v>PAGE 1 of 24</v>
      </c>
    </row>
    <row r="9" spans="1:35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N9" s="203"/>
      <c r="O9" s="203"/>
      <c r="P9" s="203" t="str">
        <f>+'Rate Case Constants'!C36</f>
        <v>WITNESS:   R. M. CONROY</v>
      </c>
    </row>
    <row r="10" spans="1:35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1"/>
      <c r="N10" s="201"/>
      <c r="O10" s="201"/>
      <c r="P10" s="201"/>
      <c r="U10" s="83" t="s">
        <v>68</v>
      </c>
      <c r="V10" s="83">
        <f>INPUT!H64</f>
        <v>-1.2822130339776329E-3</v>
      </c>
    </row>
    <row r="11" spans="1:35" ht="13" x14ac:dyDescent="0.3">
      <c r="A11" s="204" t="s">
        <v>220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3" t="s">
        <v>70</v>
      </c>
      <c r="V11" s="83">
        <f>INPUT!I64</f>
        <v>7.6206092718526298E-4</v>
      </c>
      <c r="W11" s="87"/>
      <c r="X11" s="87"/>
      <c r="Y11" s="138"/>
      <c r="Z11" s="87"/>
      <c r="AA11" s="87"/>
      <c r="AB11" s="87"/>
      <c r="AC11" s="87"/>
    </row>
    <row r="12" spans="1:35" ht="13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3" t="s">
        <v>69</v>
      </c>
      <c r="V12" s="83">
        <f>INPUT!J64</f>
        <v>3.4088343290160608E-3</v>
      </c>
      <c r="W12" s="87"/>
      <c r="X12" s="87"/>
      <c r="Y12" s="87"/>
      <c r="Z12" s="87"/>
      <c r="AA12" s="87"/>
      <c r="AB12" s="87"/>
      <c r="AC12" s="87"/>
    </row>
    <row r="13" spans="1:35" ht="13" x14ac:dyDescent="0.3">
      <c r="A13" s="87"/>
      <c r="B13" s="87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</row>
    <row r="14" spans="1:35" ht="13" x14ac:dyDescent="0.3">
      <c r="C14" s="195" t="s">
        <v>313</v>
      </c>
      <c r="D14" s="195" t="s">
        <v>313</v>
      </c>
      <c r="E14" s="195" t="s">
        <v>69</v>
      </c>
      <c r="K14" s="85" t="s">
        <v>5</v>
      </c>
      <c r="L14" s="85" t="s">
        <v>5</v>
      </c>
      <c r="N14" s="85" t="s">
        <v>592</v>
      </c>
      <c r="O14" s="85" t="s">
        <v>5</v>
      </c>
      <c r="U14" s="139" t="s">
        <v>56</v>
      </c>
      <c r="V14" s="139"/>
      <c r="W14" s="139"/>
      <c r="Y14" s="139" t="s">
        <v>57</v>
      </c>
      <c r="Z14" s="139"/>
      <c r="AA14" s="139"/>
      <c r="AB14" s="139"/>
      <c r="AC14" s="139"/>
    </row>
    <row r="15" spans="1:35" ht="13" x14ac:dyDescent="0.3">
      <c r="C15" s="85" t="s">
        <v>1</v>
      </c>
      <c r="D15" s="85" t="s">
        <v>71</v>
      </c>
      <c r="E15" s="85" t="s">
        <v>470</v>
      </c>
      <c r="F15" s="85"/>
      <c r="G15" s="85"/>
      <c r="H15" s="407" t="s">
        <v>245</v>
      </c>
      <c r="I15" s="407"/>
      <c r="J15" s="408"/>
      <c r="K15" s="85" t="s">
        <v>1</v>
      </c>
      <c r="L15" s="85" t="s">
        <v>71</v>
      </c>
      <c r="M15" s="85"/>
      <c r="N15" s="85" t="s">
        <v>593</v>
      </c>
      <c r="O15" s="85" t="s">
        <v>71</v>
      </c>
      <c r="P15" s="85"/>
      <c r="Q15" s="85" t="s">
        <v>1</v>
      </c>
      <c r="R15" s="85" t="s">
        <v>71</v>
      </c>
      <c r="U15" s="86" t="s">
        <v>59</v>
      </c>
      <c r="V15" s="85"/>
      <c r="W15" s="86"/>
      <c r="Y15" s="86" t="s">
        <v>59</v>
      </c>
      <c r="Z15" s="85"/>
      <c r="AA15" s="86"/>
      <c r="AB15" s="86"/>
      <c r="AC15" s="83" t="s">
        <v>592</v>
      </c>
    </row>
    <row r="16" spans="1:35" ht="13" x14ac:dyDescent="0.3">
      <c r="A16" s="85"/>
      <c r="B16" s="85"/>
      <c r="C16" s="85" t="s">
        <v>4</v>
      </c>
      <c r="D16" s="85" t="s">
        <v>4</v>
      </c>
      <c r="E16" s="85" t="s">
        <v>471</v>
      </c>
      <c r="F16" s="85" t="s">
        <v>72</v>
      </c>
      <c r="G16" s="85" t="s">
        <v>72</v>
      </c>
      <c r="H16" s="85" t="s">
        <v>320</v>
      </c>
      <c r="I16" s="85" t="s">
        <v>70</v>
      </c>
      <c r="J16" s="85" t="s">
        <v>69</v>
      </c>
      <c r="K16" s="85" t="s">
        <v>4</v>
      </c>
      <c r="L16" s="85" t="s">
        <v>4</v>
      </c>
      <c r="M16" s="85" t="s">
        <v>72</v>
      </c>
      <c r="N16" s="85" t="s">
        <v>439</v>
      </c>
      <c r="O16" s="85" t="s">
        <v>443</v>
      </c>
      <c r="P16" s="85" t="s">
        <v>72</v>
      </c>
      <c r="Q16" s="85" t="s">
        <v>4</v>
      </c>
      <c r="R16" s="85" t="s">
        <v>4</v>
      </c>
      <c r="S16" s="85"/>
      <c r="T16" s="85"/>
      <c r="U16" s="86" t="s">
        <v>58</v>
      </c>
      <c r="V16" s="85" t="s">
        <v>53</v>
      </c>
      <c r="W16" s="86" t="s">
        <v>5</v>
      </c>
      <c r="Y16" s="86" t="s">
        <v>58</v>
      </c>
      <c r="Z16" s="85" t="s">
        <v>53</v>
      </c>
      <c r="AA16" s="86" t="s">
        <v>5</v>
      </c>
      <c r="AB16" s="86" t="s">
        <v>69</v>
      </c>
      <c r="AC16" s="85" t="s">
        <v>593</v>
      </c>
      <c r="AE16" s="83"/>
      <c r="AF16" s="85"/>
      <c r="AG16" s="85"/>
      <c r="AH16" s="85"/>
      <c r="AI16" s="85"/>
    </row>
    <row r="17" spans="1:35" ht="13" x14ac:dyDescent="0.3">
      <c r="A17" s="85" t="s">
        <v>46</v>
      </c>
      <c r="B17" s="85"/>
      <c r="C17" s="85"/>
      <c r="D17" s="85"/>
      <c r="E17" s="85"/>
      <c r="F17" s="85" t="s">
        <v>66</v>
      </c>
      <c r="G17" s="86" t="s">
        <v>67</v>
      </c>
      <c r="H17" s="88"/>
      <c r="I17" s="88"/>
      <c r="J17" s="89"/>
      <c r="K17" s="85" t="s">
        <v>66</v>
      </c>
      <c r="L17" s="85" t="s">
        <v>66</v>
      </c>
      <c r="M17" s="86" t="s">
        <v>67</v>
      </c>
      <c r="N17" s="86"/>
      <c r="O17" s="86" t="s">
        <v>439</v>
      </c>
      <c r="P17" s="86" t="s">
        <v>67</v>
      </c>
      <c r="Q17" s="85" t="s">
        <v>307</v>
      </c>
      <c r="R17" s="85" t="s">
        <v>307</v>
      </c>
      <c r="S17" s="85"/>
      <c r="T17" s="85"/>
      <c r="U17" s="133" t="s">
        <v>3</v>
      </c>
      <c r="V17" s="134" t="s">
        <v>3</v>
      </c>
      <c r="W17" s="133" t="s">
        <v>4</v>
      </c>
      <c r="Y17" s="133" t="s">
        <v>3</v>
      </c>
      <c r="Z17" s="134" t="s">
        <v>3</v>
      </c>
      <c r="AA17" s="133" t="s">
        <v>4</v>
      </c>
      <c r="AB17" s="386" t="s">
        <v>471</v>
      </c>
      <c r="AC17" s="339" t="s">
        <v>439</v>
      </c>
      <c r="AE17" s="83"/>
      <c r="AF17" s="85"/>
      <c r="AG17" s="85"/>
      <c r="AH17" s="85"/>
      <c r="AI17" s="85"/>
    </row>
    <row r="18" spans="1:35" ht="13" x14ac:dyDescent="0.3">
      <c r="A18" s="196"/>
      <c r="B18" s="196"/>
      <c r="C18" s="196"/>
      <c r="D18" s="196"/>
      <c r="E18" s="340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85"/>
      <c r="R18" s="85"/>
      <c r="S18" s="85"/>
      <c r="T18" s="85"/>
      <c r="U18" s="86"/>
      <c r="V18" s="140">
        <f>+INPUT!$B$6</f>
        <v>8.9630000000000001E-2</v>
      </c>
      <c r="W18" s="86"/>
      <c r="Y18" s="86"/>
      <c r="Z18" s="140">
        <f>INPUT!$B$34</f>
        <v>9.9500000000000005E-2</v>
      </c>
      <c r="AA18" s="86"/>
      <c r="AB18" s="86">
        <f>INPUT!K64</f>
        <v>5.6892038957931715E-4</v>
      </c>
      <c r="AC18" s="86">
        <f>INPUT!B52</f>
        <v>-6.8000000000000005E-4</v>
      </c>
      <c r="AE18" s="83"/>
      <c r="AF18" s="85"/>
      <c r="AG18" s="85"/>
      <c r="AH18" s="85"/>
      <c r="AI18" s="85"/>
    </row>
    <row r="19" spans="1:35" ht="13" x14ac:dyDescent="0.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85" t="s">
        <v>11</v>
      </c>
      <c r="W19" s="86"/>
      <c r="Y19" s="86"/>
      <c r="Z19" s="85" t="s">
        <v>11</v>
      </c>
      <c r="AA19" s="86"/>
      <c r="AB19" s="86" t="s">
        <v>11</v>
      </c>
      <c r="AC19" s="86" t="s">
        <v>11</v>
      </c>
      <c r="AE19" s="83"/>
      <c r="AF19" s="85"/>
      <c r="AG19" s="85"/>
      <c r="AH19" s="85"/>
      <c r="AI19" s="85"/>
    </row>
    <row r="20" spans="1:35" ht="13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V20" s="85"/>
      <c r="W20" s="85"/>
      <c r="Z20" s="85"/>
      <c r="AA20" s="85"/>
      <c r="AB20" s="85"/>
      <c r="AC20" s="85"/>
    </row>
    <row r="21" spans="1:35" x14ac:dyDescent="0.25">
      <c r="A21" s="82">
        <v>500</v>
      </c>
      <c r="C21" s="90">
        <f>+W21</f>
        <v>60.946874999999999</v>
      </c>
      <c r="D21" s="90">
        <f>+AA21</f>
        <v>68.316874999999996</v>
      </c>
      <c r="E21" s="90">
        <f>AB21</f>
        <v>0.28446019478965856</v>
      </c>
      <c r="F21" s="90">
        <f>+D21-(E21+C21)</f>
        <v>7.0855398052103382</v>
      </c>
      <c r="G21" s="91">
        <f>ROUND(+F21/C21,4)</f>
        <v>0.1163</v>
      </c>
      <c r="H21" s="90">
        <f>ROUND($V$10*$A21,2)</f>
        <v>-0.64</v>
      </c>
      <c r="I21" s="90">
        <f>ROUND($V$11*$A21,2)</f>
        <v>0.38</v>
      </c>
      <c r="J21" s="90">
        <f>ROUND($V$12*$A21,2)</f>
        <v>1.7</v>
      </c>
      <c r="K21" s="90">
        <f>+C21+E21+H21+I21+J21</f>
        <v>62.671335194789663</v>
      </c>
      <c r="L21" s="90">
        <f>+D21+H21+I21+J21</f>
        <v>69.756874999999994</v>
      </c>
      <c r="M21" s="91">
        <f>ROUND((L21-K21)/K21,4)</f>
        <v>0.11310000000000001</v>
      </c>
      <c r="N21" s="90">
        <f>AC21</f>
        <v>-0.34</v>
      </c>
      <c r="O21" s="90">
        <f>L21+N21</f>
        <v>69.41687499999999</v>
      </c>
      <c r="P21" s="91">
        <f>ROUND((O21-K21)/K21,4)</f>
        <v>0.1076</v>
      </c>
      <c r="R21" s="141"/>
      <c r="U21" s="38">
        <f>+INPUT!$B$4</f>
        <v>16.131875000000001</v>
      </c>
      <c r="V21" s="84">
        <f>A21*$V$18</f>
        <v>44.814999999999998</v>
      </c>
      <c r="W21" s="84">
        <f>U21+V21</f>
        <v>60.946874999999999</v>
      </c>
      <c r="Y21" s="38">
        <f>INPUT!$B$32</f>
        <v>18.566875</v>
      </c>
      <c r="Z21" s="84">
        <f>A21*$Z$18</f>
        <v>49.75</v>
      </c>
      <c r="AA21" s="84">
        <f>Y21+Z21</f>
        <v>68.316874999999996</v>
      </c>
      <c r="AB21" s="84">
        <f>$AB$18*A21</f>
        <v>0.28446019478965856</v>
      </c>
      <c r="AC21" s="84">
        <f>$AC$18*A21</f>
        <v>-0.34</v>
      </c>
      <c r="AF21" s="84"/>
      <c r="AH21" s="141"/>
      <c r="AI21" s="141"/>
    </row>
    <row r="22" spans="1:35" x14ac:dyDescent="0.25">
      <c r="A22" s="82"/>
      <c r="F22" s="90"/>
      <c r="K22" s="90"/>
      <c r="U22" s="38"/>
      <c r="V22" s="84"/>
      <c r="W22" s="84"/>
      <c r="Y22" s="38"/>
      <c r="Z22" s="84"/>
      <c r="AA22" s="84"/>
      <c r="AB22" s="84"/>
      <c r="AC22" s="84"/>
      <c r="AH22" s="141"/>
      <c r="AI22" s="141"/>
    </row>
    <row r="23" spans="1:35" x14ac:dyDescent="0.25">
      <c r="A23" s="82">
        <v>750</v>
      </c>
      <c r="C23" s="90">
        <f>+W23</f>
        <v>83.354375000000005</v>
      </c>
      <c r="D23" s="90">
        <f>+AA23</f>
        <v>93.191874999999996</v>
      </c>
      <c r="E23" s="90">
        <f>AB23</f>
        <v>0.42669029218448784</v>
      </c>
      <c r="F23" s="90">
        <f t="shared" ref="F23:F33" si="0">+D23-(E23+C23)</f>
        <v>9.4108097078155026</v>
      </c>
      <c r="G23" s="91">
        <f>ROUND(+F23/C23,4)</f>
        <v>0.1129</v>
      </c>
      <c r="H23" s="90">
        <f>ROUND($V$10*$A23,2)</f>
        <v>-0.96</v>
      </c>
      <c r="I23" s="90">
        <f>ROUND($V$11*$A23,2)</f>
        <v>0.56999999999999995</v>
      </c>
      <c r="J23" s="90">
        <f>ROUND($V$12*$A23,2)</f>
        <v>2.56</v>
      </c>
      <c r="K23" s="90">
        <f t="shared" ref="K23:K33" si="1">+C23+E23+H23+I23+J23</f>
        <v>85.951065292184495</v>
      </c>
      <c r="L23" s="90">
        <f>+D23+H23+I23+J23</f>
        <v>95.361874999999998</v>
      </c>
      <c r="M23" s="91">
        <f>ROUND((L23-K23)/K23,4)</f>
        <v>0.1095</v>
      </c>
      <c r="N23" s="90">
        <f t="shared" ref="N23:N35" si="2">AC23</f>
        <v>-0.51</v>
      </c>
      <c r="O23" s="90">
        <f t="shared" ref="O23:O35" si="3">L23+N23</f>
        <v>94.851874999999993</v>
      </c>
      <c r="P23" s="91">
        <f t="shared" ref="P23:P35" si="4">ROUND((O23-K23)/K23,4)</f>
        <v>0.1036</v>
      </c>
      <c r="U23" s="38">
        <f>$U$21</f>
        <v>16.131875000000001</v>
      </c>
      <c r="V23" s="84">
        <f>A23*$V$18</f>
        <v>67.222499999999997</v>
      </c>
      <c r="W23" s="84">
        <f>U23+V23</f>
        <v>83.354375000000005</v>
      </c>
      <c r="Y23" s="38">
        <f>INPUT!$B$32</f>
        <v>18.566875</v>
      </c>
      <c r="Z23" s="84">
        <f>A23*$Z$18</f>
        <v>74.625</v>
      </c>
      <c r="AA23" s="84">
        <f>Y23+Z23</f>
        <v>93.191874999999996</v>
      </c>
      <c r="AB23" s="84">
        <f>$AB$18*A23</f>
        <v>0.42669029218448784</v>
      </c>
      <c r="AC23" s="84">
        <f>$AC$18*A23</f>
        <v>-0.51</v>
      </c>
      <c r="AF23" s="84"/>
      <c r="AH23" s="141"/>
      <c r="AI23" s="141"/>
    </row>
    <row r="24" spans="1:35" x14ac:dyDescent="0.25">
      <c r="A24" s="82"/>
      <c r="C24" s="90"/>
      <c r="D24" s="90"/>
      <c r="E24" s="90"/>
      <c r="F24" s="90"/>
      <c r="G24" s="91"/>
      <c r="H24" s="90"/>
      <c r="I24" s="90"/>
      <c r="J24" s="90"/>
      <c r="K24" s="90"/>
      <c r="L24" s="90"/>
      <c r="M24" s="91"/>
      <c r="N24" s="90"/>
      <c r="O24" s="90"/>
      <c r="P24" s="91"/>
      <c r="U24" s="142"/>
      <c r="V24" s="84"/>
      <c r="W24" s="84"/>
      <c r="Y24" s="38"/>
      <c r="Z24" s="84"/>
      <c r="AA24" s="84"/>
      <c r="AB24" s="84"/>
      <c r="AC24" s="84"/>
      <c r="AH24" s="143"/>
      <c r="AI24" s="143"/>
    </row>
    <row r="25" spans="1:35" s="144" customFormat="1" x14ac:dyDescent="0.25">
      <c r="A25" s="82">
        <v>1000</v>
      </c>
      <c r="B25" s="17"/>
      <c r="C25" s="90">
        <f>+W25</f>
        <v>105.761875</v>
      </c>
      <c r="D25" s="90">
        <f>+AA25</f>
        <v>118.066875</v>
      </c>
      <c r="E25" s="90">
        <f>AB25</f>
        <v>0.56892038957931712</v>
      </c>
      <c r="F25" s="90">
        <f t="shared" si="0"/>
        <v>11.736079610420674</v>
      </c>
      <c r="G25" s="91">
        <f>ROUND(+F25/C25,4)</f>
        <v>0.111</v>
      </c>
      <c r="H25" s="90">
        <f>ROUND($V$10*$A25,2)</f>
        <v>-1.28</v>
      </c>
      <c r="I25" s="90">
        <f>ROUND($V$11*$A25,2)</f>
        <v>0.76</v>
      </c>
      <c r="J25" s="90">
        <f>ROUND($V$12*$A25,2)</f>
        <v>3.41</v>
      </c>
      <c r="K25" s="90">
        <f t="shared" si="1"/>
        <v>109.22079538957932</v>
      </c>
      <c r="L25" s="90">
        <f>+D25+H25+I25+J25</f>
        <v>120.956875</v>
      </c>
      <c r="M25" s="91">
        <f>ROUND((L25-K25)/K25,4)</f>
        <v>0.1075</v>
      </c>
      <c r="N25" s="90">
        <f t="shared" si="2"/>
        <v>-0.68</v>
      </c>
      <c r="O25" s="90">
        <f t="shared" si="3"/>
        <v>120.27687499999999</v>
      </c>
      <c r="P25" s="91">
        <f t="shared" si="4"/>
        <v>0.1012</v>
      </c>
      <c r="U25" s="142">
        <f>$U$21</f>
        <v>16.131875000000001</v>
      </c>
      <c r="V25" s="84">
        <f>A25*$V$18</f>
        <v>89.63</v>
      </c>
      <c r="W25" s="145">
        <f>U25+V25</f>
        <v>105.761875</v>
      </c>
      <c r="Y25" s="142">
        <f>INPUT!$B$32</f>
        <v>18.566875</v>
      </c>
      <c r="Z25" s="84">
        <f>A25*$Z$18</f>
        <v>99.5</v>
      </c>
      <c r="AA25" s="145">
        <f>Y25+Z25</f>
        <v>118.066875</v>
      </c>
      <c r="AB25" s="84">
        <f>$AB$18*A25</f>
        <v>0.56892038957931712</v>
      </c>
      <c r="AC25" s="84">
        <f>$AC$18*A25</f>
        <v>-0.68</v>
      </c>
      <c r="AF25" s="145"/>
      <c r="AH25" s="143"/>
      <c r="AI25" s="143"/>
    </row>
    <row r="26" spans="1:35" x14ac:dyDescent="0.25">
      <c r="A26" s="82"/>
      <c r="F26" s="90"/>
      <c r="K26" s="90"/>
      <c r="U26" s="38"/>
      <c r="V26" s="84"/>
      <c r="W26" s="84"/>
      <c r="Y26" s="38"/>
      <c r="Z26" s="84"/>
      <c r="AA26" s="84"/>
      <c r="AB26" s="84"/>
      <c r="AC26" s="84"/>
      <c r="AH26" s="141"/>
      <c r="AI26" s="141"/>
    </row>
    <row r="27" spans="1:35" x14ac:dyDescent="0.25">
      <c r="A27" s="146">
        <f>INPUT!B26</f>
        <v>1120</v>
      </c>
      <c r="B27" s="147"/>
      <c r="C27" s="148">
        <f>+W27</f>
        <v>116.51747499999999</v>
      </c>
      <c r="D27" s="148">
        <f>+AA27</f>
        <v>130.00687500000001</v>
      </c>
      <c r="E27" s="148">
        <f>AB27</f>
        <v>0.63719083632883522</v>
      </c>
      <c r="F27" s="148">
        <f t="shared" si="0"/>
        <v>12.852209163671176</v>
      </c>
      <c r="G27" s="149">
        <f>ROUND(+F27/C27,4)</f>
        <v>0.1103</v>
      </c>
      <c r="H27" s="148">
        <f>ROUND($V$10*$A27,2)</f>
        <v>-1.44</v>
      </c>
      <c r="I27" s="148">
        <f>ROUND($V$11*$A27,2)</f>
        <v>0.85</v>
      </c>
      <c r="J27" s="148">
        <f>ROUND($V$12*$A27,2)</f>
        <v>3.82</v>
      </c>
      <c r="K27" s="148">
        <f t="shared" si="1"/>
        <v>120.38466583632882</v>
      </c>
      <c r="L27" s="148">
        <f>+D27+H27+I27+J27</f>
        <v>133.236875</v>
      </c>
      <c r="M27" s="149">
        <f>ROUND((L27-K27)/K27,4)</f>
        <v>0.10680000000000001</v>
      </c>
      <c r="N27" s="148">
        <f t="shared" si="2"/>
        <v>-0.76160000000000005</v>
      </c>
      <c r="O27" s="148">
        <f t="shared" si="3"/>
        <v>132.47527500000001</v>
      </c>
      <c r="P27" s="150">
        <f t="shared" si="4"/>
        <v>0.1004</v>
      </c>
      <c r="Q27" s="184">
        <f>+K27/A27</f>
        <v>0.10748630878243645</v>
      </c>
      <c r="R27" s="184">
        <f>+L27/A27</f>
        <v>0.11896149553571428</v>
      </c>
      <c r="S27" s="144"/>
      <c r="T27" s="144"/>
      <c r="U27" s="142">
        <f>$U$21</f>
        <v>16.131875000000001</v>
      </c>
      <c r="V27" s="84">
        <f>A27*$V$18</f>
        <v>100.3856</v>
      </c>
      <c r="W27" s="145">
        <f>U27+V27</f>
        <v>116.51747499999999</v>
      </c>
      <c r="X27" s="144"/>
      <c r="Y27" s="142">
        <f>INPUT!$B$32</f>
        <v>18.566875</v>
      </c>
      <c r="Z27" s="84">
        <f>A27*$Z$18</f>
        <v>111.44000000000001</v>
      </c>
      <c r="AA27" s="145">
        <f>Y27+Z27</f>
        <v>130.00687500000001</v>
      </c>
      <c r="AB27" s="84">
        <f>$AB$18*A27</f>
        <v>0.63719083632883522</v>
      </c>
      <c r="AC27" s="84">
        <f>$AC$18*A27</f>
        <v>-0.76160000000000005</v>
      </c>
      <c r="AD27" s="144"/>
      <c r="AE27" s="144"/>
      <c r="AF27" s="145"/>
      <c r="AG27" s="144"/>
      <c r="AH27" s="143"/>
      <c r="AI27" s="141"/>
    </row>
    <row r="28" spans="1:35" x14ac:dyDescent="0.25">
      <c r="A28" s="82"/>
      <c r="F28" s="90"/>
      <c r="K28" s="90"/>
      <c r="U28" s="38"/>
      <c r="V28" s="84"/>
      <c r="W28" s="84"/>
      <c r="Y28" s="38"/>
      <c r="Z28" s="84"/>
      <c r="AA28" s="84"/>
      <c r="AB28" s="84"/>
      <c r="AC28" s="84"/>
      <c r="AH28" s="141"/>
      <c r="AI28" s="141"/>
    </row>
    <row r="29" spans="1:35" x14ac:dyDescent="0.25">
      <c r="A29" s="82">
        <v>1500</v>
      </c>
      <c r="C29" s="90">
        <f>+W29</f>
        <v>150.576875</v>
      </c>
      <c r="D29" s="90">
        <f>+AA29</f>
        <v>167.81687500000001</v>
      </c>
      <c r="E29" s="90">
        <f>AB29</f>
        <v>0.85338058436897568</v>
      </c>
      <c r="F29" s="90">
        <f t="shared" si="0"/>
        <v>16.386619415631031</v>
      </c>
      <c r="G29" s="91">
        <f>ROUND(+F29/C29,4)</f>
        <v>0.10879999999999999</v>
      </c>
      <c r="H29" s="90">
        <f>ROUND($V$10*$A29,2)</f>
        <v>-1.92</v>
      </c>
      <c r="I29" s="90">
        <f>ROUND($V$11*$A29,2)</f>
        <v>1.1399999999999999</v>
      </c>
      <c r="J29" s="90">
        <f>ROUND($V$12*$A29,2)</f>
        <v>5.1100000000000003</v>
      </c>
      <c r="K29" s="90">
        <f t="shared" si="1"/>
        <v>155.76025558436899</v>
      </c>
      <c r="L29" s="90">
        <f>+D29+H29+I29+J29</f>
        <v>172.14687500000002</v>
      </c>
      <c r="M29" s="91">
        <f>ROUND((L29-K29)/K29,4)</f>
        <v>0.1052</v>
      </c>
      <c r="N29" s="90">
        <f t="shared" si="2"/>
        <v>-1.02</v>
      </c>
      <c r="O29" s="90">
        <f t="shared" si="3"/>
        <v>171.12687500000001</v>
      </c>
      <c r="P29" s="91">
        <f t="shared" si="4"/>
        <v>9.8699999999999996E-2</v>
      </c>
      <c r="U29" s="38">
        <f>$U$21</f>
        <v>16.131875000000001</v>
      </c>
      <c r="V29" s="84">
        <f>A29*$V$18</f>
        <v>134.44499999999999</v>
      </c>
      <c r="W29" s="84">
        <f>U29+V29</f>
        <v>150.576875</v>
      </c>
      <c r="Y29" s="38">
        <f>INPUT!$B$32</f>
        <v>18.566875</v>
      </c>
      <c r="Z29" s="84">
        <f>A29*$Z$18</f>
        <v>149.25</v>
      </c>
      <c r="AA29" s="84">
        <f>Y29+Z29</f>
        <v>167.81687500000001</v>
      </c>
      <c r="AB29" s="84">
        <f>$AB$18*A29</f>
        <v>0.85338058436897568</v>
      </c>
      <c r="AC29" s="84">
        <f>$AC$18*A29</f>
        <v>-1.02</v>
      </c>
      <c r="AF29" s="84"/>
      <c r="AH29" s="141"/>
      <c r="AI29" s="141"/>
    </row>
    <row r="30" spans="1:35" x14ac:dyDescent="0.25">
      <c r="F30" s="90"/>
      <c r="K30" s="90"/>
      <c r="U30" s="38"/>
      <c r="V30" s="84"/>
      <c r="W30" s="84"/>
      <c r="Y30" s="38"/>
      <c r="Z30" s="84"/>
      <c r="AA30" s="84"/>
      <c r="AB30" s="84"/>
      <c r="AC30" s="84"/>
      <c r="AH30" s="141"/>
      <c r="AI30" s="141"/>
    </row>
    <row r="31" spans="1:35" x14ac:dyDescent="0.25">
      <c r="A31" s="82">
        <v>2000</v>
      </c>
      <c r="C31" s="90">
        <f>+W31</f>
        <v>195.391875</v>
      </c>
      <c r="D31" s="90">
        <f>+AA31</f>
        <v>217.56687500000001</v>
      </c>
      <c r="E31" s="90">
        <f>AB31</f>
        <v>1.1378407791586342</v>
      </c>
      <c r="F31" s="90">
        <f t="shared" si="0"/>
        <v>21.037159220841374</v>
      </c>
      <c r="G31" s="91">
        <f>ROUND(+F31/C31,4)</f>
        <v>0.1077</v>
      </c>
      <c r="H31" s="90">
        <f>ROUND($V$10*$A31,2)</f>
        <v>-2.56</v>
      </c>
      <c r="I31" s="90">
        <f>ROUND($V$11*$A31,2)</f>
        <v>1.52</v>
      </c>
      <c r="J31" s="90">
        <f>ROUND($V$12*$A31,2)</f>
        <v>6.82</v>
      </c>
      <c r="K31" s="90">
        <f t="shared" si="1"/>
        <v>202.30971577915864</v>
      </c>
      <c r="L31" s="90">
        <f>+D31+H31+I31+J31</f>
        <v>223.34687500000001</v>
      </c>
      <c r="M31" s="91">
        <f>ROUND((L31-K31)/K31,4)</f>
        <v>0.104</v>
      </c>
      <c r="N31" s="90">
        <f t="shared" si="2"/>
        <v>-1.36</v>
      </c>
      <c r="O31" s="90">
        <f t="shared" si="3"/>
        <v>221.986875</v>
      </c>
      <c r="P31" s="91">
        <f t="shared" si="4"/>
        <v>9.7299999999999998E-2</v>
      </c>
      <c r="U31" s="38">
        <f>$U$21</f>
        <v>16.131875000000001</v>
      </c>
      <c r="V31" s="84">
        <f>A31*$V$18</f>
        <v>179.26</v>
      </c>
      <c r="W31" s="84">
        <f>U31+V31</f>
        <v>195.391875</v>
      </c>
      <c r="Y31" s="38">
        <f>INPUT!$B$32</f>
        <v>18.566875</v>
      </c>
      <c r="Z31" s="84">
        <f>A31*$Z$18</f>
        <v>199</v>
      </c>
      <c r="AA31" s="84">
        <f>Y31+Z31</f>
        <v>217.56687500000001</v>
      </c>
      <c r="AB31" s="84">
        <f>$AB$18*A31</f>
        <v>1.1378407791586342</v>
      </c>
      <c r="AC31" s="84">
        <f>$AC$18*A31</f>
        <v>-1.36</v>
      </c>
      <c r="AF31" s="84"/>
      <c r="AH31" s="141"/>
      <c r="AI31" s="141"/>
    </row>
    <row r="32" spans="1:35" x14ac:dyDescent="0.25">
      <c r="A32" s="82"/>
      <c r="F32" s="90"/>
      <c r="K32" s="90"/>
      <c r="U32" s="38"/>
      <c r="V32" s="84"/>
      <c r="W32" s="84"/>
      <c r="Y32" s="38"/>
      <c r="Z32" s="84"/>
      <c r="AA32" s="84"/>
      <c r="AB32" s="84"/>
      <c r="AC32" s="84"/>
      <c r="AH32" s="141"/>
      <c r="AI32" s="141"/>
    </row>
    <row r="33" spans="1:35" x14ac:dyDescent="0.25">
      <c r="A33" s="82">
        <v>2500</v>
      </c>
      <c r="C33" s="90">
        <f>+W33</f>
        <v>240.20687500000003</v>
      </c>
      <c r="D33" s="90">
        <f>+AA33</f>
        <v>267.31687499999998</v>
      </c>
      <c r="E33" s="90">
        <f>AB33</f>
        <v>1.4223009739482928</v>
      </c>
      <c r="F33" s="90">
        <f t="shared" si="0"/>
        <v>25.687699026051661</v>
      </c>
      <c r="G33" s="91">
        <f>ROUND(+F33/C33,4)</f>
        <v>0.1069</v>
      </c>
      <c r="H33" s="90">
        <f>ROUND($V$10*$A33,2)</f>
        <v>-3.21</v>
      </c>
      <c r="I33" s="90">
        <f>ROUND($V$11*$A33,2)</f>
        <v>1.91</v>
      </c>
      <c r="J33" s="90">
        <f>ROUND($V$12*$A33,2)</f>
        <v>8.52</v>
      </c>
      <c r="K33" s="90">
        <f t="shared" si="1"/>
        <v>248.84917597394832</v>
      </c>
      <c r="L33" s="90">
        <f>+D33+H33+I33+J33</f>
        <v>274.53687500000001</v>
      </c>
      <c r="M33" s="91">
        <f>ROUND((L33-K33)/K33,4)</f>
        <v>0.1032</v>
      </c>
      <c r="N33" s="90">
        <f t="shared" si="2"/>
        <v>-1.7000000000000002</v>
      </c>
      <c r="O33" s="90">
        <f t="shared" si="3"/>
        <v>272.83687500000002</v>
      </c>
      <c r="P33" s="91">
        <f t="shared" si="4"/>
        <v>9.64E-2</v>
      </c>
      <c r="U33" s="38">
        <f>$U$21</f>
        <v>16.131875000000001</v>
      </c>
      <c r="V33" s="84">
        <f>A33*$V$18</f>
        <v>224.07500000000002</v>
      </c>
      <c r="W33" s="84">
        <f>U33+V33</f>
        <v>240.20687500000003</v>
      </c>
      <c r="Y33" s="38">
        <f>INPUT!$B$32</f>
        <v>18.566875</v>
      </c>
      <c r="Z33" s="84">
        <f>A33*$Z$18</f>
        <v>248.75</v>
      </c>
      <c r="AA33" s="84">
        <f>Y33+Z33</f>
        <v>267.31687499999998</v>
      </c>
      <c r="AB33" s="84">
        <f>$AB$18*A33</f>
        <v>1.4223009739482928</v>
      </c>
      <c r="AC33" s="84">
        <f>$AC$18*A33</f>
        <v>-1.7000000000000002</v>
      </c>
      <c r="AF33" s="84"/>
      <c r="AH33" s="141"/>
      <c r="AI33" s="141"/>
    </row>
    <row r="34" spans="1:35" x14ac:dyDescent="0.25">
      <c r="F34" s="90"/>
      <c r="K34" s="90"/>
      <c r="U34" s="38"/>
      <c r="V34" s="84"/>
      <c r="W34" s="84"/>
      <c r="Y34" s="38"/>
      <c r="Z34" s="84"/>
      <c r="AA34" s="84"/>
      <c r="AB34" s="84"/>
      <c r="AC34" s="84"/>
      <c r="AH34" s="141"/>
      <c r="AI34" s="141"/>
    </row>
    <row r="35" spans="1:35" x14ac:dyDescent="0.25">
      <c r="A35" s="82">
        <v>3000</v>
      </c>
      <c r="C35" s="90">
        <f>+W35</f>
        <v>285.02187499999997</v>
      </c>
      <c r="D35" s="90">
        <f>+AA35</f>
        <v>317.06687499999998</v>
      </c>
      <c r="E35" s="90">
        <f>AB35</f>
        <v>1.7067611687379514</v>
      </c>
      <c r="F35" s="90">
        <f>+D35-(E35+C35)</f>
        <v>30.338238831262061</v>
      </c>
      <c r="G35" s="91">
        <f>ROUND(+F35/C35,4)</f>
        <v>0.10639999999999999</v>
      </c>
      <c r="H35" s="90">
        <f>ROUND($V$10*$A35,2)</f>
        <v>-3.85</v>
      </c>
      <c r="I35" s="90">
        <f>ROUND($V$11*$A35,2)</f>
        <v>2.29</v>
      </c>
      <c r="J35" s="90">
        <f>ROUND($V$12*$A35,2)</f>
        <v>10.23</v>
      </c>
      <c r="K35" s="90">
        <f>+C35+E35+H35+I35+J35</f>
        <v>295.39863616873794</v>
      </c>
      <c r="L35" s="90">
        <f>+D35+H35+I35+J35</f>
        <v>325.736875</v>
      </c>
      <c r="M35" s="91">
        <f>ROUND((L35-K35)/K35,4)</f>
        <v>0.1027</v>
      </c>
      <c r="N35" s="90">
        <f t="shared" si="2"/>
        <v>-2.04</v>
      </c>
      <c r="O35" s="90">
        <f t="shared" si="3"/>
        <v>323.69687499999998</v>
      </c>
      <c r="P35" s="91">
        <f t="shared" si="4"/>
        <v>9.5799999999999996E-2</v>
      </c>
      <c r="U35" s="38">
        <f>$U$21</f>
        <v>16.131875000000001</v>
      </c>
      <c r="V35" s="84">
        <f>A35*$V$18</f>
        <v>268.89</v>
      </c>
      <c r="W35" s="84">
        <f>U35+V35</f>
        <v>285.02187499999997</v>
      </c>
      <c r="Y35" s="38">
        <f>INPUT!$B$32</f>
        <v>18.566875</v>
      </c>
      <c r="Z35" s="84">
        <f>A35*$Z$18</f>
        <v>298.5</v>
      </c>
      <c r="AA35" s="84">
        <f>Y35+Z35</f>
        <v>317.06687499999998</v>
      </c>
      <c r="AB35" s="84">
        <f>$AB$18*A35</f>
        <v>1.7067611687379514</v>
      </c>
      <c r="AC35" s="84">
        <f>$AC$18*A35</f>
        <v>-2.04</v>
      </c>
      <c r="AF35" s="84"/>
      <c r="AH35" s="141"/>
      <c r="AI35" s="141"/>
    </row>
    <row r="37" spans="1:35" x14ac:dyDescent="0.25">
      <c r="A37" s="17" t="s">
        <v>301</v>
      </c>
      <c r="U37" s="38"/>
    </row>
    <row r="38" spans="1:35" x14ac:dyDescent="0.25">
      <c r="A38" s="174" t="str">
        <f>("Average Usage = "&amp;TEXT(INPUT!B26*1,"0,000")&amp;" kWh per month")</f>
        <v>Average Usage = 1,120 kWh per month</v>
      </c>
    </row>
    <row r="39" spans="1:35" x14ac:dyDescent="0.25">
      <c r="A39" s="175" t="s">
        <v>302</v>
      </c>
    </row>
    <row r="40" spans="1:35" x14ac:dyDescent="0.25">
      <c r="A40" s="175" t="str">
        <f>+'Rate Case Constants'!$C$26</f>
        <v>Calculations may vary from other schedules due to rounding</v>
      </c>
    </row>
    <row r="42" spans="1:35" ht="12" customHeight="1" x14ac:dyDescent="0.25"/>
  </sheetData>
  <mergeCells count="5">
    <mergeCell ref="H15:J15"/>
    <mergeCell ref="A1:P1"/>
    <mergeCell ref="A2:P2"/>
    <mergeCell ref="A3:P3"/>
    <mergeCell ref="A4:P4"/>
  </mergeCells>
  <phoneticPr fontId="6" type="noConversion"/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AN43"/>
  <sheetViews>
    <sheetView zoomScale="80" zoomScaleNormal="80" zoomScaleSheetLayoutView="80" workbookViewId="0">
      <selection sqref="A1:P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2.1796875" bestFit="1" customWidth="1"/>
    <col min="7" max="7" width="9.26953125" bestFit="1" customWidth="1"/>
    <col min="8" max="8" width="10.7265625" bestFit="1" customWidth="1"/>
    <col min="9" max="9" width="10" bestFit="1" customWidth="1"/>
    <col min="10" max="10" width="10" customWidth="1"/>
    <col min="11" max="11" width="12.7265625" bestFit="1" customWidth="1"/>
    <col min="12" max="12" width="10.453125" bestFit="1" customWidth="1"/>
    <col min="13" max="13" width="8.81640625" bestFit="1" customWidth="1"/>
    <col min="14" max="16" width="9.26953125" customWidth="1"/>
    <col min="17" max="17" width="10.1796875" customWidth="1"/>
    <col min="18" max="20" width="3.54296875" customWidth="1"/>
    <col min="21" max="22" width="11.81640625" customWidth="1"/>
    <col min="23" max="23" width="9.81640625" customWidth="1"/>
    <col min="24" max="25" width="9.54296875" customWidth="1"/>
    <col min="26" max="26" width="7.1796875" customWidth="1"/>
    <col min="27" max="27" width="11.54296875" customWidth="1"/>
    <col min="28" max="29" width="9.54296875" customWidth="1"/>
    <col min="31" max="31" width="11.453125" bestFit="1" customWidth="1"/>
    <col min="32" max="32" width="9" bestFit="1" customWidth="1"/>
    <col min="35" max="36" width="3" customWidth="1"/>
    <col min="38" max="38" width="2.7265625" customWidth="1"/>
  </cols>
  <sheetData>
    <row r="1" spans="1:40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40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40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40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40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40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40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40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+'Rate Case Constants'!L9</f>
        <v>PAGE 2 of 24</v>
      </c>
    </row>
    <row r="9" spans="1:40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197"/>
      <c r="O9" s="197"/>
      <c r="P9" s="197" t="str">
        <f>+'Rate Case Constants'!C36</f>
        <v>WITNESS:   R. M. CONROY</v>
      </c>
      <c r="V9" s="17"/>
    </row>
    <row r="10" spans="1:40" ht="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U10" s="83" t="s">
        <v>68</v>
      </c>
      <c r="V10" s="83">
        <f>INPUT!H65</f>
        <v>-1.2981366424355246E-3</v>
      </c>
    </row>
    <row r="11" spans="1:40" ht="13" x14ac:dyDescent="0.3">
      <c r="A11" s="124" t="s">
        <v>343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3" t="s">
        <v>70</v>
      </c>
      <c r="V11" s="83">
        <f>INPUT!I65</f>
        <v>6.2265687367239243E-4</v>
      </c>
      <c r="W11" s="29"/>
      <c r="X11" s="29"/>
      <c r="Y11" s="29"/>
      <c r="Z11" s="29"/>
      <c r="AA11" s="32"/>
      <c r="AB11" s="29"/>
      <c r="AC11" s="29"/>
      <c r="AD11" s="29"/>
      <c r="AE11" s="29"/>
      <c r="AF11" s="29"/>
      <c r="AG11" s="29"/>
      <c r="AH11" s="29"/>
    </row>
    <row r="12" spans="1:40" ht="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3" t="s">
        <v>69</v>
      </c>
      <c r="V12" s="83">
        <f>INPUT!J65</f>
        <v>2.686214102251277E-3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40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29"/>
      <c r="R13" s="29"/>
      <c r="S13" s="29"/>
      <c r="T13" s="29"/>
      <c r="U13" s="29"/>
      <c r="V13" s="29"/>
      <c r="W13" s="29"/>
      <c r="X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40" ht="13" x14ac:dyDescent="0.3">
      <c r="C14" s="195" t="s">
        <v>313</v>
      </c>
      <c r="D14" s="195" t="s">
        <v>313</v>
      </c>
      <c r="E14" s="195" t="s">
        <v>69</v>
      </c>
      <c r="H14" s="17"/>
      <c r="I14" s="17"/>
      <c r="J14" s="17"/>
      <c r="K14" s="3" t="s">
        <v>5</v>
      </c>
      <c r="L14" s="3" t="s">
        <v>5</v>
      </c>
      <c r="N14" s="85" t="s">
        <v>592</v>
      </c>
      <c r="O14" s="85" t="s">
        <v>5</v>
      </c>
      <c r="P14" s="17"/>
      <c r="U14" s="136" t="s">
        <v>56</v>
      </c>
      <c r="V14" s="46"/>
      <c r="W14" s="46"/>
      <c r="X14" s="46"/>
      <c r="Y14" s="3"/>
      <c r="AA14" s="46" t="s">
        <v>57</v>
      </c>
      <c r="AB14" s="46"/>
      <c r="AC14" s="46"/>
      <c r="AD14" s="46"/>
      <c r="AE14" s="46"/>
      <c r="AF14" s="46"/>
      <c r="AG14" s="3"/>
      <c r="AH14" s="56"/>
    </row>
    <row r="15" spans="1:40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07" t="s">
        <v>245</v>
      </c>
      <c r="I15" s="407"/>
      <c r="J15" s="408"/>
      <c r="K15" s="3" t="s">
        <v>1</v>
      </c>
      <c r="L15" s="3" t="s">
        <v>71</v>
      </c>
      <c r="M15" s="129"/>
      <c r="N15" s="85" t="s">
        <v>593</v>
      </c>
      <c r="O15" s="85" t="s">
        <v>71</v>
      </c>
      <c r="P15" s="85"/>
      <c r="Q15" s="129"/>
      <c r="U15" s="25" t="s">
        <v>59</v>
      </c>
      <c r="V15" s="25" t="s">
        <v>53</v>
      </c>
      <c r="W15" s="25" t="s">
        <v>53</v>
      </c>
      <c r="X15" s="25"/>
      <c r="Y15" s="3"/>
      <c r="AA15" s="25" t="s">
        <v>59</v>
      </c>
      <c r="AB15" s="25" t="s">
        <v>53</v>
      </c>
      <c r="AC15" s="25" t="s">
        <v>53</v>
      </c>
      <c r="AD15" s="25"/>
      <c r="AE15" s="86"/>
      <c r="AF15" s="83" t="s">
        <v>592</v>
      </c>
      <c r="AG15" s="3"/>
      <c r="AH15" s="25"/>
    </row>
    <row r="16" spans="1:40" ht="13" x14ac:dyDescent="0.3">
      <c r="A16" s="3"/>
      <c r="B16" s="3"/>
      <c r="C16" s="25" t="s">
        <v>4</v>
      </c>
      <c r="D16" s="25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85" t="s">
        <v>70</v>
      </c>
      <c r="J16" s="85" t="s">
        <v>69</v>
      </c>
      <c r="K16" s="25" t="s">
        <v>4</v>
      </c>
      <c r="L16" s="25" t="s">
        <v>4</v>
      </c>
      <c r="M16" s="3" t="s">
        <v>72</v>
      </c>
      <c r="N16" s="85" t="s">
        <v>439</v>
      </c>
      <c r="O16" s="85" t="s">
        <v>443</v>
      </c>
      <c r="P16" s="85" t="s">
        <v>72</v>
      </c>
      <c r="Q16" s="3"/>
      <c r="R16" s="3"/>
      <c r="S16" s="3"/>
      <c r="T16" s="3"/>
      <c r="U16" s="25" t="s">
        <v>58</v>
      </c>
      <c r="V16" s="25" t="s">
        <v>19</v>
      </c>
      <c r="W16" s="25" t="s">
        <v>31</v>
      </c>
      <c r="X16" s="25" t="s">
        <v>5</v>
      </c>
      <c r="Y16" s="3"/>
      <c r="AA16" s="25" t="s">
        <v>58</v>
      </c>
      <c r="AB16" s="25" t="s">
        <v>19</v>
      </c>
      <c r="AC16" s="25" t="s">
        <v>31</v>
      </c>
      <c r="AD16" s="25" t="s">
        <v>5</v>
      </c>
      <c r="AE16" s="86" t="s">
        <v>69</v>
      </c>
      <c r="AF16" s="85" t="s">
        <v>593</v>
      </c>
      <c r="AG16" s="3"/>
      <c r="AH16" s="25"/>
      <c r="AJ16" s="2"/>
      <c r="AK16" s="85"/>
      <c r="AL16" s="85"/>
      <c r="AM16" s="85"/>
      <c r="AN16" s="3"/>
    </row>
    <row r="17" spans="1:40" ht="13" x14ac:dyDescent="0.3">
      <c r="A17" s="3" t="s">
        <v>46</v>
      </c>
      <c r="B17" s="3"/>
      <c r="C17" s="25"/>
      <c r="D17" s="3"/>
      <c r="E17" s="85"/>
      <c r="F17" s="3" t="s">
        <v>66</v>
      </c>
      <c r="G17" s="25" t="s">
        <v>67</v>
      </c>
      <c r="H17" s="88"/>
      <c r="I17" s="88"/>
      <c r="J17" s="89"/>
      <c r="K17" s="3" t="s">
        <v>66</v>
      </c>
      <c r="L17" s="3" t="s">
        <v>66</v>
      </c>
      <c r="M17" s="25" t="s">
        <v>67</v>
      </c>
      <c r="N17" s="86"/>
      <c r="O17" s="86" t="s">
        <v>439</v>
      </c>
      <c r="P17" s="86" t="s">
        <v>67</v>
      </c>
      <c r="Q17" s="3"/>
      <c r="R17" s="3"/>
      <c r="S17" s="3"/>
      <c r="T17" s="3"/>
      <c r="U17" s="53" t="s">
        <v>3</v>
      </c>
      <c r="V17" s="80" t="s">
        <v>3</v>
      </c>
      <c r="W17" s="80" t="s">
        <v>3</v>
      </c>
      <c r="X17" s="53" t="s">
        <v>4</v>
      </c>
      <c r="Y17" s="33"/>
      <c r="AA17" s="53" t="s">
        <v>3</v>
      </c>
      <c r="AB17" s="33" t="s">
        <v>3</v>
      </c>
      <c r="AC17" s="33" t="s">
        <v>3</v>
      </c>
      <c r="AD17" s="53" t="s">
        <v>4</v>
      </c>
      <c r="AE17" s="386" t="s">
        <v>471</v>
      </c>
      <c r="AF17" s="342" t="s">
        <v>439</v>
      </c>
      <c r="AG17" s="3"/>
      <c r="AH17" s="57"/>
      <c r="AJ17" s="2"/>
      <c r="AK17" s="85"/>
      <c r="AL17" s="85"/>
      <c r="AM17" s="85"/>
      <c r="AN17" s="3"/>
    </row>
    <row r="18" spans="1:40" ht="13" x14ac:dyDescent="0.3">
      <c r="A18" s="80"/>
      <c r="B18" s="80"/>
      <c r="C18" s="80"/>
      <c r="D18" s="80"/>
      <c r="E18" s="343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3"/>
      <c r="R18" s="3"/>
      <c r="S18" s="3"/>
      <c r="T18" s="3"/>
      <c r="U18" s="25"/>
      <c r="V18" s="31">
        <f>+INPUT!$C$8</f>
        <v>5.7599999999999998E-2</v>
      </c>
      <c r="W18" s="31">
        <f>+INPUT!$C$7</f>
        <v>0.27542</v>
      </c>
      <c r="X18" s="25"/>
      <c r="Y18" s="40"/>
      <c r="AA18" s="25"/>
      <c r="AB18" s="31">
        <f>INPUT!$C$36</f>
        <v>6.5119999999999997E-2</v>
      </c>
      <c r="AC18" s="31">
        <f>INPUT!$C$35</f>
        <v>0.22123999999999999</v>
      </c>
      <c r="AD18" s="25"/>
      <c r="AE18" s="86">
        <f>INPUT!K65</f>
        <v>5.9863387039376954E-4</v>
      </c>
      <c r="AF18" s="86">
        <f>INPUT!C52</f>
        <v>-6.8000000000000005E-4</v>
      </c>
      <c r="AG18" s="3"/>
      <c r="AH18" s="25"/>
      <c r="AJ18" s="2"/>
      <c r="AK18" s="85"/>
      <c r="AL18" s="85"/>
      <c r="AM18" s="85"/>
      <c r="AN18" s="3"/>
    </row>
    <row r="19" spans="1:40" ht="13" x14ac:dyDescent="0.3">
      <c r="A19" s="3"/>
      <c r="B19" s="3"/>
      <c r="C19" s="3"/>
      <c r="D19" s="3"/>
      <c r="E19" s="85"/>
      <c r="F19" s="3"/>
      <c r="G19" s="3"/>
      <c r="H19" s="3"/>
      <c r="I19" s="3"/>
      <c r="J19" s="3"/>
      <c r="K19" s="3"/>
      <c r="L19" s="3"/>
      <c r="M19" s="3"/>
      <c r="N19" s="85"/>
      <c r="O19" s="85"/>
      <c r="P19" s="85"/>
      <c r="Q19" s="3"/>
      <c r="R19" s="3"/>
      <c r="S19" s="3"/>
      <c r="T19" s="3"/>
      <c r="U19" s="25"/>
      <c r="V19" s="3" t="s">
        <v>11</v>
      </c>
      <c r="W19" s="3" t="s">
        <v>11</v>
      </c>
      <c r="X19" s="25"/>
      <c r="Y19" s="3"/>
      <c r="AA19" s="25"/>
      <c r="AB19" s="3" t="s">
        <v>11</v>
      </c>
      <c r="AC19" s="3" t="s">
        <v>11</v>
      </c>
      <c r="AD19" s="25"/>
      <c r="AE19" s="86" t="s">
        <v>11</v>
      </c>
      <c r="AF19" s="86" t="s">
        <v>11</v>
      </c>
      <c r="AG19" s="3"/>
      <c r="AH19" s="25"/>
      <c r="AJ19" s="2"/>
      <c r="AK19" s="85"/>
      <c r="AL19" s="85"/>
      <c r="AM19" s="85"/>
      <c r="AN19" s="3"/>
    </row>
    <row r="20" spans="1:40" ht="13" x14ac:dyDescent="0.3">
      <c r="A20" s="3"/>
      <c r="B20" s="3"/>
      <c r="C20" s="3"/>
      <c r="D20" s="3"/>
      <c r="E20" s="85"/>
      <c r="F20" s="3"/>
      <c r="G20" s="3"/>
      <c r="H20" s="3"/>
      <c r="I20" s="3"/>
      <c r="J20" s="3"/>
      <c r="K20" s="3"/>
      <c r="L20" s="3"/>
      <c r="M20" s="3"/>
      <c r="N20" s="85"/>
      <c r="O20" s="85"/>
      <c r="P20" s="85"/>
      <c r="Q20" s="3"/>
      <c r="R20" s="3"/>
      <c r="S20" s="3"/>
      <c r="T20" s="3"/>
      <c r="W20" s="3"/>
      <c r="X20" s="3"/>
      <c r="Y20" s="3"/>
      <c r="AB20" s="3"/>
      <c r="AC20" s="3"/>
      <c r="AD20" s="3"/>
      <c r="AE20" s="85"/>
      <c r="AF20" s="85"/>
      <c r="AG20" s="3"/>
      <c r="AH20" s="3"/>
      <c r="AK20" s="17"/>
      <c r="AL20" s="17"/>
      <c r="AM20" s="17"/>
    </row>
    <row r="21" spans="1:40" x14ac:dyDescent="0.25">
      <c r="A21" s="1">
        <v>500</v>
      </c>
      <c r="C21" s="90">
        <f>+X21</f>
        <v>55.822850188009319</v>
      </c>
      <c r="D21" s="90">
        <f>+AD21</f>
        <v>62.883819885531302</v>
      </c>
      <c r="E21" s="90">
        <f>AE21</f>
        <v>0.29931693519688479</v>
      </c>
      <c r="F21" s="90">
        <f>+D21-(E21+C21)</f>
        <v>6.7616527623250988</v>
      </c>
      <c r="G21" s="54">
        <f>ROUND(+F21/C21,4)</f>
        <v>0.1211</v>
      </c>
      <c r="H21" s="90">
        <f>ROUND($V$10*$A21,2)</f>
        <v>-0.65</v>
      </c>
      <c r="I21" s="90">
        <f>ROUND($V$11*$A21,2)</f>
        <v>0.31</v>
      </c>
      <c r="J21" s="90">
        <f>ROUND($V$12*$A21,2)</f>
        <v>1.34</v>
      </c>
      <c r="K21" s="28">
        <f>+C21+E21+H21+I21+J21</f>
        <v>57.122167123206211</v>
      </c>
      <c r="L21" s="28">
        <f>+D21+H21+I21+J21</f>
        <v>63.88381988553131</v>
      </c>
      <c r="M21" s="54">
        <f>ROUND((L21-K21)/K21,4)</f>
        <v>0.11840000000000001</v>
      </c>
      <c r="N21" s="90">
        <f>AF21</f>
        <v>-0.34</v>
      </c>
      <c r="O21" s="90">
        <f>L21+N21</f>
        <v>63.543819885531306</v>
      </c>
      <c r="P21" s="91">
        <f>ROUND((O21-K21)/K21,4)</f>
        <v>0.1124</v>
      </c>
      <c r="U21" s="7">
        <f>+INPUT!$C$4</f>
        <v>16.131875000000001</v>
      </c>
      <c r="V21" s="6">
        <f>(+$A21*$V$39)*V$18</f>
        <v>25.920006561246272</v>
      </c>
      <c r="W21" s="6">
        <f>(+$A21*$W$39)*W$18</f>
        <v>13.770968626763045</v>
      </c>
      <c r="X21" s="6">
        <f>SUM(U21:W21)</f>
        <v>55.822850188009319</v>
      </c>
      <c r="Y21" s="6"/>
      <c r="AA21" s="7">
        <f>INPUT!$C32</f>
        <v>18.566875</v>
      </c>
      <c r="AB21" s="6">
        <f>(+$A21*$AB$39)*AB$18</f>
        <v>27.65600146716757</v>
      </c>
      <c r="AC21" s="6">
        <f>(+$A21*$AC$39)*AC$18</f>
        <v>16.660943418363736</v>
      </c>
      <c r="AD21" s="6">
        <f>SUM(AA21:AC21)</f>
        <v>62.883819885531302</v>
      </c>
      <c r="AE21" s="84">
        <f>$AE$18*A21</f>
        <v>0.29931693519688479</v>
      </c>
      <c r="AF21" s="84">
        <f>$AF$18*A21</f>
        <v>-0.34</v>
      </c>
      <c r="AG21" s="6"/>
      <c r="AH21" s="6"/>
      <c r="AK21" s="84"/>
      <c r="AL21" s="17"/>
      <c r="AM21" s="141"/>
      <c r="AN21" s="8"/>
    </row>
    <row r="22" spans="1:40" x14ac:dyDescent="0.25">
      <c r="A22" s="1"/>
      <c r="F22" s="90"/>
      <c r="K22" s="28"/>
      <c r="O22" s="17"/>
      <c r="P22" s="17"/>
      <c r="U22" s="7"/>
      <c r="V22" s="7"/>
      <c r="W22" s="7"/>
      <c r="X22" s="6"/>
      <c r="Y22" s="6"/>
      <c r="AA22" s="7"/>
      <c r="AB22" s="7"/>
      <c r="AC22" s="7"/>
      <c r="AD22" s="6"/>
      <c r="AE22" s="84"/>
      <c r="AF22" s="84"/>
      <c r="AG22" s="6"/>
      <c r="AH22" s="6"/>
      <c r="AK22" s="17"/>
      <c r="AL22" s="17"/>
      <c r="AM22" s="141"/>
      <c r="AN22" s="8"/>
    </row>
    <row r="23" spans="1:40" x14ac:dyDescent="0.25">
      <c r="A23" s="1">
        <v>750</v>
      </c>
      <c r="C23" s="90">
        <f>+X23</f>
        <v>75.668337782013978</v>
      </c>
      <c r="D23" s="90">
        <f>+AD23</f>
        <v>85.042292328296966</v>
      </c>
      <c r="E23" s="90">
        <f t="shared" ref="E23:E35" si="0">AE23</f>
        <v>0.44897540279532716</v>
      </c>
      <c r="F23" s="90">
        <f t="shared" ref="F23:F35" si="1">+D23-(E23+C23)</f>
        <v>8.9249791434876613</v>
      </c>
      <c r="G23" s="54">
        <f>ROUND(+F23/C23,4)</f>
        <v>0.1179</v>
      </c>
      <c r="H23" s="90">
        <f>ROUND($V$10*$A23,2)</f>
        <v>-0.97</v>
      </c>
      <c r="I23" s="90">
        <f>ROUND($V$11*$A23,2)</f>
        <v>0.47</v>
      </c>
      <c r="J23" s="90">
        <f>ROUND($V$12*$A23,2)</f>
        <v>2.0099999999999998</v>
      </c>
      <c r="K23" s="28">
        <f t="shared" ref="K23:K33" si="2">+C23+E23+H23+I23+J23</f>
        <v>77.62731318480931</v>
      </c>
      <c r="L23" s="28">
        <f>+D23+H23+I23+J23</f>
        <v>86.552292328296971</v>
      </c>
      <c r="M23" s="54">
        <f>ROUND((L23-K23)/K23,4)</f>
        <v>0.115</v>
      </c>
      <c r="N23" s="90">
        <f t="shared" ref="N23:N35" si="3">AF23</f>
        <v>-0.51</v>
      </c>
      <c r="O23" s="90">
        <f t="shared" ref="O23:O35" si="4">L23+N23</f>
        <v>86.042292328296966</v>
      </c>
      <c r="P23" s="91">
        <f t="shared" ref="P23:P35" si="5">ROUND((O23-K23)/K23,4)</f>
        <v>0.1084</v>
      </c>
      <c r="U23" s="7">
        <f>$U$21</f>
        <v>16.131875000000001</v>
      </c>
      <c r="V23" s="6">
        <f>(+$A23*$V$39)*V$18</f>
        <v>38.880009841869409</v>
      </c>
      <c r="W23" s="6">
        <f>(+$A23*$W$39)*W$18</f>
        <v>20.656452940144568</v>
      </c>
      <c r="X23" s="6">
        <f>SUM(U23:W23)</f>
        <v>75.668337782013978</v>
      </c>
      <c r="Y23" s="6"/>
      <c r="AA23" s="7">
        <f>+$AA$21</f>
        <v>18.566875</v>
      </c>
      <c r="AB23" s="6">
        <f>(+$A23*$AB$39)*AB$18</f>
        <v>41.484002200751355</v>
      </c>
      <c r="AC23" s="6">
        <f>(+$A23*$AC$39)*AC$18</f>
        <v>24.991415127545608</v>
      </c>
      <c r="AD23" s="6">
        <f>SUM(AA23:AC23)</f>
        <v>85.042292328296966</v>
      </c>
      <c r="AE23" s="84">
        <f t="shared" ref="AE23:AE33" si="6">$AE$18*A23</f>
        <v>0.44897540279532716</v>
      </c>
      <c r="AF23" s="84">
        <f t="shared" ref="AF23:AF33" si="7">$AF$18*A23</f>
        <v>-0.51</v>
      </c>
      <c r="AG23" s="6"/>
      <c r="AH23" s="6"/>
      <c r="AK23" s="84"/>
      <c r="AL23" s="17"/>
      <c r="AM23" s="141"/>
      <c r="AN23" s="8"/>
    </row>
    <row r="24" spans="1:40" x14ac:dyDescent="0.25">
      <c r="A24" s="1"/>
      <c r="C24" s="28"/>
      <c r="D24" s="28"/>
      <c r="E24" s="28"/>
      <c r="F24" s="90"/>
      <c r="G24" s="54"/>
      <c r="H24" s="28"/>
      <c r="I24" s="28"/>
      <c r="J24" s="28"/>
      <c r="K24" s="28"/>
      <c r="L24" s="28"/>
      <c r="M24" s="54"/>
      <c r="N24" s="28"/>
      <c r="O24" s="90"/>
      <c r="P24" s="91"/>
      <c r="U24" s="55"/>
      <c r="V24" s="55"/>
      <c r="W24" s="55"/>
      <c r="X24" s="6"/>
      <c r="Y24" s="6"/>
      <c r="AA24" s="7"/>
      <c r="AB24" s="55"/>
      <c r="AC24" s="55"/>
      <c r="AD24" s="6"/>
      <c r="AE24" s="84"/>
      <c r="AF24" s="84"/>
      <c r="AG24" s="6"/>
      <c r="AH24" s="6"/>
      <c r="AK24" s="17"/>
      <c r="AL24" s="17"/>
      <c r="AM24" s="143"/>
      <c r="AN24" s="26"/>
    </row>
    <row r="25" spans="1:40" s="10" customFormat="1" x14ac:dyDescent="0.25">
      <c r="A25" s="14">
        <v>1000</v>
      </c>
      <c r="C25" s="224">
        <f>+X25</f>
        <v>95.51382537601863</v>
      </c>
      <c r="D25" s="224">
        <f>+AD25</f>
        <v>107.20076477106261</v>
      </c>
      <c r="E25" s="224">
        <f t="shared" si="0"/>
        <v>0.59863387039376958</v>
      </c>
      <c r="F25" s="90">
        <f t="shared" si="1"/>
        <v>11.08830552465021</v>
      </c>
      <c r="G25" s="223">
        <f>ROUND(+F25/C25,4)</f>
        <v>0.11609999999999999</v>
      </c>
      <c r="H25" s="224">
        <f>ROUND($V$10*$A25,2)</f>
        <v>-1.3</v>
      </c>
      <c r="I25" s="224">
        <f>ROUND($V$11*$A25,2)</f>
        <v>0.62</v>
      </c>
      <c r="J25" s="224">
        <f>ROUND($V$12*$A25,2)</f>
        <v>2.69</v>
      </c>
      <c r="K25" s="28">
        <f t="shared" si="2"/>
        <v>98.122459246412404</v>
      </c>
      <c r="L25" s="187">
        <f>+D25+H25+I25+J25</f>
        <v>109.21076477106261</v>
      </c>
      <c r="M25" s="223">
        <f>ROUND((L25-K25)/K25,4)</f>
        <v>0.113</v>
      </c>
      <c r="N25" s="224">
        <f t="shared" si="3"/>
        <v>-0.68</v>
      </c>
      <c r="O25" s="90">
        <f t="shared" si="4"/>
        <v>108.53076477106261</v>
      </c>
      <c r="P25" s="91">
        <f t="shared" si="5"/>
        <v>0.1061</v>
      </c>
      <c r="Q25" s="187"/>
      <c r="U25" s="55">
        <f>$U$21</f>
        <v>16.131875000000001</v>
      </c>
      <c r="V25" s="6">
        <f>(+$A25*$V$39)*V$18</f>
        <v>51.840013122492543</v>
      </c>
      <c r="W25" s="6">
        <f>(+$A25*$W$39)*W$18</f>
        <v>27.54193725352609</v>
      </c>
      <c r="X25" s="6">
        <f>SUM(U25:W25)</f>
        <v>95.51382537601863</v>
      </c>
      <c r="Y25" s="6"/>
      <c r="AA25" s="7">
        <f>+$AA$21</f>
        <v>18.566875</v>
      </c>
      <c r="AB25" s="6">
        <f>(+$A25*$AB$39)*AB$18</f>
        <v>55.31200293433514</v>
      </c>
      <c r="AC25" s="6">
        <f>(+$A25*$AC$39)*AC$18</f>
        <v>33.321886836727472</v>
      </c>
      <c r="AD25" s="6">
        <f>SUM(AA25:AC25)</f>
        <v>107.20076477106261</v>
      </c>
      <c r="AE25" s="84">
        <f t="shared" si="6"/>
        <v>0.59863387039376958</v>
      </c>
      <c r="AF25" s="84">
        <f t="shared" si="7"/>
        <v>-0.68</v>
      </c>
      <c r="AG25" s="6"/>
      <c r="AH25" s="11"/>
      <c r="AK25" s="145"/>
      <c r="AL25" s="144"/>
      <c r="AM25" s="143"/>
      <c r="AN25" s="26"/>
    </row>
    <row r="26" spans="1:40" x14ac:dyDescent="0.25">
      <c r="A26" s="1"/>
      <c r="F26" s="90"/>
      <c r="K26" s="28"/>
      <c r="L26" s="28"/>
      <c r="O26" s="17"/>
      <c r="P26" s="17"/>
      <c r="U26" s="7"/>
      <c r="V26" s="7"/>
      <c r="W26" s="7"/>
      <c r="X26" s="6"/>
      <c r="Y26" s="6"/>
      <c r="AA26" s="7"/>
      <c r="AB26" s="7"/>
      <c r="AC26" s="7"/>
      <c r="AD26" s="6"/>
      <c r="AE26" s="84"/>
      <c r="AF26" s="84"/>
      <c r="AG26" s="6"/>
      <c r="AH26" s="6"/>
      <c r="AK26" s="17"/>
      <c r="AL26" s="17"/>
      <c r="AM26" s="141"/>
      <c r="AN26" s="8"/>
    </row>
    <row r="27" spans="1:40" x14ac:dyDescent="0.25">
      <c r="A27" s="1">
        <v>1250</v>
      </c>
      <c r="C27" s="90">
        <f>+X27</f>
        <v>115.3593129700233</v>
      </c>
      <c r="D27" s="90">
        <f>+AD27</f>
        <v>129.35923721382827</v>
      </c>
      <c r="E27" s="90">
        <f t="shared" si="0"/>
        <v>0.74829233799221195</v>
      </c>
      <c r="F27" s="90">
        <f t="shared" si="1"/>
        <v>13.251631905812758</v>
      </c>
      <c r="G27" s="54">
        <f>ROUND(+F27/C27,4)</f>
        <v>0.1149</v>
      </c>
      <c r="H27" s="90">
        <f>ROUND($V$10*$A27,2)</f>
        <v>-1.62</v>
      </c>
      <c r="I27" s="90">
        <f>ROUND($V$11*$A27,2)</f>
        <v>0.78</v>
      </c>
      <c r="J27" s="90">
        <f>ROUND($V$12*$A27,2)</f>
        <v>3.36</v>
      </c>
      <c r="K27" s="28">
        <f t="shared" si="2"/>
        <v>118.6276053080155</v>
      </c>
      <c r="L27" s="28">
        <f>+D27+H27+I27+J27</f>
        <v>131.87923721382828</v>
      </c>
      <c r="M27" s="54">
        <f>ROUND((L27-K27)/K27,4)</f>
        <v>0.11169999999999999</v>
      </c>
      <c r="N27" s="90">
        <f t="shared" si="3"/>
        <v>-0.85000000000000009</v>
      </c>
      <c r="O27" s="90">
        <f t="shared" si="4"/>
        <v>131.02923721382828</v>
      </c>
      <c r="P27" s="91">
        <f t="shared" si="5"/>
        <v>0.1045</v>
      </c>
      <c r="U27" s="7">
        <f>$U$21</f>
        <v>16.131875000000001</v>
      </c>
      <c r="V27" s="6">
        <f>(+$A27*$V$39)*V$18</f>
        <v>64.800016403115677</v>
      </c>
      <c r="W27" s="6">
        <f>(+$A27*$W$39)*W$18</f>
        <v>34.427421566907611</v>
      </c>
      <c r="X27" s="6">
        <f>SUM(U27:W27)</f>
        <v>115.3593129700233</v>
      </c>
      <c r="Y27" s="6"/>
      <c r="AA27" s="7">
        <f>+$AA$21</f>
        <v>18.566875</v>
      </c>
      <c r="AB27" s="6">
        <f>(+$A27*$AB$39)*AB$18</f>
        <v>69.140003667918918</v>
      </c>
      <c r="AC27" s="6">
        <f>(+$A27*$AC$39)*AC$18</f>
        <v>41.652358545909344</v>
      </c>
      <c r="AD27" s="6">
        <f>SUM(AA27:AC27)</f>
        <v>129.35923721382827</v>
      </c>
      <c r="AE27" s="84">
        <f t="shared" si="6"/>
        <v>0.74829233799221195</v>
      </c>
      <c r="AF27" s="84">
        <f t="shared" si="7"/>
        <v>-0.85000000000000009</v>
      </c>
      <c r="AG27" s="6"/>
      <c r="AH27" s="6"/>
      <c r="AK27" s="84"/>
      <c r="AL27" s="17"/>
      <c r="AM27" s="141"/>
      <c r="AN27" s="8"/>
    </row>
    <row r="28" spans="1:40" x14ac:dyDescent="0.25">
      <c r="F28" s="90"/>
      <c r="K28" s="28"/>
      <c r="O28" s="17"/>
      <c r="P28" s="17"/>
      <c r="U28" s="7"/>
      <c r="V28" s="7"/>
      <c r="W28" s="7"/>
      <c r="X28" s="6"/>
      <c r="Y28" s="6"/>
      <c r="AA28" s="7"/>
      <c r="AB28" s="7"/>
      <c r="AC28" s="7"/>
      <c r="AD28" s="6"/>
      <c r="AE28" s="84"/>
      <c r="AF28" s="84"/>
      <c r="AG28" s="6"/>
      <c r="AH28" s="6"/>
      <c r="AK28" s="17"/>
      <c r="AL28" s="17"/>
      <c r="AM28" s="141"/>
      <c r="AN28" s="8"/>
    </row>
    <row r="29" spans="1:40" x14ac:dyDescent="0.25">
      <c r="A29" s="1">
        <v>1500</v>
      </c>
      <c r="C29" s="90">
        <f>+X29</f>
        <v>135.20480056402795</v>
      </c>
      <c r="D29" s="90">
        <f>+AD29</f>
        <v>151.51770965659392</v>
      </c>
      <c r="E29" s="90">
        <f t="shared" si="0"/>
        <v>0.89795080559065432</v>
      </c>
      <c r="F29" s="90">
        <f t="shared" si="1"/>
        <v>15.41495828697532</v>
      </c>
      <c r="G29" s="54">
        <f>ROUND(+F29/C29,4)</f>
        <v>0.114</v>
      </c>
      <c r="H29" s="90">
        <f>ROUND($V$10*$A29,2)</f>
        <v>-1.95</v>
      </c>
      <c r="I29" s="90">
        <f>ROUND($V$11*$A29,2)</f>
        <v>0.93</v>
      </c>
      <c r="J29" s="90">
        <f>ROUND($V$12*$A29,2)</f>
        <v>4.03</v>
      </c>
      <c r="K29" s="28">
        <f t="shared" si="2"/>
        <v>139.11275136961862</v>
      </c>
      <c r="L29" s="28">
        <f>+D29+H29+I29+J29</f>
        <v>154.52770965659394</v>
      </c>
      <c r="M29" s="54">
        <f>ROUND((L29-K29)/K29,4)</f>
        <v>0.1108</v>
      </c>
      <c r="N29" s="90">
        <f t="shared" si="3"/>
        <v>-1.02</v>
      </c>
      <c r="O29" s="90">
        <f t="shared" si="4"/>
        <v>153.50770965659393</v>
      </c>
      <c r="P29" s="91">
        <f t="shared" si="5"/>
        <v>0.10349999999999999</v>
      </c>
      <c r="U29" s="7">
        <f>$U$21</f>
        <v>16.131875000000001</v>
      </c>
      <c r="V29" s="6">
        <f>(+$A29*$V$39)*V$18</f>
        <v>77.760019683738818</v>
      </c>
      <c r="W29" s="6">
        <f>(+$A29*$W$39)*W$18</f>
        <v>41.312905880289136</v>
      </c>
      <c r="X29" s="6">
        <f>SUM(U29:W29)</f>
        <v>135.20480056402795</v>
      </c>
      <c r="Y29" s="6"/>
      <c r="AA29" s="7">
        <f>+$AA$21</f>
        <v>18.566875</v>
      </c>
      <c r="AB29" s="6">
        <f>(+$A29*$AB$39)*AB$18</f>
        <v>82.968004401502711</v>
      </c>
      <c r="AC29" s="6">
        <f>(+$A29*$AC$39)*AC$18</f>
        <v>49.982830255091216</v>
      </c>
      <c r="AD29" s="6">
        <f>SUM(AA29:AC29)</f>
        <v>151.51770965659392</v>
      </c>
      <c r="AE29" s="84">
        <f t="shared" si="6"/>
        <v>0.89795080559065432</v>
      </c>
      <c r="AF29" s="84">
        <f t="shared" si="7"/>
        <v>-1.02</v>
      </c>
      <c r="AG29" s="6"/>
      <c r="AH29" s="6"/>
      <c r="AK29" s="84"/>
      <c r="AL29" s="17"/>
      <c r="AM29" s="141"/>
      <c r="AN29" s="8"/>
    </row>
    <row r="30" spans="1:40" x14ac:dyDescent="0.25">
      <c r="A30" s="1"/>
      <c r="F30" s="90"/>
      <c r="K30" s="28"/>
      <c r="O30" s="17"/>
      <c r="P30" s="17"/>
      <c r="U30" s="7"/>
      <c r="V30" s="7"/>
      <c r="W30" s="7"/>
      <c r="X30" s="6"/>
      <c r="Y30" s="6"/>
      <c r="AA30" s="7"/>
      <c r="AB30" s="7"/>
      <c r="AC30" s="7"/>
      <c r="AD30" s="6"/>
      <c r="AE30" s="84"/>
      <c r="AF30" s="84"/>
      <c r="AG30" s="6"/>
      <c r="AH30" s="6"/>
      <c r="AK30" s="17"/>
      <c r="AL30" s="17"/>
      <c r="AM30" s="141"/>
      <c r="AN30" s="8"/>
    </row>
    <row r="31" spans="1:40" x14ac:dyDescent="0.25">
      <c r="A31" s="1">
        <v>2000</v>
      </c>
      <c r="C31" s="90">
        <f>+X31</f>
        <v>174.89577575203725</v>
      </c>
      <c r="D31" s="90">
        <f>+AD31</f>
        <v>195.83465454212524</v>
      </c>
      <c r="E31" s="90">
        <f t="shared" si="0"/>
        <v>1.1972677407875392</v>
      </c>
      <c r="F31" s="90">
        <f t="shared" si="1"/>
        <v>19.741611049300445</v>
      </c>
      <c r="G31" s="54">
        <f>ROUND(+F31/C31,4)</f>
        <v>0.1129</v>
      </c>
      <c r="H31" s="90">
        <f>ROUND($V$10*$A31,2)</f>
        <v>-2.6</v>
      </c>
      <c r="I31" s="90">
        <f>ROUND($V$11*$A31,2)</f>
        <v>1.25</v>
      </c>
      <c r="J31" s="90">
        <f>ROUND($V$12*$A31,2)</f>
        <v>5.37</v>
      </c>
      <c r="K31" s="28">
        <f t="shared" si="2"/>
        <v>180.1130434928248</v>
      </c>
      <c r="L31" s="28">
        <f>+D31+H31+I31+J31</f>
        <v>199.85465454212525</v>
      </c>
      <c r="M31" s="54">
        <f>ROUND((L31-K31)/K31,4)</f>
        <v>0.1096</v>
      </c>
      <c r="N31" s="90">
        <f t="shared" si="3"/>
        <v>-1.36</v>
      </c>
      <c r="O31" s="90">
        <f t="shared" si="4"/>
        <v>198.49465454212523</v>
      </c>
      <c r="P31" s="91">
        <f t="shared" si="5"/>
        <v>0.1021</v>
      </c>
      <c r="U31" s="7">
        <f>$U$21</f>
        <v>16.131875000000001</v>
      </c>
      <c r="V31" s="6">
        <f>(+$A31*$V$39)*V$18</f>
        <v>103.68002624498509</v>
      </c>
      <c r="W31" s="6">
        <f>(+$A31*$W$39)*W$18</f>
        <v>55.08387450705218</v>
      </c>
      <c r="X31" s="6">
        <f>SUM(U31:W31)</f>
        <v>174.89577575203725</v>
      </c>
      <c r="Y31" s="6"/>
      <c r="AA31" s="7">
        <f>+$AA$21</f>
        <v>18.566875</v>
      </c>
      <c r="AB31" s="6">
        <f>(+$A31*$AB$39)*AB$18</f>
        <v>110.62400586867028</v>
      </c>
      <c r="AC31" s="6">
        <f>(+$A31*$AC$39)*AC$18</f>
        <v>66.643773673454945</v>
      </c>
      <c r="AD31" s="6">
        <f>SUM(AA31:AC31)</f>
        <v>195.83465454212524</v>
      </c>
      <c r="AE31" s="84">
        <f t="shared" si="6"/>
        <v>1.1972677407875392</v>
      </c>
      <c r="AF31" s="84">
        <f t="shared" si="7"/>
        <v>-1.36</v>
      </c>
      <c r="AG31" s="6"/>
      <c r="AH31" s="6"/>
      <c r="AK31" s="84"/>
      <c r="AL31" s="17"/>
      <c r="AM31" s="141"/>
      <c r="AN31" s="8"/>
    </row>
    <row r="32" spans="1:40" x14ac:dyDescent="0.25">
      <c r="F32" s="90"/>
      <c r="K32" s="28"/>
      <c r="O32" s="17"/>
      <c r="P32" s="17"/>
      <c r="U32" s="7"/>
      <c r="V32" s="7"/>
      <c r="W32" s="7"/>
      <c r="X32" s="6"/>
      <c r="Y32" s="6"/>
      <c r="AA32" s="7"/>
      <c r="AB32" s="7"/>
      <c r="AC32" s="7"/>
      <c r="AD32" s="6"/>
      <c r="AE32" s="84"/>
      <c r="AF32" s="84"/>
      <c r="AG32" s="6"/>
      <c r="AH32" s="6"/>
      <c r="AK32" s="17"/>
      <c r="AL32" s="17"/>
      <c r="AM32" s="141"/>
      <c r="AN32" s="8"/>
    </row>
    <row r="33" spans="1:40" x14ac:dyDescent="0.25">
      <c r="A33" s="1">
        <v>2500</v>
      </c>
      <c r="C33" s="90">
        <f>+X33</f>
        <v>214.58675094004658</v>
      </c>
      <c r="D33" s="90">
        <f>+AD33</f>
        <v>240.15159942765655</v>
      </c>
      <c r="E33" s="90">
        <f t="shared" si="0"/>
        <v>1.4965846759844239</v>
      </c>
      <c r="F33" s="90">
        <f t="shared" si="1"/>
        <v>24.068263811625542</v>
      </c>
      <c r="G33" s="54">
        <f>ROUND(+F33/C33,4)</f>
        <v>0.11219999999999999</v>
      </c>
      <c r="H33" s="90">
        <f>ROUND($V$10*$A33,2)</f>
        <v>-3.25</v>
      </c>
      <c r="I33" s="90">
        <f>ROUND($V$11*$A33,2)</f>
        <v>1.56</v>
      </c>
      <c r="J33" s="90">
        <f>ROUND($V$12*$A33,2)</f>
        <v>6.72</v>
      </c>
      <c r="K33" s="28">
        <f t="shared" si="2"/>
        <v>221.11333561603101</v>
      </c>
      <c r="L33" s="28">
        <f>+D33+H33+I33+J33</f>
        <v>245.18159942765655</v>
      </c>
      <c r="M33" s="54">
        <f>ROUND((L33-K33)/K33,4)</f>
        <v>0.1089</v>
      </c>
      <c r="N33" s="90">
        <f t="shared" si="3"/>
        <v>-1.7000000000000002</v>
      </c>
      <c r="O33" s="90">
        <f t="shared" si="4"/>
        <v>243.48159942765656</v>
      </c>
      <c r="P33" s="91">
        <f t="shared" si="5"/>
        <v>0.1012</v>
      </c>
      <c r="U33" s="7">
        <f>$U$21</f>
        <v>16.131875000000001</v>
      </c>
      <c r="V33" s="6">
        <f>(+$A33*$V$39)*V$18</f>
        <v>129.60003280623135</v>
      </c>
      <c r="W33" s="6">
        <f>(+$A33*$W$39)*W$18</f>
        <v>68.854843133815223</v>
      </c>
      <c r="X33" s="6">
        <f>SUM(U33:W33)</f>
        <v>214.58675094004658</v>
      </c>
      <c r="Y33" s="6"/>
      <c r="AA33" s="7">
        <f>+$AA$21</f>
        <v>18.566875</v>
      </c>
      <c r="AB33" s="6">
        <f>(+$A33*$AB$39)*AB$18</f>
        <v>138.28000733583784</v>
      </c>
      <c r="AC33" s="6">
        <f>(+$A33*$AC$39)*AC$18</f>
        <v>83.304717091818688</v>
      </c>
      <c r="AD33" s="6">
        <f>SUM(AA33:AC33)</f>
        <v>240.15159942765655</v>
      </c>
      <c r="AE33" s="84">
        <f t="shared" si="6"/>
        <v>1.4965846759844239</v>
      </c>
      <c r="AF33" s="84">
        <f t="shared" si="7"/>
        <v>-1.7000000000000002</v>
      </c>
      <c r="AG33" s="6"/>
      <c r="AH33" s="6"/>
      <c r="AK33" s="17"/>
      <c r="AL33" s="17"/>
      <c r="AM33" s="141"/>
      <c r="AN33" s="8"/>
    </row>
    <row r="34" spans="1:40" x14ac:dyDescent="0.25">
      <c r="F34" s="90"/>
      <c r="K34" s="28"/>
      <c r="O34" s="17"/>
      <c r="P34" s="17"/>
      <c r="U34" s="7"/>
      <c r="V34" s="7"/>
      <c r="W34" s="7"/>
      <c r="X34" s="6"/>
      <c r="Y34" s="6"/>
      <c r="AA34" s="7"/>
      <c r="AB34" s="7"/>
      <c r="AC34" s="7"/>
      <c r="AD34" s="6"/>
      <c r="AE34" s="84"/>
      <c r="AF34" s="84"/>
      <c r="AG34" s="6"/>
      <c r="AH34" s="6"/>
      <c r="AK34" s="17"/>
      <c r="AL34" s="17"/>
      <c r="AM34" s="141"/>
      <c r="AN34" s="8"/>
    </row>
    <row r="35" spans="1:40" x14ac:dyDescent="0.25">
      <c r="A35" s="1">
        <v>3000</v>
      </c>
      <c r="C35" s="90">
        <f>+X35</f>
        <v>254.27772612805592</v>
      </c>
      <c r="D35" s="90">
        <f>+AD35</f>
        <v>284.46854431318786</v>
      </c>
      <c r="E35" s="90">
        <f t="shared" si="0"/>
        <v>1.7959016111813086</v>
      </c>
      <c r="F35" s="90">
        <f t="shared" si="1"/>
        <v>28.394916573950638</v>
      </c>
      <c r="G35" s="54">
        <f>ROUND(+F35/C35,4)</f>
        <v>0.11169999999999999</v>
      </c>
      <c r="H35" s="90">
        <f>ROUND($V$10*$A35,2)</f>
        <v>-3.89</v>
      </c>
      <c r="I35" s="90">
        <f>ROUND($V$11*$A35,2)</f>
        <v>1.87</v>
      </c>
      <c r="J35" s="90">
        <f>ROUND($V$12*$A35,2)</f>
        <v>8.06</v>
      </c>
      <c r="K35" s="28">
        <f>+C35+E35+H35+I35+J35</f>
        <v>262.11362773923724</v>
      </c>
      <c r="L35" s="28">
        <f>+D35+H35+I35+J35</f>
        <v>290.50854431318788</v>
      </c>
      <c r="M35" s="54">
        <f>ROUND((L35-K35)/K35,4)</f>
        <v>0.10829999999999999</v>
      </c>
      <c r="N35" s="90">
        <f t="shared" si="3"/>
        <v>-2.04</v>
      </c>
      <c r="O35" s="90">
        <f t="shared" si="4"/>
        <v>288.46854431318786</v>
      </c>
      <c r="P35" s="91">
        <f t="shared" si="5"/>
        <v>0.10050000000000001</v>
      </c>
      <c r="U35" s="7">
        <f>$U$21</f>
        <v>16.131875000000001</v>
      </c>
      <c r="V35" s="6">
        <f>(+$A35*$V$39)*V$18</f>
        <v>155.52003936747764</v>
      </c>
      <c r="W35" s="6">
        <f>(+$A35*$W$39)*W$18</f>
        <v>82.625811760578273</v>
      </c>
      <c r="X35" s="6">
        <f>SUM(U35:W35)</f>
        <v>254.27772612805592</v>
      </c>
      <c r="Y35" s="6"/>
      <c r="AA35" s="7">
        <f>+$AA$21</f>
        <v>18.566875</v>
      </c>
      <c r="AB35" s="6">
        <f>(+$A35*$AB$39)*AB$18</f>
        <v>165.93600880300542</v>
      </c>
      <c r="AC35" s="6">
        <f>(+$A35*$AC$39)*AC$18</f>
        <v>99.965660510182431</v>
      </c>
      <c r="AD35" s="6">
        <f>SUM(AA35:AC35)</f>
        <v>284.46854431318786</v>
      </c>
      <c r="AE35" s="84">
        <f>$AE$18*A35</f>
        <v>1.7959016111813086</v>
      </c>
      <c r="AF35" s="84">
        <f>$AF$18*A35</f>
        <v>-2.04</v>
      </c>
      <c r="AG35" s="6"/>
      <c r="AH35" s="6"/>
      <c r="AK35" s="84"/>
      <c r="AL35" s="17"/>
      <c r="AM35" s="141"/>
      <c r="AN35" s="8"/>
    </row>
    <row r="37" spans="1:40" x14ac:dyDescent="0.25">
      <c r="A37" s="17" t="s">
        <v>301</v>
      </c>
      <c r="U37" s="7"/>
      <c r="V37" s="7"/>
    </row>
    <row r="38" spans="1:40" x14ac:dyDescent="0.25">
      <c r="A38" s="174" t="str">
        <f>("Average Usage = "&amp;TEXT(INPUT!C26*1,"0,000")&amp;" kWh per month")</f>
        <v>Average Usage = 1,114 kWh per month</v>
      </c>
    </row>
    <row r="39" spans="1:40" x14ac:dyDescent="0.25">
      <c r="A39" s="175" t="s">
        <v>302</v>
      </c>
      <c r="U39" s="29" t="s">
        <v>260</v>
      </c>
      <c r="V39" s="51">
        <f>1580188/(1580188+175576)</f>
        <v>0.90000022782105116</v>
      </c>
      <c r="W39" s="51">
        <f>1-V39</f>
        <v>9.9999772178948843E-2</v>
      </c>
      <c r="AA39" s="29" t="s">
        <v>260</v>
      </c>
      <c r="AB39" s="162">
        <f>1491321/(1491321+264443)</f>
        <v>0.84938579444617845</v>
      </c>
      <c r="AC39" s="51">
        <f>1-AB39</f>
        <v>0.15061420555382155</v>
      </c>
    </row>
    <row r="40" spans="1:40" x14ac:dyDescent="0.25">
      <c r="A40" s="175" t="str">
        <f>+'Rate Case Constants'!$C$26</f>
        <v>Calculations may vary from other schedules due to rounding</v>
      </c>
      <c r="AB40" s="161"/>
    </row>
    <row r="42" spans="1:40" x14ac:dyDescent="0.25">
      <c r="A42" s="176"/>
    </row>
    <row r="43" spans="1:40" ht="12" customHeight="1" x14ac:dyDescent="0.25"/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AO68"/>
  <sheetViews>
    <sheetView zoomScale="80" zoomScaleNormal="80" zoomScaleSheetLayoutView="80" workbookViewId="0">
      <selection sqref="A1:T1"/>
    </sheetView>
  </sheetViews>
  <sheetFormatPr defaultRowHeight="12.5" x14ac:dyDescent="0.25"/>
  <cols>
    <col min="1" max="1" width="7.1796875" customWidth="1"/>
    <col min="2" max="2" width="3.7265625" customWidth="1"/>
    <col min="3" max="3" width="8.1796875" bestFit="1" customWidth="1"/>
    <col min="4" max="4" width="1.81640625" customWidth="1"/>
    <col min="5" max="5" width="9.54296875" customWidth="1"/>
    <col min="6" max="6" width="2" customWidth="1"/>
    <col min="7" max="7" width="13.453125" bestFit="1" customWidth="1"/>
    <col min="8" max="9" width="14.7265625" customWidth="1"/>
    <col min="10" max="10" width="12.1796875" bestFit="1" customWidth="1"/>
    <col min="11" max="11" width="9.81640625" customWidth="1"/>
    <col min="12" max="12" width="10.7265625" bestFit="1" customWidth="1"/>
    <col min="13" max="13" width="11.26953125" bestFit="1" customWidth="1"/>
    <col min="14" max="14" width="12.453125" customWidth="1"/>
    <col min="15" max="15" width="12.453125" bestFit="1" customWidth="1"/>
    <col min="16" max="16" width="10.54296875" bestFit="1" customWidth="1"/>
    <col min="17" max="17" width="8.81640625" bestFit="1" customWidth="1"/>
    <col min="18" max="18" width="9.81640625" customWidth="1"/>
    <col min="19" max="19" width="10" bestFit="1" customWidth="1"/>
    <col min="20" max="20" width="9.36328125" customWidth="1"/>
    <col min="21" max="22" width="9.81640625" customWidth="1"/>
    <col min="23" max="23" width="10" customWidth="1"/>
    <col min="24" max="24" width="13.54296875" customWidth="1"/>
    <col min="25" max="25" width="12.54296875" bestFit="1" customWidth="1"/>
    <col min="26" max="26" width="12" bestFit="1" customWidth="1"/>
    <col min="27" max="27" width="13" bestFit="1" customWidth="1"/>
    <col min="28" max="28" width="3.1796875" customWidth="1"/>
    <col min="29" max="29" width="3.81640625" customWidth="1"/>
    <col min="30" max="30" width="2.453125" customWidth="1"/>
    <col min="31" max="31" width="14.453125" bestFit="1" customWidth="1"/>
    <col min="32" max="32" width="12.7265625" bestFit="1" customWidth="1"/>
    <col min="33" max="34" width="11.54296875" bestFit="1" customWidth="1"/>
    <col min="35" max="35" width="12.7265625" bestFit="1" customWidth="1"/>
    <col min="36" max="37" width="12.7265625" customWidth="1"/>
    <col min="38" max="38" width="11.1796875" customWidth="1"/>
    <col min="39" max="39" width="11.453125" bestFit="1" customWidth="1"/>
    <col min="40" max="40" width="10.7265625" customWidth="1"/>
    <col min="41" max="41" width="11.453125" bestFit="1" customWidth="1"/>
  </cols>
  <sheetData>
    <row r="1" spans="1:41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</row>
    <row r="2" spans="1:41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41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41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</row>
    <row r="5" spans="1:41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"/>
      <c r="O5" s="2"/>
      <c r="P5" s="2"/>
      <c r="Q5" s="2"/>
      <c r="R5" s="2"/>
      <c r="S5" s="2"/>
      <c r="T5" s="2"/>
    </row>
    <row r="6" spans="1:41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2"/>
      <c r="O6" s="2"/>
      <c r="P6" s="2"/>
      <c r="Q6" s="2"/>
      <c r="R6" s="2"/>
      <c r="S6" s="2"/>
      <c r="T6" s="2"/>
    </row>
    <row r="7" spans="1:41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2"/>
      <c r="N7" s="2"/>
      <c r="O7" s="2"/>
      <c r="P7" s="2"/>
      <c r="R7" s="198"/>
      <c r="S7" s="198"/>
      <c r="T7" s="198" t="str">
        <f>+'Rate Case Constants'!C25</f>
        <v>SCHEDULE N</v>
      </c>
    </row>
    <row r="8" spans="1:41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2"/>
      <c r="N8" s="2"/>
      <c r="O8" s="2"/>
      <c r="P8" s="2"/>
      <c r="R8" s="197"/>
      <c r="S8" s="197"/>
      <c r="T8" s="197" t="str">
        <f>+'Rate Case Constants'!L10</f>
        <v>PAGE 3 of 24</v>
      </c>
    </row>
    <row r="9" spans="1:41" ht="13" x14ac:dyDescent="0.3">
      <c r="A9" s="202" t="str">
        <f>+'Rate Case Constants'!C34</f>
        <v>WORKPAPER REFERENCE NO(S):________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5"/>
      <c r="N9" s="205"/>
      <c r="O9" s="205"/>
      <c r="P9" s="205"/>
      <c r="R9" s="203"/>
      <c r="S9" s="203"/>
      <c r="T9" s="203" t="str">
        <f>+'Rate Case Constants'!C36</f>
        <v>WITNESS:   R. M. CONROY</v>
      </c>
      <c r="X9" s="17"/>
    </row>
    <row r="10" spans="1:41" ht="13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W10" s="83" t="s">
        <v>68</v>
      </c>
      <c r="X10" s="83">
        <f>INPUT!H65</f>
        <v>-1.2981366424355246E-3</v>
      </c>
    </row>
    <row r="11" spans="1:41" ht="13" x14ac:dyDescent="0.3">
      <c r="A11" s="124" t="s">
        <v>321</v>
      </c>
      <c r="W11" s="83" t="s">
        <v>70</v>
      </c>
      <c r="X11" s="83">
        <f>INPUT!I65</f>
        <v>6.2265687367239243E-4</v>
      </c>
    </row>
    <row r="12" spans="1:41" ht="13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3" t="s">
        <v>69</v>
      </c>
      <c r="X12" s="83">
        <f>INPUT!J65</f>
        <v>2.686214102251277E-3</v>
      </c>
    </row>
    <row r="13" spans="1:41" ht="13" x14ac:dyDescent="0.3">
      <c r="A13" s="42" t="s">
        <v>63</v>
      </c>
      <c r="G13" s="346" t="s">
        <v>291</v>
      </c>
      <c r="H13" s="347" t="s">
        <v>292</v>
      </c>
      <c r="I13" s="347" t="s">
        <v>293</v>
      </c>
      <c r="J13" s="346" t="s">
        <v>294</v>
      </c>
      <c r="K13" s="346" t="s">
        <v>295</v>
      </c>
      <c r="L13" s="346" t="s">
        <v>296</v>
      </c>
      <c r="M13" s="347" t="s">
        <v>297</v>
      </c>
      <c r="N13" s="346" t="s">
        <v>298</v>
      </c>
      <c r="O13" s="346" t="s">
        <v>299</v>
      </c>
      <c r="P13" s="346" t="s">
        <v>300</v>
      </c>
      <c r="Q13" s="346" t="s">
        <v>444</v>
      </c>
      <c r="R13" s="346" t="s">
        <v>440</v>
      </c>
      <c r="S13" s="346" t="s">
        <v>441</v>
      </c>
      <c r="T13" s="346" t="s">
        <v>442</v>
      </c>
      <c r="Y13" s="3" t="s">
        <v>1</v>
      </c>
      <c r="Z13" s="3" t="s">
        <v>1</v>
      </c>
      <c r="AF13" s="19"/>
      <c r="AG13" s="20" t="s">
        <v>6</v>
      </c>
      <c r="AH13" s="20" t="s">
        <v>6</v>
      </c>
      <c r="AI13" s="19"/>
      <c r="AJ13" s="19"/>
      <c r="AK13" s="19"/>
    </row>
    <row r="14" spans="1:41" ht="13" x14ac:dyDescent="0.3">
      <c r="C14" s="3" t="s">
        <v>603</v>
      </c>
      <c r="G14" s="195" t="s">
        <v>313</v>
      </c>
      <c r="H14" s="195" t="s">
        <v>313</v>
      </c>
      <c r="I14" s="195" t="s">
        <v>69</v>
      </c>
      <c r="L14" s="17"/>
      <c r="M14" s="17"/>
      <c r="N14" s="17"/>
      <c r="O14" s="3" t="s">
        <v>5</v>
      </c>
      <c r="P14" s="3" t="s">
        <v>5</v>
      </c>
      <c r="R14" s="85" t="s">
        <v>592</v>
      </c>
      <c r="S14" s="85" t="s">
        <v>5</v>
      </c>
      <c r="T14" s="17"/>
      <c r="W14" s="3" t="s">
        <v>1</v>
      </c>
      <c r="X14" s="3" t="s">
        <v>1</v>
      </c>
      <c r="Y14" s="21" t="s">
        <v>81</v>
      </c>
      <c r="Z14" s="20" t="s">
        <v>82</v>
      </c>
      <c r="AA14" s="3" t="s">
        <v>1</v>
      </c>
      <c r="AB14" s="3"/>
      <c r="AE14" s="3" t="s">
        <v>6</v>
      </c>
      <c r="AF14" s="3" t="s">
        <v>6</v>
      </c>
      <c r="AG14" s="21" t="s">
        <v>81</v>
      </c>
      <c r="AH14" s="20" t="s">
        <v>82</v>
      </c>
      <c r="AI14" s="20" t="s">
        <v>6</v>
      </c>
      <c r="AJ14" s="20"/>
      <c r="AK14" s="85" t="s">
        <v>592</v>
      </c>
      <c r="AM14" s="3"/>
    </row>
    <row r="15" spans="1:41" ht="13" x14ac:dyDescent="0.3">
      <c r="C15" s="3" t="s">
        <v>20</v>
      </c>
      <c r="E15" s="3"/>
      <c r="F15" s="3"/>
      <c r="G15" s="3" t="s">
        <v>1</v>
      </c>
      <c r="H15" s="3" t="s">
        <v>71</v>
      </c>
      <c r="I15" s="85" t="s">
        <v>470</v>
      </c>
      <c r="J15" s="3"/>
      <c r="K15" s="3"/>
      <c r="L15" s="407" t="s">
        <v>245</v>
      </c>
      <c r="M15" s="407"/>
      <c r="N15" s="408"/>
      <c r="O15" s="3" t="s">
        <v>1</v>
      </c>
      <c r="P15" s="3" t="s">
        <v>71</v>
      </c>
      <c r="Q15" s="3"/>
      <c r="R15" s="85" t="s">
        <v>593</v>
      </c>
      <c r="S15" s="85" t="s">
        <v>71</v>
      </c>
      <c r="T15" s="85"/>
      <c r="U15" s="3"/>
      <c r="V15" s="3"/>
      <c r="W15" s="3" t="s">
        <v>2</v>
      </c>
      <c r="X15" s="3" t="s">
        <v>53</v>
      </c>
      <c r="Y15" s="20" t="s">
        <v>22</v>
      </c>
      <c r="Z15" s="20" t="s">
        <v>15</v>
      </c>
      <c r="AA15" s="3" t="s">
        <v>5</v>
      </c>
      <c r="AB15" s="3"/>
      <c r="AE15" s="25" t="s">
        <v>52</v>
      </c>
      <c r="AF15" s="3" t="s">
        <v>53</v>
      </c>
      <c r="AG15" s="20" t="s">
        <v>22</v>
      </c>
      <c r="AH15" s="20" t="s">
        <v>15</v>
      </c>
      <c r="AI15" s="20" t="s">
        <v>5</v>
      </c>
      <c r="AJ15" s="86" t="s">
        <v>69</v>
      </c>
      <c r="AK15" s="85" t="s">
        <v>593</v>
      </c>
      <c r="AM15" s="85"/>
      <c r="AN15" s="85"/>
      <c r="AO15" s="85"/>
    </row>
    <row r="16" spans="1:41" ht="13" x14ac:dyDescent="0.3">
      <c r="A16" s="3" t="s">
        <v>17</v>
      </c>
      <c r="C16" s="3" t="s">
        <v>21</v>
      </c>
      <c r="E16" s="3" t="s">
        <v>0</v>
      </c>
      <c r="F16" s="3"/>
      <c r="G16" s="3" t="s">
        <v>4</v>
      </c>
      <c r="H16" s="3" t="s">
        <v>4</v>
      </c>
      <c r="I16" s="85" t="s">
        <v>471</v>
      </c>
      <c r="J16" s="3" t="s">
        <v>72</v>
      </c>
      <c r="K16" s="3" t="s">
        <v>72</v>
      </c>
      <c r="L16" s="85" t="s">
        <v>320</v>
      </c>
      <c r="M16" s="85" t="s">
        <v>70</v>
      </c>
      <c r="N16" s="85" t="s">
        <v>69</v>
      </c>
      <c r="O16" s="3" t="s">
        <v>4</v>
      </c>
      <c r="P16" s="3" t="s">
        <v>4</v>
      </c>
      <c r="Q16" s="3" t="s">
        <v>72</v>
      </c>
      <c r="R16" s="85" t="s">
        <v>439</v>
      </c>
      <c r="S16" s="85" t="s">
        <v>443</v>
      </c>
      <c r="T16" s="85" t="s">
        <v>72</v>
      </c>
      <c r="U16" s="3"/>
      <c r="V16" s="3"/>
      <c r="W16" s="25" t="s">
        <v>3</v>
      </c>
      <c r="X16" s="3" t="s">
        <v>3</v>
      </c>
      <c r="Y16" s="20" t="s">
        <v>3</v>
      </c>
      <c r="Z16" s="20" t="s">
        <v>3</v>
      </c>
      <c r="AA16" s="3" t="s">
        <v>4</v>
      </c>
      <c r="AB16" s="3"/>
      <c r="AE16" s="25" t="s">
        <v>3</v>
      </c>
      <c r="AF16" s="3" t="s">
        <v>3</v>
      </c>
      <c r="AG16" s="20" t="s">
        <v>3</v>
      </c>
      <c r="AH16" s="20" t="s">
        <v>3</v>
      </c>
      <c r="AI16" s="20" t="s">
        <v>4</v>
      </c>
      <c r="AJ16" s="386" t="s">
        <v>471</v>
      </c>
      <c r="AK16" s="342" t="s">
        <v>439</v>
      </c>
      <c r="AM16" s="85"/>
      <c r="AN16" s="85"/>
      <c r="AO16" s="85"/>
    </row>
    <row r="17" spans="1:41" ht="13" x14ac:dyDescent="0.3">
      <c r="A17" s="3"/>
      <c r="C17" s="3"/>
      <c r="E17" s="3"/>
      <c r="F17" s="3"/>
      <c r="G17" s="3" t="s">
        <v>80</v>
      </c>
      <c r="H17" s="3"/>
      <c r="I17" s="85"/>
      <c r="J17" s="3" t="s">
        <v>66</v>
      </c>
      <c r="K17" s="25" t="s">
        <v>67</v>
      </c>
      <c r="L17" s="88"/>
      <c r="M17" s="88"/>
      <c r="N17" s="89"/>
      <c r="O17" s="3" t="s">
        <v>66</v>
      </c>
      <c r="P17" s="3" t="s">
        <v>66</v>
      </c>
      <c r="Q17" s="25" t="s">
        <v>67</v>
      </c>
      <c r="R17" s="86"/>
      <c r="S17" s="86" t="s">
        <v>439</v>
      </c>
      <c r="T17" s="86" t="s">
        <v>67</v>
      </c>
      <c r="U17" s="3"/>
      <c r="V17" s="3"/>
      <c r="W17" s="25"/>
      <c r="X17" s="40">
        <f>+INPUT!$D$6</f>
        <v>4.3529999999999999E-2</v>
      </c>
      <c r="Y17" s="41">
        <f>+INPUT!$D$13</f>
        <v>8.9</v>
      </c>
      <c r="Z17" s="41">
        <f>+INPUT!$D$15</f>
        <v>3.44</v>
      </c>
      <c r="AA17" s="3"/>
      <c r="AB17" s="3"/>
      <c r="AE17" s="25"/>
      <c r="AF17" s="40">
        <f>+INPUT!$D$34</f>
        <v>4.4760000000000001E-2</v>
      </c>
      <c r="AG17" s="41">
        <f>+INPUT!$D$41</f>
        <v>10.37</v>
      </c>
      <c r="AH17" s="41">
        <f>+INPUT!$D$43</f>
        <v>4.01</v>
      </c>
      <c r="AI17" s="20"/>
      <c r="AJ17" s="86">
        <f>INPUT!K65</f>
        <v>5.9863387039376954E-4</v>
      </c>
      <c r="AK17" s="86">
        <f>INPUT!D52</f>
        <v>-6.8000000000000005E-4</v>
      </c>
      <c r="AM17" s="85"/>
      <c r="AN17" s="85"/>
      <c r="AO17" s="85"/>
    </row>
    <row r="18" spans="1:41" ht="13" x14ac:dyDescent="0.3">
      <c r="A18" s="16"/>
      <c r="B18" s="16"/>
      <c r="C18" s="80"/>
      <c r="D18" s="16"/>
      <c r="E18" s="80"/>
      <c r="F18" s="80"/>
      <c r="G18" s="80"/>
      <c r="H18" s="80"/>
      <c r="I18" s="343"/>
      <c r="J18" s="345" t="str">
        <f>("[ "&amp;H13&amp;" - ("&amp;I13&amp;" + "&amp;G13&amp;") ]")</f>
        <v>[ B - (C + A) ]</v>
      </c>
      <c r="K18" s="345" t="str">
        <f>("[ "&amp;J13&amp;" / "&amp;G13&amp;" ]")</f>
        <v>[ D / A ]</v>
      </c>
      <c r="L18" s="344"/>
      <c r="M18" s="344"/>
      <c r="N18" s="344"/>
      <c r="O18" s="345" t="str">
        <f>("["&amp;G13&amp;"+"&amp;I13&amp;"+"&amp;$L$13&amp;"+"&amp;$M$13&amp;"+"&amp;$N$13&amp;"]")</f>
        <v>[A+C+F+G+H]</v>
      </c>
      <c r="P18" s="345" t="str">
        <f>("["&amp;H13&amp;"+"&amp;$L$13&amp;"+"&amp;$M$13&amp;"+"&amp;$N$13&amp;"]")</f>
        <v>[B+F+G+H]</v>
      </c>
      <c r="Q18" s="345" t="str">
        <f>("[("&amp;P13&amp;" - "&amp;O13&amp;")/"&amp;O13&amp;"]")</f>
        <v>[(J - I)/I]</v>
      </c>
      <c r="R18" s="344"/>
      <c r="S18" s="344" t="str">
        <f>("["&amp;P13&amp;" + "&amp;$R13&amp;"]")</f>
        <v>[J + L]</v>
      </c>
      <c r="T18" s="345" t="str">
        <f>("[("&amp;S13&amp;" - "&amp;O13&amp;")/"&amp;O13&amp;"]")</f>
        <v>[(M - I)/I]</v>
      </c>
      <c r="U18" s="3"/>
      <c r="V18" s="3"/>
      <c r="X18" s="25" t="s">
        <v>11</v>
      </c>
      <c r="Y18" s="25" t="s">
        <v>16</v>
      </c>
      <c r="Z18" s="25" t="s">
        <v>16</v>
      </c>
      <c r="AA18" s="3"/>
      <c r="AB18" s="3"/>
      <c r="AE18" s="25"/>
      <c r="AF18" s="25" t="s">
        <v>11</v>
      </c>
      <c r="AG18" s="25" t="s">
        <v>16</v>
      </c>
      <c r="AH18" s="25" t="s">
        <v>16</v>
      </c>
      <c r="AI18" s="20"/>
      <c r="AJ18" s="86" t="s">
        <v>11</v>
      </c>
      <c r="AK18" s="86" t="s">
        <v>11</v>
      </c>
      <c r="AM18" s="85"/>
      <c r="AN18" s="85"/>
      <c r="AO18" s="85"/>
    </row>
    <row r="19" spans="1:41" ht="13" x14ac:dyDescent="0.3">
      <c r="C19" s="3"/>
      <c r="E19" s="3"/>
      <c r="F19" s="3"/>
      <c r="G19" s="3"/>
      <c r="H19" s="3"/>
      <c r="I19" s="85"/>
      <c r="J19" s="3"/>
      <c r="K19" s="3"/>
      <c r="L19" s="3"/>
      <c r="M19" s="3"/>
      <c r="N19" s="3"/>
      <c r="O19" s="3"/>
      <c r="P19" s="3"/>
      <c r="Q19" s="3"/>
      <c r="R19" s="85"/>
      <c r="S19" s="85"/>
      <c r="T19" s="85"/>
      <c r="U19" s="3"/>
      <c r="V19" s="3"/>
      <c r="Y19" s="3"/>
      <c r="Z19" s="3"/>
      <c r="AA19" s="3"/>
      <c r="AB19" s="3"/>
      <c r="AE19" s="25"/>
      <c r="AF19" s="3"/>
      <c r="AG19" s="20"/>
      <c r="AH19" s="20"/>
      <c r="AI19" s="20"/>
      <c r="AJ19" s="85"/>
      <c r="AK19" s="85"/>
      <c r="AM19" s="85"/>
      <c r="AN19" s="85"/>
      <c r="AO19" s="85"/>
    </row>
    <row r="20" spans="1:41" x14ac:dyDescent="0.25">
      <c r="A20" s="1">
        <v>2</v>
      </c>
      <c r="B20" s="1"/>
      <c r="C20" s="13">
        <v>0.3</v>
      </c>
      <c r="E20" s="1">
        <f>C20*($A$20*730)</f>
        <v>438</v>
      </c>
      <c r="F20" s="1"/>
      <c r="G20" s="28">
        <f>+AA20</f>
        <v>58.960573674643349</v>
      </c>
      <c r="H20" s="28">
        <f>+AI20</f>
        <v>65.862781231017024</v>
      </c>
      <c r="I20" s="90">
        <f>AJ20</f>
        <v>0.26220163523247103</v>
      </c>
      <c r="J20" s="90">
        <f>+H20-(I20+G20)</f>
        <v>6.6400059211412028</v>
      </c>
      <c r="K20" s="54">
        <f>ROUND(+J20/G20,4)</f>
        <v>0.11260000000000001</v>
      </c>
      <c r="L20" s="90">
        <f>ROUND($X$10*$E20,2)</f>
        <v>-0.56999999999999995</v>
      </c>
      <c r="M20" s="90">
        <f>ROUND($X$11*$E20,2)</f>
        <v>0.27</v>
      </c>
      <c r="N20" s="90">
        <f>ROUND($X$12*$E20,2)</f>
        <v>1.18</v>
      </c>
      <c r="O20" s="28">
        <f>+G20+I20+L20+M20+N20</f>
        <v>60.102775309875824</v>
      </c>
      <c r="P20" s="28">
        <f>+H20+L20+M20+N20</f>
        <v>66.742781231017034</v>
      </c>
      <c r="Q20" s="54">
        <f>ROUND((P20-O20)/O20,4)</f>
        <v>0.1105</v>
      </c>
      <c r="R20" s="90">
        <f>AK20</f>
        <v>-0.29783999999999999</v>
      </c>
      <c r="S20" s="90">
        <f>P20+R20</f>
        <v>66.44494123101704</v>
      </c>
      <c r="T20" s="91">
        <f>ROUND((S20-O20)/O20,4)</f>
        <v>0.1055</v>
      </c>
      <c r="U20" s="1"/>
      <c r="W20" s="7">
        <f>+INPUT!$D$4</f>
        <v>16.131875000000001</v>
      </c>
      <c r="X20" s="19">
        <f>$X$17*E20</f>
        <v>19.066140000000001</v>
      </c>
      <c r="Y20" s="19">
        <f>$Y$17*$A$20*INPUT!$E$91</f>
        <v>16.882558674643352</v>
      </c>
      <c r="Z20" s="19">
        <f>$Z$17*$A$20</f>
        <v>6.88</v>
      </c>
      <c r="AA20" s="24">
        <f>W20+X20+Y20+Z20</f>
        <v>58.960573674643349</v>
      </c>
      <c r="AB20" s="24"/>
      <c r="AE20" s="7">
        <f>INPUT!$D$32</f>
        <v>18.566875</v>
      </c>
      <c r="AF20" s="19">
        <f>$AF$17*E20</f>
        <v>19.604880000000001</v>
      </c>
      <c r="AG20" s="19">
        <f>$A$20*$AG$17*INPUT!$E$91</f>
        <v>19.671026231017027</v>
      </c>
      <c r="AH20" s="19">
        <f>$A$20*$AH$17</f>
        <v>8.02</v>
      </c>
      <c r="AI20" s="24">
        <f>AE20+AF20+AG20+AH20</f>
        <v>65.862781231017024</v>
      </c>
      <c r="AJ20" s="84">
        <f>$AJ$17*E20</f>
        <v>0.26220163523247103</v>
      </c>
      <c r="AK20" s="84">
        <f>$AK$17*E20</f>
        <v>-0.29783999999999999</v>
      </c>
      <c r="AL20" s="17"/>
      <c r="AM20" s="38"/>
      <c r="AN20" s="17"/>
      <c r="AO20" s="394"/>
    </row>
    <row r="21" spans="1:41" x14ac:dyDescent="0.25">
      <c r="C21" s="13">
        <v>0.5</v>
      </c>
      <c r="E21" s="1">
        <f>C21*($A$20*730)</f>
        <v>730</v>
      </c>
      <c r="F21" s="1"/>
      <c r="G21" s="28">
        <f t="shared" ref="G21:G38" si="0">+AA21</f>
        <v>71.67133367464335</v>
      </c>
      <c r="H21" s="28">
        <f>+AI21</f>
        <v>78.93270123101702</v>
      </c>
      <c r="I21" s="90">
        <f t="shared" ref="I21:I38" si="1">AJ21</f>
        <v>0.43700272538745177</v>
      </c>
      <c r="J21" s="90">
        <f t="shared" ref="J21:J37" si="2">+H21-(I21+G21)</f>
        <v>6.8243648309862124</v>
      </c>
      <c r="K21" s="54">
        <f>ROUND(+J21/G21,4)</f>
        <v>9.5200000000000007E-2</v>
      </c>
      <c r="L21" s="90">
        <f>ROUND($X$10*$E21,2)</f>
        <v>-0.95</v>
      </c>
      <c r="M21" s="90">
        <f>ROUND($X$11*$E21,2)</f>
        <v>0.45</v>
      </c>
      <c r="N21" s="90">
        <f>ROUND($X$12*$E21,2)</f>
        <v>1.96</v>
      </c>
      <c r="O21" s="28">
        <f t="shared" ref="O21:O37" si="3">+G21+I21+L21+M21+N21</f>
        <v>73.568336400030802</v>
      </c>
      <c r="P21" s="28">
        <f>+H21+L21+M21+N21</f>
        <v>80.392701231017014</v>
      </c>
      <c r="Q21" s="54">
        <f>ROUND((P21-O21)/O21,4)</f>
        <v>9.2799999999999994E-2</v>
      </c>
      <c r="R21" s="90">
        <f t="shared" ref="R21:R37" si="4">AK21</f>
        <v>-0.49640000000000006</v>
      </c>
      <c r="S21" s="90">
        <f t="shared" ref="S21:S38" si="5">P21+R21</f>
        <v>79.89630123101702</v>
      </c>
      <c r="T21" s="91">
        <f t="shared" ref="T21:T38" si="6">ROUND((S21-O21)/O21,4)</f>
        <v>8.5999999999999993E-2</v>
      </c>
      <c r="U21" s="1"/>
      <c r="W21" s="7">
        <f>$W$20</f>
        <v>16.131875000000001</v>
      </c>
      <c r="X21" s="19">
        <f>$X$17*E21</f>
        <v>31.776899999999998</v>
      </c>
      <c r="Y21" s="19">
        <f>$Y$17*$A$20*INPUT!$E$91</f>
        <v>16.882558674643352</v>
      </c>
      <c r="Z21" s="19">
        <f>$Z$17*$A$20</f>
        <v>6.88</v>
      </c>
      <c r="AA21" s="24">
        <f t="shared" ref="AA21:AA22" si="7">W21+X21+Y21+Z21</f>
        <v>71.67133367464335</v>
      </c>
      <c r="AB21" s="24"/>
      <c r="AE21" s="7">
        <f>$AE$20</f>
        <v>18.566875</v>
      </c>
      <c r="AF21" s="19">
        <f>$AF$17*E21</f>
        <v>32.674799999999998</v>
      </c>
      <c r="AG21" s="19">
        <f>$A$20*$AG$17*INPUT!$E$91</f>
        <v>19.671026231017027</v>
      </c>
      <c r="AH21" s="19">
        <f>$A$20*$AH$17</f>
        <v>8.02</v>
      </c>
      <c r="AI21" s="24">
        <f t="shared" ref="AI21:AI38" si="8">AE21+AF21+AG21+AH21</f>
        <v>78.93270123101702</v>
      </c>
      <c r="AJ21" s="84">
        <f t="shared" ref="AJ21:AJ37" si="9">$AJ$17*E21</f>
        <v>0.43700272538745177</v>
      </c>
      <c r="AK21" s="84">
        <f t="shared" ref="AK21:AK37" si="10">$AK$17*E21</f>
        <v>-0.49640000000000006</v>
      </c>
      <c r="AL21" s="17"/>
      <c r="AM21" s="38"/>
      <c r="AN21" s="17"/>
      <c r="AO21" s="394"/>
    </row>
    <row r="22" spans="1:41" x14ac:dyDescent="0.25">
      <c r="C22" s="13">
        <v>0.7</v>
      </c>
      <c r="E22" s="1">
        <f>C22*($A$20*730)</f>
        <v>1021.9999999999999</v>
      </c>
      <c r="F22" s="1"/>
      <c r="G22" s="28">
        <f t="shared" si="0"/>
        <v>84.382093674643343</v>
      </c>
      <c r="H22" s="28">
        <f>+AI22</f>
        <v>92.002621231017017</v>
      </c>
      <c r="I22" s="90">
        <f t="shared" si="1"/>
        <v>0.61180381554243235</v>
      </c>
      <c r="J22" s="90">
        <f t="shared" si="2"/>
        <v>7.0087237408312433</v>
      </c>
      <c r="K22" s="54">
        <f>ROUND(+J22/G22,4)</f>
        <v>8.3099999999999993E-2</v>
      </c>
      <c r="L22" s="90">
        <f>ROUND($X$10*$E22,2)</f>
        <v>-1.33</v>
      </c>
      <c r="M22" s="90">
        <f>ROUND($X$11*$E22,2)</f>
        <v>0.64</v>
      </c>
      <c r="N22" s="90">
        <f>ROUND($X$12*$E22,2)</f>
        <v>2.75</v>
      </c>
      <c r="O22" s="28">
        <f t="shared" si="3"/>
        <v>87.053897490185776</v>
      </c>
      <c r="P22" s="28">
        <f>+H22+L22+M22+N22</f>
        <v>94.062621231017019</v>
      </c>
      <c r="Q22" s="54">
        <f>ROUND((P22-O22)/O22,4)</f>
        <v>8.0500000000000002E-2</v>
      </c>
      <c r="R22" s="90">
        <f t="shared" si="4"/>
        <v>-0.69496000000000002</v>
      </c>
      <c r="S22" s="90">
        <f t="shared" si="5"/>
        <v>93.367661231017024</v>
      </c>
      <c r="T22" s="91">
        <f t="shared" si="6"/>
        <v>7.2499999999999995E-2</v>
      </c>
      <c r="U22" s="1"/>
      <c r="W22" s="7">
        <f>$W$20</f>
        <v>16.131875000000001</v>
      </c>
      <c r="X22" s="19">
        <f>$X$17*E22</f>
        <v>44.487659999999991</v>
      </c>
      <c r="Y22" s="19">
        <f>$Y$17*$A$20*INPUT!$E$91</f>
        <v>16.882558674643352</v>
      </c>
      <c r="Z22" s="19">
        <f>$Z$17*$A$20</f>
        <v>6.88</v>
      </c>
      <c r="AA22" s="24">
        <f t="shared" si="7"/>
        <v>84.382093674643343</v>
      </c>
      <c r="AB22" s="24"/>
      <c r="AE22" s="7">
        <f>$AE$20</f>
        <v>18.566875</v>
      </c>
      <c r="AF22" s="19">
        <f>$AF$17*E22</f>
        <v>45.744719999999994</v>
      </c>
      <c r="AG22" s="19">
        <f>$A$20*$AG$17*INPUT!$E$91</f>
        <v>19.671026231017027</v>
      </c>
      <c r="AH22" s="19">
        <f>$A$20*$AH$17</f>
        <v>8.02</v>
      </c>
      <c r="AI22" s="24">
        <f t="shared" si="8"/>
        <v>92.002621231017017</v>
      </c>
      <c r="AJ22" s="84">
        <f t="shared" si="9"/>
        <v>0.61180381554243235</v>
      </c>
      <c r="AK22" s="84">
        <f t="shared" si="10"/>
        <v>-0.69496000000000002</v>
      </c>
      <c r="AL22" s="17"/>
      <c r="AM22" s="38"/>
      <c r="AN22" s="17"/>
      <c r="AO22" s="394"/>
    </row>
    <row r="23" spans="1:41" x14ac:dyDescent="0.25">
      <c r="C23" s="13"/>
      <c r="E23" s="1"/>
      <c r="F23" s="1"/>
      <c r="G23" s="28"/>
      <c r="H23" s="28"/>
      <c r="I23" s="1"/>
      <c r="J23" s="90"/>
      <c r="K23" s="5"/>
      <c r="L23" s="1"/>
      <c r="M23" s="1"/>
      <c r="N23" s="1"/>
      <c r="O23" s="28"/>
      <c r="Q23" s="54"/>
      <c r="R23" s="1"/>
      <c r="S23" s="90"/>
      <c r="T23" s="91"/>
      <c r="U23" s="1"/>
      <c r="W23" s="7"/>
      <c r="X23" s="19"/>
      <c r="Y23" s="19"/>
      <c r="Z23" s="19"/>
      <c r="AA23" s="24"/>
      <c r="AB23" s="24"/>
      <c r="AE23" s="7"/>
      <c r="AF23" s="19"/>
      <c r="AG23" s="19"/>
      <c r="AH23" s="19"/>
      <c r="AI23" s="24"/>
      <c r="AJ23" s="84"/>
      <c r="AK23" s="84"/>
      <c r="AL23" s="17"/>
      <c r="AM23" s="84"/>
      <c r="AN23" s="17"/>
      <c r="AO23" s="84"/>
    </row>
    <row r="24" spans="1:41" x14ac:dyDescent="0.25">
      <c r="A24" s="1">
        <v>5</v>
      </c>
      <c r="B24" s="1"/>
      <c r="C24" s="13">
        <v>0.3</v>
      </c>
      <c r="E24" s="1">
        <f>C24*($A$24*730)</f>
        <v>1095</v>
      </c>
      <c r="F24" s="1"/>
      <c r="G24" s="28">
        <f t="shared" si="0"/>
        <v>123.20362168660837</v>
      </c>
      <c r="H24" s="28">
        <f>+AI24</f>
        <v>136.80664057754257</v>
      </c>
      <c r="I24" s="90">
        <f t="shared" si="1"/>
        <v>0.65550408808117766</v>
      </c>
      <c r="J24" s="90">
        <f t="shared" si="2"/>
        <v>12.947514802853021</v>
      </c>
      <c r="K24" s="54">
        <f>ROUND(+J24/G24,4)</f>
        <v>0.1051</v>
      </c>
      <c r="L24" s="90">
        <f>ROUND($X$10*$E24,2)</f>
        <v>-1.42</v>
      </c>
      <c r="M24" s="90">
        <f>ROUND($X$11*$E24,2)</f>
        <v>0.68</v>
      </c>
      <c r="N24" s="90">
        <f>ROUND($X$12*$E24,2)</f>
        <v>2.94</v>
      </c>
      <c r="O24" s="28">
        <f t="shared" si="3"/>
        <v>126.05912577468955</v>
      </c>
      <c r="P24" s="28">
        <f>+H24+L24+M24+N24</f>
        <v>139.00664057754258</v>
      </c>
      <c r="Q24" s="54">
        <f>ROUND((P24-O24)/O24,4)</f>
        <v>0.1027</v>
      </c>
      <c r="R24" s="90">
        <f t="shared" si="4"/>
        <v>-0.74460000000000004</v>
      </c>
      <c r="S24" s="90">
        <f t="shared" si="5"/>
        <v>138.26204057754259</v>
      </c>
      <c r="T24" s="91">
        <f t="shared" si="6"/>
        <v>9.6799999999999997E-2</v>
      </c>
      <c r="U24" s="1"/>
      <c r="W24" s="7">
        <f>$W$20</f>
        <v>16.131875000000001</v>
      </c>
      <c r="X24" s="19">
        <f>$X$17*E24</f>
        <v>47.665349999999997</v>
      </c>
      <c r="Y24" s="19">
        <f>$Y$17*$A$24*INPUT!$E$91</f>
        <v>42.206396686608379</v>
      </c>
      <c r="Z24" s="19">
        <f>$Z$17*$A$24</f>
        <v>17.2</v>
      </c>
      <c r="AA24" s="24">
        <f>W24+X24+Y24+Z24</f>
        <v>123.20362168660837</v>
      </c>
      <c r="AB24" s="24"/>
      <c r="AE24" s="7">
        <f>$AE$20</f>
        <v>18.566875</v>
      </c>
      <c r="AF24" s="19">
        <f>$AF$17*E24</f>
        <v>49.0122</v>
      </c>
      <c r="AG24" s="19">
        <f>$A$24*$AG$17*INPUT!$E$91</f>
        <v>49.177565577542566</v>
      </c>
      <c r="AH24" s="19">
        <f>$A$24*$AH$17</f>
        <v>20.049999999999997</v>
      </c>
      <c r="AI24" s="24">
        <f t="shared" si="8"/>
        <v>136.80664057754257</v>
      </c>
      <c r="AJ24" s="84">
        <f t="shared" si="9"/>
        <v>0.65550408808117766</v>
      </c>
      <c r="AK24" s="84">
        <f t="shared" si="10"/>
        <v>-0.74460000000000004</v>
      </c>
      <c r="AL24" s="17"/>
      <c r="AM24" s="38"/>
      <c r="AN24" s="144"/>
      <c r="AO24" s="394"/>
    </row>
    <row r="25" spans="1:41" x14ac:dyDescent="0.25">
      <c r="C25" s="13">
        <v>0.5</v>
      </c>
      <c r="E25" s="1">
        <f>C25*($A$24*730)</f>
        <v>1825</v>
      </c>
      <c r="F25" s="1"/>
      <c r="G25" s="28">
        <f t="shared" si="0"/>
        <v>154.98052168660837</v>
      </c>
      <c r="H25" s="28">
        <f>+AI25</f>
        <v>169.48144057754257</v>
      </c>
      <c r="I25" s="90">
        <f t="shared" si="1"/>
        <v>1.0925068134686293</v>
      </c>
      <c r="J25" s="90">
        <f t="shared" si="2"/>
        <v>13.408412077465584</v>
      </c>
      <c r="K25" s="54">
        <f>ROUND(+J25/G25,4)</f>
        <v>8.6499999999999994E-2</v>
      </c>
      <c r="L25" s="90">
        <f>ROUND($X$10*$E25,2)</f>
        <v>-2.37</v>
      </c>
      <c r="M25" s="90">
        <f>ROUND($X$11*$E25,2)</f>
        <v>1.1399999999999999</v>
      </c>
      <c r="N25" s="90">
        <f>ROUND($X$12*$E25,2)</f>
        <v>4.9000000000000004</v>
      </c>
      <c r="O25" s="28">
        <f t="shared" si="3"/>
        <v>159.74302850007697</v>
      </c>
      <c r="P25" s="28">
        <f>+H25+L25+M25+N25</f>
        <v>173.15144057754256</v>
      </c>
      <c r="Q25" s="54">
        <f>ROUND((P25-O25)/O25,4)</f>
        <v>8.3900000000000002E-2</v>
      </c>
      <c r="R25" s="90">
        <f t="shared" si="4"/>
        <v>-1.2410000000000001</v>
      </c>
      <c r="S25" s="90">
        <f t="shared" si="5"/>
        <v>171.91044057754254</v>
      </c>
      <c r="T25" s="91">
        <f t="shared" si="6"/>
        <v>7.6200000000000004E-2</v>
      </c>
      <c r="U25" s="1"/>
      <c r="W25" s="7">
        <f>$W$20</f>
        <v>16.131875000000001</v>
      </c>
      <c r="X25" s="19">
        <f>$X$17*E25</f>
        <v>79.442250000000001</v>
      </c>
      <c r="Y25" s="19">
        <f>$Y$17*$A$24*INPUT!$E$91</f>
        <v>42.206396686608379</v>
      </c>
      <c r="Z25" s="19">
        <f>$Z$17*$A$24</f>
        <v>17.2</v>
      </c>
      <c r="AA25" s="24">
        <f t="shared" ref="AA25:AA38" si="11">W25+X25+Y25+Z25</f>
        <v>154.98052168660837</v>
      </c>
      <c r="AB25" s="24"/>
      <c r="AE25" s="7">
        <f>$AE$20</f>
        <v>18.566875</v>
      </c>
      <c r="AF25" s="19">
        <f>$AF$17*E25</f>
        <v>81.686999999999998</v>
      </c>
      <c r="AG25" s="19">
        <f>$A$24*$AG$17*INPUT!$E$91</f>
        <v>49.177565577542566</v>
      </c>
      <c r="AH25" s="19">
        <f>$A$24*$AH$17</f>
        <v>20.049999999999997</v>
      </c>
      <c r="AI25" s="24">
        <f t="shared" si="8"/>
        <v>169.48144057754257</v>
      </c>
      <c r="AJ25" s="84">
        <f t="shared" si="9"/>
        <v>1.0925068134686293</v>
      </c>
      <c r="AK25" s="84">
        <f t="shared" si="10"/>
        <v>-1.2410000000000001</v>
      </c>
      <c r="AL25" s="17"/>
      <c r="AM25" s="38"/>
      <c r="AN25" s="144"/>
      <c r="AO25" s="394"/>
    </row>
    <row r="26" spans="1:41" x14ac:dyDescent="0.25">
      <c r="C26" s="13">
        <v>0.7</v>
      </c>
      <c r="E26" s="1">
        <f>C26*($A$24*730)</f>
        <v>2555</v>
      </c>
      <c r="F26" s="1"/>
      <c r="G26" s="28">
        <f t="shared" si="0"/>
        <v>186.75742168660835</v>
      </c>
      <c r="H26" s="28">
        <f>+AI26</f>
        <v>202.15624057754258</v>
      </c>
      <c r="I26" s="90">
        <f t="shared" si="1"/>
        <v>1.5295095388560811</v>
      </c>
      <c r="J26" s="90">
        <f t="shared" si="2"/>
        <v>13.869309352078147</v>
      </c>
      <c r="K26" s="54">
        <f>ROUND(+J26/G26,4)</f>
        <v>7.4300000000000005E-2</v>
      </c>
      <c r="L26" s="90">
        <f>ROUND($X$10*$E26,2)</f>
        <v>-3.32</v>
      </c>
      <c r="M26" s="90">
        <f>ROUND($X$11*$E26,2)</f>
        <v>1.59</v>
      </c>
      <c r="N26" s="90">
        <f>ROUND($X$12*$E26,2)</f>
        <v>6.86</v>
      </c>
      <c r="O26" s="28">
        <f t="shared" si="3"/>
        <v>193.41693122546445</v>
      </c>
      <c r="P26" s="28">
        <f>+H26+L26+M26+N26</f>
        <v>207.2862405775426</v>
      </c>
      <c r="Q26" s="54">
        <f>ROUND((P26-O26)/O26,4)</f>
        <v>7.17E-2</v>
      </c>
      <c r="R26" s="90">
        <f t="shared" si="4"/>
        <v>-1.7374000000000001</v>
      </c>
      <c r="S26" s="90">
        <f t="shared" si="5"/>
        <v>205.54884057754259</v>
      </c>
      <c r="T26" s="91">
        <f t="shared" si="6"/>
        <v>6.2700000000000006E-2</v>
      </c>
      <c r="U26" s="1"/>
      <c r="W26" s="7">
        <f>$W$20</f>
        <v>16.131875000000001</v>
      </c>
      <c r="X26" s="19">
        <f>$X$17*E26</f>
        <v>111.21915</v>
      </c>
      <c r="Y26" s="19">
        <f>$Y$17*$A$24*INPUT!$E$91</f>
        <v>42.206396686608379</v>
      </c>
      <c r="Z26" s="19">
        <f>$Z$17*$A$24</f>
        <v>17.2</v>
      </c>
      <c r="AA26" s="24">
        <f t="shared" si="11"/>
        <v>186.75742168660835</v>
      </c>
      <c r="AB26" s="24"/>
      <c r="AE26" s="7">
        <f>$AE$20</f>
        <v>18.566875</v>
      </c>
      <c r="AF26" s="19">
        <f>$AF$17*E26</f>
        <v>114.3618</v>
      </c>
      <c r="AG26" s="19">
        <f>$A$24*$AG$17*INPUT!$E$91</f>
        <v>49.177565577542566</v>
      </c>
      <c r="AH26" s="19">
        <f>$A$24*$AH$17</f>
        <v>20.049999999999997</v>
      </c>
      <c r="AI26" s="24">
        <f t="shared" si="8"/>
        <v>202.15624057754258</v>
      </c>
      <c r="AJ26" s="84">
        <f t="shared" si="9"/>
        <v>1.5295095388560811</v>
      </c>
      <c r="AK26" s="84">
        <f t="shared" si="10"/>
        <v>-1.7374000000000001</v>
      </c>
      <c r="AL26" s="17"/>
      <c r="AM26" s="38"/>
      <c r="AN26" s="17"/>
      <c r="AO26" s="394"/>
    </row>
    <row r="27" spans="1:41" x14ac:dyDescent="0.25">
      <c r="C27" s="13"/>
      <c r="E27" s="1"/>
      <c r="F27" s="1"/>
      <c r="G27" s="28"/>
      <c r="H27" s="28"/>
      <c r="I27" s="1"/>
      <c r="J27" s="90"/>
      <c r="K27" s="5"/>
      <c r="L27" s="1"/>
      <c r="M27" s="1"/>
      <c r="N27" s="1"/>
      <c r="O27" s="28"/>
      <c r="Q27" s="54"/>
      <c r="R27" s="1"/>
      <c r="S27" s="90"/>
      <c r="T27" s="91"/>
      <c r="U27" s="1"/>
      <c r="W27" s="7"/>
      <c r="X27" s="19"/>
      <c r="Y27" s="19"/>
      <c r="Z27" s="19"/>
      <c r="AA27" s="24"/>
      <c r="AB27" s="24"/>
      <c r="AE27" s="7"/>
      <c r="AF27" s="19"/>
      <c r="AG27" s="19"/>
      <c r="AH27" s="19"/>
      <c r="AI27" s="24"/>
      <c r="AJ27" s="84"/>
      <c r="AK27" s="84"/>
      <c r="AL27" s="17"/>
      <c r="AM27" s="84"/>
      <c r="AN27" s="17"/>
      <c r="AO27" s="84"/>
    </row>
    <row r="28" spans="1:41" x14ac:dyDescent="0.25">
      <c r="A28" s="1">
        <v>10</v>
      </c>
      <c r="B28" s="1"/>
      <c r="C28" s="13">
        <v>0.3</v>
      </c>
      <c r="E28" s="1">
        <f>C28*($A$28*730)</f>
        <v>2190</v>
      </c>
      <c r="F28" s="1"/>
      <c r="G28" s="28">
        <f t="shared" si="0"/>
        <v>230.27536837321676</v>
      </c>
      <c r="H28" s="28">
        <f>+AI28</f>
        <v>255.04640615508512</v>
      </c>
      <c r="I28" s="90">
        <f t="shared" si="1"/>
        <v>1.3110081761623553</v>
      </c>
      <c r="J28" s="90">
        <f t="shared" si="2"/>
        <v>23.460029605706012</v>
      </c>
      <c r="K28" s="54">
        <f>ROUND(+J28/G28,4)</f>
        <v>0.1019</v>
      </c>
      <c r="L28" s="90">
        <f>ROUND($X$10*$E28,2)</f>
        <v>-2.84</v>
      </c>
      <c r="M28" s="90">
        <f>ROUND($X$11*$E28,2)</f>
        <v>1.36</v>
      </c>
      <c r="N28" s="90">
        <f>ROUND($X$12*$E28,2)</f>
        <v>5.88</v>
      </c>
      <c r="O28" s="28">
        <f t="shared" si="3"/>
        <v>235.98637654937912</v>
      </c>
      <c r="P28" s="28">
        <f>+H28+L28+M28+N28</f>
        <v>259.44640615508513</v>
      </c>
      <c r="Q28" s="54">
        <f>ROUND((P28-O28)/O28,4)</f>
        <v>9.9400000000000002E-2</v>
      </c>
      <c r="R28" s="90">
        <f t="shared" si="4"/>
        <v>-1.4892000000000001</v>
      </c>
      <c r="S28" s="90">
        <f t="shared" si="5"/>
        <v>257.95720615508515</v>
      </c>
      <c r="T28" s="91">
        <f t="shared" si="6"/>
        <v>9.3100000000000002E-2</v>
      </c>
      <c r="U28" s="1"/>
      <c r="W28" s="7">
        <f>$W$20</f>
        <v>16.131875000000001</v>
      </c>
      <c r="X28" s="19">
        <f>$X$17*E28</f>
        <v>95.330699999999993</v>
      </c>
      <c r="Y28" s="19">
        <f>$Y$17*$A$28*INPUT!$E$91</f>
        <v>84.412793373216758</v>
      </c>
      <c r="Z28" s="19">
        <f>$Z$17*$A$28</f>
        <v>34.4</v>
      </c>
      <c r="AA28" s="24">
        <f t="shared" si="11"/>
        <v>230.27536837321676</v>
      </c>
      <c r="AB28" s="24"/>
      <c r="AE28" s="7">
        <f>$AE$20</f>
        <v>18.566875</v>
      </c>
      <c r="AF28" s="19">
        <f>$AF$17*E28</f>
        <v>98.0244</v>
      </c>
      <c r="AG28" s="19">
        <f>$A$28*$AG$17*INPUT!$E$91</f>
        <v>98.355131155085132</v>
      </c>
      <c r="AH28" s="19">
        <f>$A$28*$AH$17</f>
        <v>40.099999999999994</v>
      </c>
      <c r="AI28" s="24">
        <f t="shared" si="8"/>
        <v>255.04640615508512</v>
      </c>
      <c r="AJ28" s="84">
        <f t="shared" si="9"/>
        <v>1.3110081761623553</v>
      </c>
      <c r="AK28" s="84">
        <f t="shared" si="10"/>
        <v>-1.4892000000000001</v>
      </c>
      <c r="AL28" s="17"/>
      <c r="AM28" s="38"/>
      <c r="AN28" s="17"/>
      <c r="AO28" s="394"/>
    </row>
    <row r="29" spans="1:41" x14ac:dyDescent="0.25">
      <c r="C29" s="13">
        <v>0.5</v>
      </c>
      <c r="E29" s="1">
        <f>C29*($A$28*730)</f>
        <v>3650</v>
      </c>
      <c r="F29" s="1"/>
      <c r="G29" s="28">
        <f t="shared" si="0"/>
        <v>293.82916837321676</v>
      </c>
      <c r="H29" s="28">
        <f>+AI29</f>
        <v>320.39600615508516</v>
      </c>
      <c r="I29" s="90">
        <f t="shared" si="1"/>
        <v>2.1850136269372586</v>
      </c>
      <c r="J29" s="90">
        <f t="shared" si="2"/>
        <v>24.381824154931167</v>
      </c>
      <c r="K29" s="54">
        <f>ROUND(+J29/G29,4)</f>
        <v>8.3000000000000004E-2</v>
      </c>
      <c r="L29" s="90">
        <f>ROUND($X$10*$E29,2)</f>
        <v>-4.74</v>
      </c>
      <c r="M29" s="90">
        <f>ROUND($X$11*$E29,2)</f>
        <v>2.27</v>
      </c>
      <c r="N29" s="90">
        <f>ROUND($X$12*$E29,2)</f>
        <v>9.8000000000000007</v>
      </c>
      <c r="O29" s="28">
        <f t="shared" si="3"/>
        <v>303.34418200015398</v>
      </c>
      <c r="P29" s="28">
        <f>+H29+L29+M29+N29</f>
        <v>327.72600615508514</v>
      </c>
      <c r="Q29" s="54">
        <f>ROUND((P29-O29)/O29,4)</f>
        <v>8.0399999999999999E-2</v>
      </c>
      <c r="R29" s="90">
        <f t="shared" si="4"/>
        <v>-2.4820000000000002</v>
      </c>
      <c r="S29" s="90">
        <f t="shared" si="5"/>
        <v>325.24400615508512</v>
      </c>
      <c r="T29" s="91">
        <f t="shared" si="6"/>
        <v>7.22E-2</v>
      </c>
      <c r="U29" s="1"/>
      <c r="W29" s="7">
        <f>$W$20</f>
        <v>16.131875000000001</v>
      </c>
      <c r="X29" s="19">
        <f>$X$17*E29</f>
        <v>158.8845</v>
      </c>
      <c r="Y29" s="19">
        <f>$Y$17*$A$28*INPUT!$E$91</f>
        <v>84.412793373216758</v>
      </c>
      <c r="Z29" s="19">
        <f>$Z$17*$A$28</f>
        <v>34.4</v>
      </c>
      <c r="AA29" s="24">
        <f t="shared" si="11"/>
        <v>293.82916837321676</v>
      </c>
      <c r="AB29" s="24"/>
      <c r="AE29" s="7">
        <f>$AE$20</f>
        <v>18.566875</v>
      </c>
      <c r="AF29" s="19">
        <f>$AF$17*E29</f>
        <v>163.374</v>
      </c>
      <c r="AG29" s="19">
        <f>$A$28*$AG$17*INPUT!$E$91</f>
        <v>98.355131155085132</v>
      </c>
      <c r="AH29" s="19">
        <f>$A$28*$AH$17</f>
        <v>40.099999999999994</v>
      </c>
      <c r="AI29" s="24">
        <f t="shared" si="8"/>
        <v>320.39600615508516</v>
      </c>
      <c r="AJ29" s="84">
        <f t="shared" si="9"/>
        <v>2.1850136269372586</v>
      </c>
      <c r="AK29" s="84">
        <f t="shared" si="10"/>
        <v>-2.4820000000000002</v>
      </c>
      <c r="AL29" s="17"/>
      <c r="AM29" s="38"/>
      <c r="AN29" s="17"/>
      <c r="AO29" s="394"/>
    </row>
    <row r="30" spans="1:41" x14ac:dyDescent="0.25">
      <c r="C30" s="13">
        <v>0.7</v>
      </c>
      <c r="E30" s="1">
        <f>C30*($A$28*730)</f>
        <v>5110</v>
      </c>
      <c r="F30" s="1"/>
      <c r="G30" s="28">
        <f t="shared" si="0"/>
        <v>357.38296837321673</v>
      </c>
      <c r="H30" s="28">
        <f>+AI30</f>
        <v>385.74560615508517</v>
      </c>
      <c r="I30" s="90">
        <f t="shared" si="1"/>
        <v>3.0590190777121622</v>
      </c>
      <c r="J30" s="90">
        <f t="shared" si="2"/>
        <v>25.303618704156293</v>
      </c>
      <c r="K30" s="54">
        <f>ROUND(+J30/G30,4)</f>
        <v>7.0800000000000002E-2</v>
      </c>
      <c r="L30" s="90">
        <f>ROUND($X$10*$E30,2)</f>
        <v>-6.63</v>
      </c>
      <c r="M30" s="90">
        <f>ROUND($X$11*$E30,2)</f>
        <v>3.18</v>
      </c>
      <c r="N30" s="90">
        <f>ROUND($X$12*$E30,2)</f>
        <v>13.73</v>
      </c>
      <c r="O30" s="28">
        <f t="shared" si="3"/>
        <v>370.72198745092891</v>
      </c>
      <c r="P30" s="28">
        <f>+H30+L30+M30+N30</f>
        <v>396.0256061550852</v>
      </c>
      <c r="Q30" s="54">
        <f>ROUND((P30-O30)/O30,4)</f>
        <v>6.83E-2</v>
      </c>
      <c r="R30" s="90">
        <f t="shared" si="4"/>
        <v>-3.4748000000000001</v>
      </c>
      <c r="S30" s="90">
        <f t="shared" si="5"/>
        <v>392.55080615508518</v>
      </c>
      <c r="T30" s="91">
        <f t="shared" si="6"/>
        <v>5.8900000000000001E-2</v>
      </c>
      <c r="U30" s="1"/>
      <c r="W30" s="7">
        <f>$W$20</f>
        <v>16.131875000000001</v>
      </c>
      <c r="X30" s="19">
        <f>$X$17*E30</f>
        <v>222.4383</v>
      </c>
      <c r="Y30" s="19">
        <f>$Y$17*$A$28*INPUT!$E$91</f>
        <v>84.412793373216758</v>
      </c>
      <c r="Z30" s="19">
        <f>$Z$17*$A$28</f>
        <v>34.4</v>
      </c>
      <c r="AA30" s="24">
        <f t="shared" si="11"/>
        <v>357.38296837321673</v>
      </c>
      <c r="AB30" s="24"/>
      <c r="AE30" s="7">
        <f>$AE$20</f>
        <v>18.566875</v>
      </c>
      <c r="AF30" s="19">
        <f>$AF$17*E30</f>
        <v>228.7236</v>
      </c>
      <c r="AG30" s="19">
        <f>$A$28*$AG$17*INPUT!$E$91</f>
        <v>98.355131155085132</v>
      </c>
      <c r="AH30" s="19">
        <f>$A$28*$AH$17</f>
        <v>40.099999999999994</v>
      </c>
      <c r="AI30" s="24">
        <f t="shared" si="8"/>
        <v>385.74560615508517</v>
      </c>
      <c r="AJ30" s="84">
        <f t="shared" si="9"/>
        <v>3.0590190777121622</v>
      </c>
      <c r="AK30" s="84">
        <f t="shared" si="10"/>
        <v>-3.4748000000000001</v>
      </c>
      <c r="AL30" s="17"/>
      <c r="AM30" s="38"/>
      <c r="AN30" s="17"/>
      <c r="AO30" s="394"/>
    </row>
    <row r="31" spans="1:41" x14ac:dyDescent="0.25">
      <c r="C31" s="13"/>
      <c r="E31" s="1"/>
      <c r="F31" s="1"/>
      <c r="G31" s="28"/>
      <c r="H31" s="28"/>
      <c r="I31" s="1"/>
      <c r="J31" s="90"/>
      <c r="K31" s="5"/>
      <c r="L31" s="1"/>
      <c r="M31" s="1"/>
      <c r="N31" s="1"/>
      <c r="O31" s="28"/>
      <c r="Q31" s="54"/>
      <c r="R31" s="1"/>
      <c r="S31" s="90"/>
      <c r="T31" s="91"/>
      <c r="U31" s="1"/>
      <c r="W31" s="7"/>
      <c r="X31" s="19"/>
      <c r="Y31" s="19"/>
      <c r="Z31" s="19"/>
      <c r="AA31" s="24"/>
      <c r="AB31" s="24"/>
      <c r="AE31" s="7"/>
      <c r="AF31" s="19"/>
      <c r="AG31" s="19"/>
      <c r="AH31" s="19"/>
      <c r="AI31" s="24"/>
      <c r="AJ31" s="84"/>
      <c r="AK31" s="84"/>
      <c r="AL31" s="17"/>
      <c r="AM31" s="84"/>
      <c r="AN31" s="17"/>
      <c r="AO31" s="84"/>
    </row>
    <row r="32" spans="1:41" x14ac:dyDescent="0.25">
      <c r="A32" s="1">
        <v>15</v>
      </c>
      <c r="B32" s="1"/>
      <c r="C32" s="13">
        <v>0.3</v>
      </c>
      <c r="E32" s="1">
        <f>C32*($A$32*730)</f>
        <v>3285</v>
      </c>
      <c r="F32" s="1"/>
      <c r="G32" s="28">
        <f t="shared" si="0"/>
        <v>337.34711505982517</v>
      </c>
      <c r="H32" s="28">
        <f>+AI32</f>
        <v>373.28617173262768</v>
      </c>
      <c r="I32" s="90">
        <f t="shared" si="1"/>
        <v>1.9665122642435329</v>
      </c>
      <c r="J32" s="90">
        <f t="shared" si="2"/>
        <v>33.972544408558974</v>
      </c>
      <c r="K32" s="54">
        <f>ROUND(+J32/G32,4)</f>
        <v>0.1007</v>
      </c>
      <c r="L32" s="90">
        <f>ROUND($X$10*$E32,2)</f>
        <v>-4.26</v>
      </c>
      <c r="M32" s="90">
        <f>ROUND($X$11*$E32,2)</f>
        <v>2.0499999999999998</v>
      </c>
      <c r="N32" s="90">
        <f>ROUND($X$12*$E32,2)</f>
        <v>8.82</v>
      </c>
      <c r="O32" s="28">
        <f t="shared" si="3"/>
        <v>345.92362732406872</v>
      </c>
      <c r="P32" s="28">
        <f>+H32+L32+M32+N32</f>
        <v>379.89617173262769</v>
      </c>
      <c r="Q32" s="54">
        <f>ROUND((P32-O32)/O32,4)</f>
        <v>9.8199999999999996E-2</v>
      </c>
      <c r="R32" s="90">
        <f t="shared" si="4"/>
        <v>-2.2338</v>
      </c>
      <c r="S32" s="90">
        <f t="shared" si="5"/>
        <v>377.66237173262772</v>
      </c>
      <c r="T32" s="91">
        <f t="shared" si="6"/>
        <v>9.1800000000000007E-2</v>
      </c>
      <c r="U32" s="1"/>
      <c r="W32" s="7">
        <f>$W$20</f>
        <v>16.131875000000001</v>
      </c>
      <c r="X32" s="19">
        <f>$X$17*E32</f>
        <v>142.99605</v>
      </c>
      <c r="Y32" s="19">
        <f>$Y$17*$A$32*INPUT!$E$91</f>
        <v>126.61919005982513</v>
      </c>
      <c r="Z32" s="19">
        <f>$Z$17*$A$32</f>
        <v>51.6</v>
      </c>
      <c r="AA32" s="24">
        <f t="shared" si="11"/>
        <v>337.34711505982517</v>
      </c>
      <c r="AB32" s="24"/>
      <c r="AE32" s="7">
        <f>$AE$20</f>
        <v>18.566875</v>
      </c>
      <c r="AF32" s="19">
        <f>$AF$17*E32</f>
        <v>147.03659999999999</v>
      </c>
      <c r="AG32" s="19">
        <f>$A$32*$AG$17*INPUT!$E$91</f>
        <v>147.5326967326277</v>
      </c>
      <c r="AH32" s="19">
        <f>$A$32*$AH$17</f>
        <v>60.15</v>
      </c>
      <c r="AI32" s="24">
        <f t="shared" si="8"/>
        <v>373.28617173262768</v>
      </c>
      <c r="AJ32" s="84">
        <f t="shared" si="9"/>
        <v>1.9665122642435329</v>
      </c>
      <c r="AK32" s="84">
        <f t="shared" si="10"/>
        <v>-2.2338</v>
      </c>
      <c r="AL32" s="17"/>
      <c r="AM32" s="38"/>
      <c r="AN32" s="17"/>
      <c r="AO32" s="394"/>
    </row>
    <row r="33" spans="1:41" x14ac:dyDescent="0.25">
      <c r="C33" s="13">
        <v>0.5</v>
      </c>
      <c r="E33" s="1">
        <f>C33*($A$32*730)</f>
        <v>5475</v>
      </c>
      <c r="F33" s="1"/>
      <c r="G33" s="28">
        <f t="shared" si="0"/>
        <v>432.67781505982515</v>
      </c>
      <c r="H33" s="28">
        <f>+AI33</f>
        <v>471.31057173262769</v>
      </c>
      <c r="I33" s="90">
        <f t="shared" si="1"/>
        <v>3.2775204404058882</v>
      </c>
      <c r="J33" s="90">
        <f t="shared" si="2"/>
        <v>35.355236232396635</v>
      </c>
      <c r="K33" s="54">
        <f>ROUND(+J33/G33,4)</f>
        <v>8.1699999999999995E-2</v>
      </c>
      <c r="L33" s="90">
        <f>ROUND($X$10*$E33,2)</f>
        <v>-7.11</v>
      </c>
      <c r="M33" s="90">
        <f>ROUND($X$11*$E33,2)</f>
        <v>3.41</v>
      </c>
      <c r="N33" s="90">
        <f>ROUND($X$12*$E33,2)</f>
        <v>14.71</v>
      </c>
      <c r="O33" s="28">
        <f t="shared" si="3"/>
        <v>446.96533550023105</v>
      </c>
      <c r="P33" s="28">
        <f>+H33+L33+M33+N33</f>
        <v>482.32057173262768</v>
      </c>
      <c r="Q33" s="54">
        <f>ROUND((P33-O33)/O33,4)</f>
        <v>7.9100000000000004E-2</v>
      </c>
      <c r="R33" s="90">
        <f t="shared" si="4"/>
        <v>-3.7230000000000003</v>
      </c>
      <c r="S33" s="90">
        <f t="shared" si="5"/>
        <v>478.59757173262767</v>
      </c>
      <c r="T33" s="91">
        <f t="shared" si="6"/>
        <v>7.0800000000000002E-2</v>
      </c>
      <c r="U33" s="1"/>
      <c r="W33" s="7">
        <f>$W$20</f>
        <v>16.131875000000001</v>
      </c>
      <c r="X33" s="19">
        <f>$X$17*E33</f>
        <v>238.32675</v>
      </c>
      <c r="Y33" s="19">
        <f>$Y$17*$A$32*INPUT!$E$91</f>
        <v>126.61919005982513</v>
      </c>
      <c r="Z33" s="19">
        <f>$Z$17*$A$32</f>
        <v>51.6</v>
      </c>
      <c r="AA33" s="24">
        <f t="shared" si="11"/>
        <v>432.67781505982515</v>
      </c>
      <c r="AB33" s="24"/>
      <c r="AE33" s="7">
        <f>$AE$20</f>
        <v>18.566875</v>
      </c>
      <c r="AF33" s="19">
        <f>$AF$17*E33</f>
        <v>245.06100000000001</v>
      </c>
      <c r="AG33" s="19">
        <f>$A$32*$AG$17*INPUT!$E$91</f>
        <v>147.5326967326277</v>
      </c>
      <c r="AH33" s="19">
        <f>$A$32*$AH$17</f>
        <v>60.15</v>
      </c>
      <c r="AI33" s="24">
        <f t="shared" si="8"/>
        <v>471.31057173262769</v>
      </c>
      <c r="AJ33" s="84">
        <f t="shared" si="9"/>
        <v>3.2775204404058882</v>
      </c>
      <c r="AK33" s="84">
        <f t="shared" si="10"/>
        <v>-3.7230000000000003</v>
      </c>
      <c r="AL33" s="17"/>
      <c r="AM33" s="38"/>
      <c r="AN33" s="17"/>
      <c r="AO33" s="394"/>
    </row>
    <row r="34" spans="1:41" x14ac:dyDescent="0.25">
      <c r="C34" s="13">
        <v>0.7</v>
      </c>
      <c r="E34" s="1">
        <f>C34*($A$32*730)</f>
        <v>7664.9999999999991</v>
      </c>
      <c r="F34" s="1"/>
      <c r="G34" s="28">
        <f t="shared" si="0"/>
        <v>528.00851505982507</v>
      </c>
      <c r="H34" s="28">
        <f>+AI34</f>
        <v>569.33497173262765</v>
      </c>
      <c r="I34" s="90">
        <f t="shared" si="1"/>
        <v>4.5885286165682428</v>
      </c>
      <c r="J34" s="90">
        <f t="shared" si="2"/>
        <v>36.737928056234296</v>
      </c>
      <c r="K34" s="54">
        <f>ROUND(+J34/G34,4)</f>
        <v>6.9599999999999995E-2</v>
      </c>
      <c r="L34" s="90">
        <f>ROUND($X$10*$E34,2)</f>
        <v>-9.9499999999999993</v>
      </c>
      <c r="M34" s="90">
        <f>ROUND($X$11*$E34,2)</f>
        <v>4.7699999999999996</v>
      </c>
      <c r="N34" s="90">
        <f>ROUND($X$12*$E34,2)</f>
        <v>20.59</v>
      </c>
      <c r="O34" s="28">
        <f t="shared" si="3"/>
        <v>548.00704367639332</v>
      </c>
      <c r="P34" s="28">
        <f>+H34+L34+M34+N34</f>
        <v>584.74497173262762</v>
      </c>
      <c r="Q34" s="54">
        <f>ROUND((P34-O34)/O34,4)</f>
        <v>6.7000000000000004E-2</v>
      </c>
      <c r="R34" s="90">
        <f t="shared" si="4"/>
        <v>-5.2122000000000002</v>
      </c>
      <c r="S34" s="90">
        <f t="shared" si="5"/>
        <v>579.53277173262757</v>
      </c>
      <c r="T34" s="91">
        <f t="shared" si="6"/>
        <v>5.7500000000000002E-2</v>
      </c>
      <c r="U34" s="1"/>
      <c r="W34" s="7">
        <f>$W$20</f>
        <v>16.131875000000001</v>
      </c>
      <c r="X34" s="19">
        <f>$X$17*E34</f>
        <v>333.65744999999998</v>
      </c>
      <c r="Y34" s="19">
        <f>$Y$17*$A$32*INPUT!$E$91</f>
        <v>126.61919005982513</v>
      </c>
      <c r="Z34" s="19">
        <f>$Z$17*$A$32</f>
        <v>51.6</v>
      </c>
      <c r="AA34" s="24">
        <f t="shared" si="11"/>
        <v>528.00851505982507</v>
      </c>
      <c r="AB34" s="24"/>
      <c r="AE34" s="7">
        <f>$AE$20</f>
        <v>18.566875</v>
      </c>
      <c r="AF34" s="19">
        <f>$AF$17*E34</f>
        <v>343.08539999999999</v>
      </c>
      <c r="AG34" s="19">
        <f>$A$32*$AG$17*INPUT!$E$91</f>
        <v>147.5326967326277</v>
      </c>
      <c r="AH34" s="19">
        <f>$A$32*$AH$17</f>
        <v>60.15</v>
      </c>
      <c r="AI34" s="24">
        <f t="shared" si="8"/>
        <v>569.33497173262765</v>
      </c>
      <c r="AJ34" s="84">
        <f t="shared" si="9"/>
        <v>4.5885286165682428</v>
      </c>
      <c r="AK34" s="84">
        <f t="shared" si="10"/>
        <v>-5.2122000000000002</v>
      </c>
      <c r="AL34" s="17"/>
      <c r="AM34" s="38"/>
      <c r="AN34" s="17"/>
      <c r="AO34" s="394"/>
    </row>
    <row r="35" spans="1:41" x14ac:dyDescent="0.25">
      <c r="C35" s="13"/>
      <c r="E35" s="1"/>
      <c r="F35" s="1"/>
      <c r="G35" s="28"/>
      <c r="H35" s="28"/>
      <c r="I35" s="1"/>
      <c r="J35" s="90"/>
      <c r="K35" s="5"/>
      <c r="L35" s="1"/>
      <c r="M35" s="1"/>
      <c r="N35" s="1"/>
      <c r="O35" s="28"/>
      <c r="Q35" s="54"/>
      <c r="R35" s="1"/>
      <c r="S35" s="90"/>
      <c r="T35" s="91"/>
      <c r="U35" s="1"/>
      <c r="W35" s="7"/>
      <c r="X35" s="19"/>
      <c r="Y35" s="19"/>
      <c r="Z35" s="19"/>
      <c r="AA35" s="24"/>
      <c r="AB35" s="24"/>
      <c r="AE35" s="7"/>
      <c r="AF35" s="19"/>
      <c r="AG35" s="19"/>
      <c r="AH35" s="19"/>
      <c r="AI35" s="24"/>
      <c r="AJ35" s="84"/>
      <c r="AK35" s="84"/>
      <c r="AL35" s="17"/>
      <c r="AM35" s="84"/>
      <c r="AN35" s="17"/>
      <c r="AO35" s="84"/>
    </row>
    <row r="36" spans="1:41" x14ac:dyDescent="0.25">
      <c r="A36" s="1">
        <v>20</v>
      </c>
      <c r="B36" s="1"/>
      <c r="C36" s="13">
        <v>0.3</v>
      </c>
      <c r="E36" s="1">
        <f>C36*($A$36*730)</f>
        <v>4380</v>
      </c>
      <c r="F36" s="1"/>
      <c r="G36" s="28">
        <f t="shared" si="0"/>
        <v>444.41886174643349</v>
      </c>
      <c r="H36" s="28">
        <f>+AI36</f>
        <v>491.52593731017026</v>
      </c>
      <c r="I36" s="90">
        <f t="shared" si="1"/>
        <v>2.6220163523247106</v>
      </c>
      <c r="J36" s="90">
        <f t="shared" si="2"/>
        <v>44.485059211412079</v>
      </c>
      <c r="K36" s="54">
        <f>ROUND(+J36/G36,4)</f>
        <v>0.10009999999999999</v>
      </c>
      <c r="L36" s="90">
        <f>ROUND($X$10*$E36,2)</f>
        <v>-5.69</v>
      </c>
      <c r="M36" s="90">
        <f>ROUND($X$11*$E36,2)</f>
        <v>2.73</v>
      </c>
      <c r="N36" s="90">
        <f>ROUND($X$12*$E36,2)</f>
        <v>11.77</v>
      </c>
      <c r="O36" s="28">
        <f t="shared" si="3"/>
        <v>455.85087809875819</v>
      </c>
      <c r="P36" s="28">
        <f>+H36+L36+M36+N36</f>
        <v>500.33593731017027</v>
      </c>
      <c r="Q36" s="54">
        <f>ROUND((P36-O36)/O36,4)</f>
        <v>9.7600000000000006E-2</v>
      </c>
      <c r="R36" s="90">
        <f t="shared" si="4"/>
        <v>-2.9784000000000002</v>
      </c>
      <c r="S36" s="90">
        <f t="shared" si="5"/>
        <v>497.35753731017024</v>
      </c>
      <c r="T36" s="91">
        <f t="shared" si="6"/>
        <v>9.11E-2</v>
      </c>
      <c r="U36" s="1"/>
      <c r="W36" s="7">
        <f>$W$20</f>
        <v>16.131875000000001</v>
      </c>
      <c r="X36" s="19">
        <f>$X$17*E36</f>
        <v>190.66139999999999</v>
      </c>
      <c r="Y36" s="19">
        <f>$Y$17*$A$36*INPUT!$E$91</f>
        <v>168.82558674643352</v>
      </c>
      <c r="Z36" s="19">
        <f>$Z$17*$A$36</f>
        <v>68.8</v>
      </c>
      <c r="AA36" s="24">
        <f t="shared" si="11"/>
        <v>444.41886174643349</v>
      </c>
      <c r="AB36" s="24"/>
      <c r="AE36" s="7">
        <f>$AE$20</f>
        <v>18.566875</v>
      </c>
      <c r="AF36" s="19">
        <f>$AF$17*E36</f>
        <v>196.0488</v>
      </c>
      <c r="AG36" s="19">
        <f>$A$36*$AG$17*INPUT!$E$91</f>
        <v>196.71026231017026</v>
      </c>
      <c r="AH36" s="19">
        <f>$A$36*$AH$17</f>
        <v>80.199999999999989</v>
      </c>
      <c r="AI36" s="24">
        <f t="shared" si="8"/>
        <v>491.52593731017026</v>
      </c>
      <c r="AJ36" s="84">
        <f t="shared" si="9"/>
        <v>2.6220163523247106</v>
      </c>
      <c r="AK36" s="84">
        <f t="shared" si="10"/>
        <v>-2.9784000000000002</v>
      </c>
      <c r="AL36" s="17"/>
      <c r="AM36" s="38"/>
      <c r="AN36" s="17"/>
      <c r="AO36" s="394"/>
    </row>
    <row r="37" spans="1:41" x14ac:dyDescent="0.25">
      <c r="C37" s="13">
        <v>0.5</v>
      </c>
      <c r="E37" s="1">
        <f>C37*($A$36*730)</f>
        <v>7300</v>
      </c>
      <c r="F37" s="1"/>
      <c r="G37" s="28">
        <f t="shared" si="0"/>
        <v>571.52646174643348</v>
      </c>
      <c r="H37" s="28">
        <f>+AI37</f>
        <v>622.22513731017034</v>
      </c>
      <c r="I37" s="90">
        <f t="shared" si="1"/>
        <v>4.3700272538745173</v>
      </c>
      <c r="J37" s="90">
        <f t="shared" si="2"/>
        <v>46.328648309862388</v>
      </c>
      <c r="K37" s="54">
        <f>ROUND(+J37/G37,4)</f>
        <v>8.1100000000000005E-2</v>
      </c>
      <c r="L37" s="90">
        <f>ROUND($X$10*$E37,2)</f>
        <v>-9.48</v>
      </c>
      <c r="M37" s="90">
        <f>ROUND($X$11*$E37,2)</f>
        <v>4.55</v>
      </c>
      <c r="N37" s="90">
        <f>ROUND($X$12*$E37,2)</f>
        <v>19.61</v>
      </c>
      <c r="O37" s="28">
        <f t="shared" si="3"/>
        <v>590.5764890003079</v>
      </c>
      <c r="P37" s="28">
        <f>+H37+L37+M37+N37</f>
        <v>636.90513731017029</v>
      </c>
      <c r="Q37" s="54">
        <f>ROUND((P37-O37)/O37,4)</f>
        <v>7.8399999999999997E-2</v>
      </c>
      <c r="R37" s="90">
        <f t="shared" si="4"/>
        <v>-4.9640000000000004</v>
      </c>
      <c r="S37" s="90">
        <f t="shared" si="5"/>
        <v>631.94113731017023</v>
      </c>
      <c r="T37" s="91">
        <f t="shared" si="6"/>
        <v>7.0000000000000007E-2</v>
      </c>
      <c r="U37" s="1"/>
      <c r="W37" s="7">
        <f>$W$20</f>
        <v>16.131875000000001</v>
      </c>
      <c r="X37" s="19">
        <f>$X$17*E37</f>
        <v>317.76900000000001</v>
      </c>
      <c r="Y37" s="19">
        <f>$Y$17*$A$36*INPUT!$E$91</f>
        <v>168.82558674643352</v>
      </c>
      <c r="Z37" s="19">
        <f>$Z$17*$A$36</f>
        <v>68.8</v>
      </c>
      <c r="AA37" s="24">
        <f t="shared" si="11"/>
        <v>571.52646174643348</v>
      </c>
      <c r="AB37" s="24"/>
      <c r="AE37" s="7">
        <f>$AE$20</f>
        <v>18.566875</v>
      </c>
      <c r="AF37" s="19">
        <f>$AF$17*E37</f>
        <v>326.74799999999999</v>
      </c>
      <c r="AG37" s="19">
        <f>$A$36*$AG$17*INPUT!$E$91</f>
        <v>196.71026231017026</v>
      </c>
      <c r="AH37" s="19">
        <f>$A$36*$AH$17</f>
        <v>80.199999999999989</v>
      </c>
      <c r="AI37" s="24">
        <f t="shared" si="8"/>
        <v>622.22513731017034</v>
      </c>
      <c r="AJ37" s="84">
        <f t="shared" si="9"/>
        <v>4.3700272538745173</v>
      </c>
      <c r="AK37" s="84">
        <f t="shared" si="10"/>
        <v>-4.9640000000000004</v>
      </c>
      <c r="AL37" s="17"/>
      <c r="AM37" s="38"/>
      <c r="AN37" s="17"/>
      <c r="AO37" s="394"/>
    </row>
    <row r="38" spans="1:41" x14ac:dyDescent="0.25">
      <c r="C38" s="13">
        <v>0.7</v>
      </c>
      <c r="E38" s="1">
        <f>C38*($A$36*730)</f>
        <v>10220</v>
      </c>
      <c r="F38" s="1"/>
      <c r="G38" s="28">
        <f t="shared" si="0"/>
        <v>698.63406174643342</v>
      </c>
      <c r="H38" s="28">
        <f>+AI38</f>
        <v>752.92433731017036</v>
      </c>
      <c r="I38" s="90">
        <f t="shared" si="1"/>
        <v>6.1180381554243244</v>
      </c>
      <c r="J38" s="90">
        <f>+H38-(I38+G38)</f>
        <v>48.17223740831264</v>
      </c>
      <c r="K38" s="54">
        <f>ROUND(+J38/G38,4)</f>
        <v>6.9000000000000006E-2</v>
      </c>
      <c r="L38" s="90">
        <f>ROUND($X$10*$E38,2)</f>
        <v>-13.27</v>
      </c>
      <c r="M38" s="90">
        <f>ROUND($X$11*$E38,2)</f>
        <v>6.36</v>
      </c>
      <c r="N38" s="90">
        <f>ROUND($X$12*$E38,2)</f>
        <v>27.45</v>
      </c>
      <c r="O38" s="28">
        <f>+G38+I38+L38+M38+N38</f>
        <v>725.2920999018578</v>
      </c>
      <c r="P38" s="28">
        <f>+H38+L38+M38+N38</f>
        <v>773.46433731017044</v>
      </c>
      <c r="Q38" s="54">
        <f>ROUND((P38-O38)/O38,4)</f>
        <v>6.6400000000000001E-2</v>
      </c>
      <c r="R38" s="90">
        <f>AK38</f>
        <v>-6.9496000000000002</v>
      </c>
      <c r="S38" s="90">
        <f t="shared" si="5"/>
        <v>766.5147373101704</v>
      </c>
      <c r="T38" s="91">
        <f t="shared" si="6"/>
        <v>5.6800000000000003E-2</v>
      </c>
      <c r="U38" s="1"/>
      <c r="W38" s="7">
        <f>$W$20</f>
        <v>16.131875000000001</v>
      </c>
      <c r="X38" s="19">
        <f>$X$17*E38</f>
        <v>444.8766</v>
      </c>
      <c r="Y38" s="19">
        <f>$Y$17*$A$36*INPUT!$E$91</f>
        <v>168.82558674643352</v>
      </c>
      <c r="Z38" s="19">
        <f>$Z$17*$A$36</f>
        <v>68.8</v>
      </c>
      <c r="AA38" s="24">
        <f t="shared" si="11"/>
        <v>698.63406174643342</v>
      </c>
      <c r="AB38" s="24"/>
      <c r="AE38" s="7">
        <f>$AE$20</f>
        <v>18.566875</v>
      </c>
      <c r="AF38" s="19">
        <f>$AF$17*E38</f>
        <v>457.44720000000001</v>
      </c>
      <c r="AG38" s="19">
        <f>$A$36*$AG$17*INPUT!$E$91</f>
        <v>196.71026231017026</v>
      </c>
      <c r="AH38" s="19">
        <f>$A$36*$AH$17</f>
        <v>80.199999999999989</v>
      </c>
      <c r="AI38" s="24">
        <f t="shared" si="8"/>
        <v>752.92433731017036</v>
      </c>
      <c r="AJ38" s="84">
        <f>$AJ$17*E38</f>
        <v>6.1180381554243244</v>
      </c>
      <c r="AK38" s="84">
        <f>$AK$17*E38</f>
        <v>-6.9496000000000002</v>
      </c>
      <c r="AL38" s="17"/>
      <c r="AM38" s="38"/>
      <c r="AN38" s="17"/>
      <c r="AO38" s="394"/>
    </row>
    <row r="39" spans="1:41" x14ac:dyDescent="0.25">
      <c r="X39" s="19"/>
      <c r="Y39" s="19"/>
      <c r="Z39" s="19"/>
      <c r="AA39" s="19"/>
      <c r="AB39" s="19"/>
    </row>
    <row r="40" spans="1:41" x14ac:dyDescent="0.25">
      <c r="A40" s="17" t="s">
        <v>301</v>
      </c>
      <c r="X40" s="19"/>
      <c r="Y40" s="19"/>
      <c r="Z40" s="19"/>
      <c r="AA40" s="19"/>
      <c r="AB40" s="19"/>
    </row>
    <row r="41" spans="1:41" x14ac:dyDescent="0.25">
      <c r="A41" s="174" t="str">
        <f>("Average Usage = "&amp;TEXT(INPUT!D26*1,"0,000")&amp;" kWh per month")</f>
        <v>Average Usage = 4,249 kWh per month</v>
      </c>
      <c r="G41" s="29"/>
      <c r="X41" s="19"/>
      <c r="Y41" s="19"/>
      <c r="Z41" s="19"/>
      <c r="AA41" s="19"/>
      <c r="AB41" s="19"/>
    </row>
    <row r="42" spans="1:41" x14ac:dyDescent="0.25">
      <c r="A42" s="174" t="str">
        <f>("Average Demand = "&amp;TEXT(INPUT!I102,"0")&amp;" kW per month")</f>
        <v>Average Demand = 12 kW per month</v>
      </c>
      <c r="G42" s="29"/>
      <c r="X42" s="19"/>
      <c r="Y42" s="19"/>
      <c r="Z42" s="19"/>
      <c r="AA42" s="19"/>
      <c r="AB42" s="19"/>
    </row>
    <row r="43" spans="1:41" x14ac:dyDescent="0.25">
      <c r="A43" s="175" t="s">
        <v>302</v>
      </c>
      <c r="C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G43" s="30"/>
      <c r="AH43" s="19"/>
      <c r="AI43" s="19"/>
      <c r="AJ43" s="19"/>
      <c r="AK43" s="19"/>
      <c r="AL43" s="19"/>
      <c r="AM43" s="6"/>
    </row>
    <row r="44" spans="1:41" ht="13" x14ac:dyDescent="0.3">
      <c r="A44" s="176" t="s">
        <v>607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"/>
      <c r="AE44" s="3"/>
      <c r="AG44" s="3"/>
    </row>
    <row r="45" spans="1:41" x14ac:dyDescent="0.25">
      <c r="A45" s="175" t="str">
        <f>+'Rate Case Constants'!$C$26</f>
        <v>Calculations may vary from other schedules due to rounding</v>
      </c>
      <c r="AG45" s="9"/>
    </row>
    <row r="46" spans="1:41" ht="13" x14ac:dyDescent="0.3">
      <c r="W46" s="3"/>
      <c r="Z46" s="3"/>
      <c r="AC46" s="3"/>
      <c r="AG46" s="9"/>
    </row>
    <row r="47" spans="1:41" ht="13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2"/>
      <c r="AE47" s="3"/>
      <c r="AG47" s="3"/>
    </row>
    <row r="48" spans="1:41" ht="1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2"/>
      <c r="AE48" s="3"/>
      <c r="AG48" s="3"/>
    </row>
    <row r="49" spans="1:33" ht="1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3"/>
      <c r="Y49" s="3"/>
      <c r="Z49" s="3"/>
      <c r="AA49" s="3"/>
      <c r="AB49" s="3"/>
    </row>
    <row r="50" spans="1:33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W50" s="7"/>
      <c r="X50" s="12"/>
      <c r="Z50" s="12"/>
      <c r="AA50" s="12"/>
      <c r="AB50" s="12"/>
      <c r="AC50" s="6"/>
      <c r="AE50" s="6"/>
      <c r="AG50" s="9"/>
    </row>
    <row r="51" spans="1:33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7"/>
      <c r="X51" s="12"/>
      <c r="Z51" s="12"/>
      <c r="AA51" s="12"/>
      <c r="AB51" s="12"/>
      <c r="AC51" s="6"/>
      <c r="AE51" s="6"/>
      <c r="AG51" s="9"/>
    </row>
    <row r="52" spans="1:33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7"/>
      <c r="X52" s="12"/>
      <c r="Z52" s="12"/>
      <c r="AA52" s="12"/>
      <c r="AB52" s="12"/>
      <c r="AC52" s="6"/>
      <c r="AE52" s="6"/>
      <c r="AG52" s="9"/>
    </row>
    <row r="53" spans="1:33" x14ac:dyDescent="0.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7"/>
      <c r="X53" s="12"/>
      <c r="Z53" s="12"/>
      <c r="AA53" s="12"/>
      <c r="AB53" s="12"/>
      <c r="AC53" s="6"/>
      <c r="AD53" s="10"/>
      <c r="AE53" s="6"/>
      <c r="AF53" s="10"/>
      <c r="AG53" s="9"/>
    </row>
    <row r="54" spans="1:33" ht="6.75" customHeight="1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7"/>
      <c r="X54" s="12"/>
      <c r="Z54" s="12"/>
      <c r="AA54" s="12"/>
      <c r="AB54" s="12"/>
      <c r="AC54" s="6"/>
      <c r="AD54" s="10"/>
      <c r="AE54" s="6"/>
      <c r="AF54" s="10"/>
      <c r="AG54" s="9"/>
    </row>
    <row r="55" spans="1:33" x14ac:dyDescent="0.25">
      <c r="A55" s="17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7"/>
      <c r="X55" s="12"/>
      <c r="Z55" s="12"/>
      <c r="AA55" s="12"/>
      <c r="AB55" s="12"/>
      <c r="AC55" s="6"/>
      <c r="AE55" s="6"/>
      <c r="AG55" s="9"/>
    </row>
    <row r="56" spans="1:33" x14ac:dyDescent="0.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7"/>
      <c r="X56" s="12"/>
      <c r="Z56" s="12"/>
      <c r="AA56" s="12"/>
      <c r="AB56" s="12"/>
      <c r="AC56" s="6"/>
      <c r="AE56" s="6"/>
      <c r="AG56" s="9"/>
    </row>
    <row r="57" spans="1:33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7"/>
      <c r="X57" s="12"/>
      <c r="Z57" s="12"/>
      <c r="AA57" s="12"/>
      <c r="AB57" s="12"/>
      <c r="AC57" s="6"/>
      <c r="AE57" s="6"/>
      <c r="AG57" s="9"/>
    </row>
    <row r="58" spans="1:33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7"/>
      <c r="X58" s="12"/>
      <c r="Z58" s="12"/>
      <c r="AA58" s="12"/>
      <c r="AB58" s="12"/>
      <c r="AC58" s="6"/>
      <c r="AE58" s="6"/>
      <c r="AG58" s="9"/>
    </row>
    <row r="59" spans="1:33" x14ac:dyDescent="0.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7"/>
      <c r="X59" s="12"/>
      <c r="Z59" s="12"/>
      <c r="AA59" s="12"/>
      <c r="AB59" s="12"/>
      <c r="AC59" s="6"/>
      <c r="AE59" s="6"/>
      <c r="AG59" s="9"/>
    </row>
    <row r="60" spans="1:33" ht="6.75" customHeight="1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7"/>
      <c r="X60" s="12"/>
      <c r="Z60" s="12"/>
      <c r="AA60" s="12"/>
      <c r="AB60" s="12"/>
      <c r="AC60" s="6"/>
      <c r="AE60" s="6"/>
      <c r="AG60" s="9"/>
    </row>
    <row r="61" spans="1:33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7"/>
      <c r="X61" s="12"/>
      <c r="Z61" s="12"/>
      <c r="AA61" s="12"/>
      <c r="AB61" s="12"/>
      <c r="AC61" s="6"/>
      <c r="AE61" s="6"/>
      <c r="AG61" s="9"/>
    </row>
    <row r="62" spans="1:33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7"/>
      <c r="X62" s="12"/>
      <c r="Z62" s="12"/>
      <c r="AA62" s="12"/>
      <c r="AB62" s="12"/>
      <c r="AC62" s="6"/>
      <c r="AE62" s="6"/>
      <c r="AG62" s="9"/>
    </row>
    <row r="63" spans="1:33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7"/>
      <c r="X63" s="12"/>
      <c r="Z63" s="12"/>
      <c r="AA63" s="12"/>
      <c r="AB63" s="12"/>
      <c r="AC63" s="6"/>
      <c r="AE63" s="6"/>
      <c r="AG63" s="9"/>
    </row>
    <row r="64" spans="1:33" x14ac:dyDescent="0.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7"/>
      <c r="X64" s="12"/>
      <c r="Z64" s="12"/>
      <c r="AA64" s="12"/>
      <c r="AB64" s="12"/>
      <c r="AC64" s="6"/>
      <c r="AE64" s="6"/>
      <c r="AG64" s="9"/>
    </row>
    <row r="65" spans="5:37" ht="13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  <c r="Y65" s="3"/>
      <c r="Z65" s="3"/>
      <c r="AA65" s="3"/>
      <c r="AB65" s="3"/>
    </row>
    <row r="66" spans="5:37" ht="1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</row>
    <row r="67" spans="5:37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G67" s="9"/>
    </row>
    <row r="68" spans="5:37" x14ac:dyDescent="0.25">
      <c r="AI68" s="4"/>
      <c r="AJ68" s="4"/>
      <c r="AK68" s="4"/>
    </row>
  </sheetData>
  <mergeCells count="5">
    <mergeCell ref="L15:N15"/>
    <mergeCell ref="A1:T1"/>
    <mergeCell ref="A2:T2"/>
    <mergeCell ref="A3:T3"/>
    <mergeCell ref="A4:T4"/>
  </mergeCells>
  <printOptions horizontalCentered="1"/>
  <pageMargins left="0.75" right="0.75" top="1.5" bottom="0.5" header="1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AL42"/>
  <sheetViews>
    <sheetView zoomScale="80" zoomScaleNormal="80" zoomScaleSheetLayoutView="80" workbookViewId="0">
      <selection sqref="A1:P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2.1796875" bestFit="1" customWidth="1"/>
    <col min="7" max="7" width="9.26953125" bestFit="1" customWidth="1"/>
    <col min="8" max="8" width="10.7265625" bestFit="1" customWidth="1"/>
    <col min="9" max="9" width="10" bestFit="1" customWidth="1"/>
    <col min="10" max="10" width="10" customWidth="1"/>
    <col min="11" max="11" width="12.7265625" bestFit="1" customWidth="1"/>
    <col min="12" max="12" width="10.453125" bestFit="1" customWidth="1"/>
    <col min="13" max="13" width="8.81640625" customWidth="1"/>
    <col min="14" max="14" width="9.26953125" customWidth="1"/>
    <col min="15" max="15" width="10" bestFit="1" customWidth="1"/>
    <col min="16" max="16" width="9.36328125" customWidth="1"/>
    <col min="17" max="20" width="3.54296875" customWidth="1"/>
    <col min="21" max="21" width="11.81640625" customWidth="1"/>
    <col min="22" max="22" width="9.81640625" customWidth="1"/>
    <col min="23" max="24" width="9.54296875" customWidth="1"/>
    <col min="25" max="25" width="7.1796875" customWidth="1"/>
    <col min="26" max="26" width="11.54296875" customWidth="1"/>
    <col min="27" max="27" width="9.54296875" customWidth="1"/>
    <col min="29" max="29" width="12.81640625" bestFit="1" customWidth="1"/>
    <col min="30" max="30" width="10.1796875" bestFit="1" customWidth="1"/>
    <col min="31" max="31" width="9.54296875" bestFit="1" customWidth="1"/>
    <col min="33" max="34" width="3" customWidth="1"/>
    <col min="36" max="36" width="2.7265625" customWidth="1"/>
  </cols>
  <sheetData>
    <row r="1" spans="1:38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8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8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38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8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8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38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38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+'Rate Case Constants'!L11</f>
        <v>PAGE 4 of 24</v>
      </c>
    </row>
    <row r="9" spans="1:38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197"/>
      <c r="O9" s="197"/>
      <c r="P9" s="197" t="str">
        <f>+'Rate Case Constants'!C36</f>
        <v>WITNESS:   R. M. CONROY</v>
      </c>
      <c r="U9" s="44" t="s">
        <v>609</v>
      </c>
    </row>
    <row r="10" spans="1:38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1"/>
      <c r="N10" s="201"/>
      <c r="O10" s="201"/>
      <c r="P10" s="201"/>
      <c r="U10" s="83" t="s">
        <v>68</v>
      </c>
      <c r="V10" s="2">
        <f>+INPUT!M69</f>
        <v>-1.3325035725608348E-3</v>
      </c>
    </row>
    <row r="11" spans="1:38" ht="13" x14ac:dyDescent="0.3">
      <c r="A11" s="124" t="s">
        <v>74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3" t="s">
        <v>70</v>
      </c>
      <c r="V11" s="2">
        <f>+INPUT!N69</f>
        <v>3.2820570701306236E-3</v>
      </c>
      <c r="W11" s="29"/>
      <c r="X11" s="29"/>
      <c r="Y11" s="29"/>
      <c r="Z11" s="32"/>
      <c r="AA11" s="29"/>
      <c r="AB11" s="29"/>
      <c r="AC11" s="29"/>
      <c r="AD11" s="29"/>
      <c r="AE11" s="29"/>
      <c r="AF11" s="29"/>
    </row>
    <row r="12" spans="1:38" ht="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3" t="s">
        <v>69</v>
      </c>
      <c r="V12" s="2">
        <f>+INPUT!O69</f>
        <v>9.8968076997186551E-3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8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29"/>
      <c r="R13" s="29"/>
      <c r="S13" s="29"/>
      <c r="T13" s="29"/>
      <c r="U13" s="29"/>
      <c r="V13" s="29"/>
      <c r="W13" s="29"/>
      <c r="Y13" s="29"/>
      <c r="Z13" s="29"/>
      <c r="AA13" s="29"/>
      <c r="AB13" s="29"/>
      <c r="AC13" s="29"/>
      <c r="AD13" s="29"/>
      <c r="AE13" s="29"/>
      <c r="AF13" s="29"/>
    </row>
    <row r="14" spans="1:38" ht="13" x14ac:dyDescent="0.3">
      <c r="C14" s="195" t="s">
        <v>313</v>
      </c>
      <c r="D14" s="195" t="s">
        <v>313</v>
      </c>
      <c r="E14" s="195" t="s">
        <v>69</v>
      </c>
      <c r="H14" s="17"/>
      <c r="I14" s="17"/>
      <c r="J14" s="17"/>
      <c r="K14" s="3" t="s">
        <v>5</v>
      </c>
      <c r="L14" s="3" t="s">
        <v>5</v>
      </c>
      <c r="N14" s="85" t="s">
        <v>592</v>
      </c>
      <c r="O14" s="85" t="s">
        <v>5</v>
      </c>
      <c r="P14" s="17"/>
      <c r="U14" s="46" t="s">
        <v>56</v>
      </c>
      <c r="V14" s="46"/>
      <c r="W14" s="46"/>
      <c r="X14" s="3"/>
      <c r="Z14" s="46" t="s">
        <v>57</v>
      </c>
      <c r="AA14" s="46"/>
      <c r="AB14" s="46"/>
      <c r="AC14" s="377" t="s">
        <v>609</v>
      </c>
      <c r="AD14" s="46"/>
      <c r="AE14" s="3"/>
      <c r="AF14" s="56"/>
    </row>
    <row r="15" spans="1:38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07" t="s">
        <v>245</v>
      </c>
      <c r="I15" s="407"/>
      <c r="J15" s="408"/>
      <c r="K15" s="3" t="s">
        <v>1</v>
      </c>
      <c r="L15" s="3" t="s">
        <v>71</v>
      </c>
      <c r="M15" s="3"/>
      <c r="N15" s="85" t="s">
        <v>593</v>
      </c>
      <c r="O15" s="85" t="s">
        <v>71</v>
      </c>
      <c r="P15" s="85"/>
      <c r="U15" s="25" t="s">
        <v>59</v>
      </c>
      <c r="V15" s="3"/>
      <c r="W15" s="25"/>
      <c r="X15" s="3"/>
      <c r="Z15" s="25" t="s">
        <v>59</v>
      </c>
      <c r="AA15" s="3"/>
      <c r="AB15" s="25"/>
      <c r="AC15" s="86"/>
      <c r="AD15" s="83" t="s">
        <v>592</v>
      </c>
      <c r="AE15" s="3"/>
      <c r="AF15" s="25"/>
    </row>
    <row r="16" spans="1:38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85" t="s">
        <v>70</v>
      </c>
      <c r="J16" s="85" t="s">
        <v>69</v>
      </c>
      <c r="K16" s="3" t="s">
        <v>4</v>
      </c>
      <c r="L16" s="3" t="s">
        <v>4</v>
      </c>
      <c r="M16" s="3" t="s">
        <v>72</v>
      </c>
      <c r="N16" s="85" t="s">
        <v>439</v>
      </c>
      <c r="O16" s="85" t="s">
        <v>443</v>
      </c>
      <c r="P16" s="85" t="s">
        <v>72</v>
      </c>
      <c r="Q16" s="3"/>
      <c r="R16" s="3"/>
      <c r="S16" s="3"/>
      <c r="T16" s="3"/>
      <c r="U16" s="25" t="s">
        <v>58</v>
      </c>
      <c r="V16" s="3" t="s">
        <v>53</v>
      </c>
      <c r="W16" s="25" t="s">
        <v>5</v>
      </c>
      <c r="X16" s="3"/>
      <c r="Z16" s="25" t="s">
        <v>58</v>
      </c>
      <c r="AA16" s="3" t="s">
        <v>53</v>
      </c>
      <c r="AB16" s="25" t="s">
        <v>5</v>
      </c>
      <c r="AC16" s="86" t="s">
        <v>69</v>
      </c>
      <c r="AD16" s="85" t="s">
        <v>593</v>
      </c>
      <c r="AE16" s="3"/>
      <c r="AF16" s="25"/>
      <c r="AH16" s="2"/>
      <c r="AI16" s="85"/>
      <c r="AJ16" s="85"/>
      <c r="AK16" s="85"/>
      <c r="AL16" s="3"/>
    </row>
    <row r="17" spans="1:38" ht="13" x14ac:dyDescent="0.3">
      <c r="A17" s="3" t="s">
        <v>46</v>
      </c>
      <c r="B17" s="3"/>
      <c r="C17" s="3"/>
      <c r="D17" s="3"/>
      <c r="E17" s="85"/>
      <c r="F17" s="3" t="s">
        <v>66</v>
      </c>
      <c r="G17" s="25" t="s">
        <v>67</v>
      </c>
      <c r="H17" s="88"/>
      <c r="I17" s="88"/>
      <c r="J17" s="89"/>
      <c r="K17" s="3" t="s">
        <v>66</v>
      </c>
      <c r="L17" s="3" t="s">
        <v>66</v>
      </c>
      <c r="M17" s="25" t="s">
        <v>67</v>
      </c>
      <c r="N17" s="86"/>
      <c r="O17" s="86" t="s">
        <v>439</v>
      </c>
      <c r="P17" s="86" t="s">
        <v>67</v>
      </c>
      <c r="Q17" s="3"/>
      <c r="R17" s="3"/>
      <c r="S17" s="3"/>
      <c r="T17" s="3"/>
      <c r="U17" s="34" t="s">
        <v>3</v>
      </c>
      <c r="V17" s="15" t="s">
        <v>3</v>
      </c>
      <c r="W17" s="34" t="s">
        <v>4</v>
      </c>
      <c r="X17" s="206"/>
      <c r="Z17" s="34" t="s">
        <v>3</v>
      </c>
      <c r="AA17" s="15" t="s">
        <v>3</v>
      </c>
      <c r="AB17" s="34" t="s">
        <v>4</v>
      </c>
      <c r="AC17" s="386" t="s">
        <v>471</v>
      </c>
      <c r="AD17" s="342" t="s">
        <v>439</v>
      </c>
      <c r="AE17" s="206"/>
      <c r="AF17" s="57"/>
      <c r="AH17" s="2"/>
      <c r="AI17" s="85"/>
      <c r="AJ17" s="85"/>
      <c r="AK17" s="85"/>
      <c r="AL17" s="3"/>
    </row>
    <row r="18" spans="1:38" ht="13" x14ac:dyDescent="0.3">
      <c r="A18" s="80"/>
      <c r="B18" s="80"/>
      <c r="C18" s="80"/>
      <c r="D18" s="80"/>
      <c r="E18" s="343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3"/>
      <c r="R18" s="3"/>
      <c r="S18" s="3"/>
      <c r="T18" s="3"/>
      <c r="U18" s="25"/>
      <c r="V18" s="31">
        <f>+INPUT!$G$6</f>
        <v>8.7319999999999995E-2</v>
      </c>
      <c r="W18" s="25"/>
      <c r="X18" s="40"/>
      <c r="Z18" s="25"/>
      <c r="AA18" s="31">
        <f>INPUT!$G$34</f>
        <v>0.10078999999999999</v>
      </c>
      <c r="AB18" s="25"/>
      <c r="AC18" s="86">
        <f>INPUT!Q69</f>
        <v>2.1604614025464916E-3</v>
      </c>
      <c r="AD18" s="86">
        <f>INPUT!G52</f>
        <v>-6.8000000000000005E-4</v>
      </c>
      <c r="AE18" s="40"/>
      <c r="AF18" s="25"/>
      <c r="AH18" s="2"/>
      <c r="AI18" s="85"/>
      <c r="AJ18" s="85"/>
      <c r="AK18" s="85"/>
      <c r="AL18" s="3"/>
    </row>
    <row r="19" spans="1:38" ht="13" x14ac:dyDescent="0.3">
      <c r="A19" s="3"/>
      <c r="B19" s="3"/>
      <c r="C19" s="3"/>
      <c r="D19" s="3"/>
      <c r="E19" s="85"/>
      <c r="F19" s="3"/>
      <c r="G19" s="3"/>
      <c r="H19" s="3"/>
      <c r="I19" s="3"/>
      <c r="J19" s="3"/>
      <c r="K19" s="3"/>
      <c r="L19" s="3"/>
      <c r="M19" s="3"/>
      <c r="N19" s="85"/>
      <c r="O19" s="85"/>
      <c r="P19" s="85"/>
      <c r="Q19" s="3"/>
      <c r="R19" s="3"/>
      <c r="S19" s="3"/>
      <c r="T19" s="3"/>
      <c r="U19" s="25"/>
      <c r="V19" s="3" t="s">
        <v>11</v>
      </c>
      <c r="W19" s="25"/>
      <c r="X19" s="3"/>
      <c r="Z19" s="25"/>
      <c r="AA19" s="3" t="s">
        <v>11</v>
      </c>
      <c r="AB19" s="25"/>
      <c r="AC19" s="86" t="s">
        <v>11</v>
      </c>
      <c r="AD19" s="86" t="s">
        <v>11</v>
      </c>
      <c r="AE19" s="3"/>
      <c r="AF19" s="25"/>
      <c r="AH19" s="2"/>
      <c r="AI19" s="85"/>
      <c r="AJ19" s="85"/>
      <c r="AK19" s="85"/>
      <c r="AL19" s="3"/>
    </row>
    <row r="20" spans="1:38" ht="13" x14ac:dyDescent="0.3">
      <c r="A20" s="3"/>
      <c r="B20" s="3"/>
      <c r="C20" s="3"/>
      <c r="D20" s="3"/>
      <c r="E20" s="85"/>
      <c r="F20" s="3"/>
      <c r="G20" s="3"/>
      <c r="H20" s="3"/>
      <c r="I20" s="3"/>
      <c r="J20" s="3"/>
      <c r="K20" s="3"/>
      <c r="L20" s="3"/>
      <c r="M20" s="3"/>
      <c r="N20" s="85"/>
      <c r="O20" s="85"/>
      <c r="P20" s="85"/>
      <c r="Q20" s="3"/>
      <c r="R20" s="3"/>
      <c r="S20" s="3"/>
      <c r="T20" s="3"/>
      <c r="V20" s="3"/>
      <c r="W20" s="3"/>
      <c r="X20" s="3"/>
      <c r="AA20" s="3"/>
      <c r="AB20" s="3"/>
      <c r="AC20" s="85"/>
      <c r="AD20" s="85"/>
      <c r="AE20" s="3"/>
      <c r="AF20" s="3"/>
      <c r="AI20" s="17"/>
      <c r="AJ20" s="17"/>
      <c r="AK20" s="17"/>
    </row>
    <row r="21" spans="1:38" x14ac:dyDescent="0.25">
      <c r="A21">
        <v>500</v>
      </c>
      <c r="C21" s="90">
        <f>+W21</f>
        <v>128.88499999999999</v>
      </c>
      <c r="D21" s="90">
        <f>+AB21</f>
        <v>135.62</v>
      </c>
      <c r="E21" s="90">
        <f>AC21</f>
        <v>1.0802307012732457</v>
      </c>
      <c r="F21" s="90">
        <f>+D21-(E21+C21)</f>
        <v>5.6547692987267624</v>
      </c>
      <c r="G21" s="54">
        <f>ROUND(+F21/C21,4)</f>
        <v>4.3900000000000002E-2</v>
      </c>
      <c r="H21" s="90">
        <f>ROUND($V$10*$A21,2)</f>
        <v>-0.67</v>
      </c>
      <c r="I21" s="90">
        <f>ROUND($V$11*$A21,2)</f>
        <v>1.64</v>
      </c>
      <c r="J21" s="90">
        <f>ROUND($V$12*$A21,2)</f>
        <v>4.95</v>
      </c>
      <c r="K21" s="28">
        <f>+C21+E21+H21+I21+J21</f>
        <v>135.88523070127323</v>
      </c>
      <c r="L21" s="28">
        <f>+D21+H21+I21+J21</f>
        <v>141.54</v>
      </c>
      <c r="M21" s="54">
        <f>ROUND((L21-K21)/K21,4)</f>
        <v>4.1599999999999998E-2</v>
      </c>
      <c r="N21" s="28">
        <f>AD21</f>
        <v>-0.34</v>
      </c>
      <c r="O21" s="90">
        <f>L21+N21</f>
        <v>141.19999999999999</v>
      </c>
      <c r="P21" s="91">
        <f>ROUND((O21-K21)/K21,4)</f>
        <v>3.9100000000000003E-2</v>
      </c>
      <c r="U21" s="7">
        <f>+INPUT!$G$4</f>
        <v>85.224999999999994</v>
      </c>
      <c r="V21" s="6">
        <f>A21*$V$18</f>
        <v>43.66</v>
      </c>
      <c r="W21" s="6">
        <f>U21+V21</f>
        <v>128.88499999999999</v>
      </c>
      <c r="X21" s="6"/>
      <c r="Z21" s="7">
        <f>INPUT!$G$32</f>
        <v>85.224999999999994</v>
      </c>
      <c r="AA21" s="6">
        <f>+$A21*AA$18</f>
        <v>50.394999999999996</v>
      </c>
      <c r="AB21" s="6">
        <f>Z21+AA21</f>
        <v>135.62</v>
      </c>
      <c r="AC21" s="84">
        <f>$AC$18*A21</f>
        <v>1.0802307012732457</v>
      </c>
      <c r="AD21" s="84">
        <f>$AD$18*A21</f>
        <v>-0.34</v>
      </c>
      <c r="AE21" s="6"/>
      <c r="AF21" s="6"/>
      <c r="AI21" s="84"/>
      <c r="AJ21" s="17"/>
      <c r="AK21" s="141"/>
      <c r="AL21" s="8"/>
    </row>
    <row r="22" spans="1:38" x14ac:dyDescent="0.25">
      <c r="F22" s="90"/>
      <c r="K22" s="28"/>
      <c r="N22" s="28"/>
      <c r="O22" s="17"/>
      <c r="P22" s="17"/>
      <c r="U22" s="7"/>
      <c r="V22" s="6"/>
      <c r="W22" s="6"/>
      <c r="X22" s="6"/>
      <c r="Z22" s="7"/>
      <c r="AA22" s="6"/>
      <c r="AB22" s="6"/>
      <c r="AC22" s="84"/>
      <c r="AD22" s="84"/>
      <c r="AE22" s="6"/>
      <c r="AF22" s="6"/>
      <c r="AI22" s="17"/>
      <c r="AJ22" s="17"/>
      <c r="AK22" s="141"/>
      <c r="AL22" s="8"/>
    </row>
    <row r="23" spans="1:38" x14ac:dyDescent="0.25">
      <c r="A23" s="1">
        <v>1000</v>
      </c>
      <c r="C23" s="90">
        <f>+W23</f>
        <v>172.54499999999999</v>
      </c>
      <c r="D23" s="90">
        <f>+AB23</f>
        <v>186.01499999999999</v>
      </c>
      <c r="E23" s="90">
        <f t="shared" ref="E23:E35" si="0">AC23</f>
        <v>2.1604614025464914</v>
      </c>
      <c r="F23" s="90">
        <f t="shared" ref="F23:F33" si="1">+D23-(E23+C23)</f>
        <v>11.309538597453496</v>
      </c>
      <c r="G23" s="54">
        <f>ROUND(+F23/C23,4)</f>
        <v>6.5500000000000003E-2</v>
      </c>
      <c r="H23" s="90">
        <f>ROUND($V$10*$A23,2)</f>
        <v>-1.33</v>
      </c>
      <c r="I23" s="90">
        <f>ROUND($V$11*$A23,2)</f>
        <v>3.28</v>
      </c>
      <c r="J23" s="90">
        <f>ROUND($V$12*$A23,2)</f>
        <v>9.9</v>
      </c>
      <c r="K23" s="28">
        <f t="shared" ref="K23:K33" si="2">+C23+E23+H23+I23+J23</f>
        <v>186.55546140254648</v>
      </c>
      <c r="L23" s="28">
        <f>+D23+H23+I23+J23</f>
        <v>197.86499999999998</v>
      </c>
      <c r="M23" s="54">
        <f>ROUND((L23-K23)/K23,4)</f>
        <v>6.0600000000000001E-2</v>
      </c>
      <c r="N23" s="28">
        <f t="shared" ref="N23:N35" si="3">AD23</f>
        <v>-0.68</v>
      </c>
      <c r="O23" s="90">
        <f t="shared" ref="O23:O35" si="4">L23+N23</f>
        <v>197.18499999999997</v>
      </c>
      <c r="P23" s="91">
        <f t="shared" ref="P23:P35" si="5">ROUND((O23-K23)/K23,4)</f>
        <v>5.7000000000000002E-2</v>
      </c>
      <c r="U23" s="7">
        <f>$U$21</f>
        <v>85.224999999999994</v>
      </c>
      <c r="V23" s="6">
        <f>A23*$V$18</f>
        <v>87.32</v>
      </c>
      <c r="W23" s="6">
        <f>U23+V23</f>
        <v>172.54499999999999</v>
      </c>
      <c r="X23" s="6"/>
      <c r="Z23" s="7">
        <f>+$Z$21</f>
        <v>85.224999999999994</v>
      </c>
      <c r="AA23" s="6">
        <f>+$A23*AA$18</f>
        <v>100.78999999999999</v>
      </c>
      <c r="AB23" s="6">
        <f>Z23+AA23</f>
        <v>186.01499999999999</v>
      </c>
      <c r="AC23" s="84">
        <f t="shared" ref="AC23:AC33" si="6">$AC$18*A23</f>
        <v>2.1604614025464914</v>
      </c>
      <c r="AD23" s="84">
        <f t="shared" ref="AD23:AD33" si="7">$AD$18*A23</f>
        <v>-0.68</v>
      </c>
      <c r="AE23" s="6"/>
      <c r="AF23" s="6"/>
      <c r="AI23" s="84"/>
      <c r="AJ23" s="17"/>
      <c r="AK23" s="141"/>
      <c r="AL23" s="8"/>
    </row>
    <row r="24" spans="1:38" x14ac:dyDescent="0.25">
      <c r="C24" s="28"/>
      <c r="D24" s="28"/>
      <c r="E24" s="28"/>
      <c r="F24" s="90"/>
      <c r="G24" s="54"/>
      <c r="H24" s="28"/>
      <c r="I24" s="28"/>
      <c r="J24" s="28"/>
      <c r="K24" s="28"/>
      <c r="L24" s="28"/>
      <c r="M24" s="54"/>
      <c r="N24" s="28"/>
      <c r="O24" s="90"/>
      <c r="P24" s="91"/>
      <c r="U24" s="55"/>
      <c r="V24" s="6"/>
      <c r="W24" s="6"/>
      <c r="X24" s="6"/>
      <c r="Z24" s="7"/>
      <c r="AA24" s="6"/>
      <c r="AB24" s="6"/>
      <c r="AC24" s="84"/>
      <c r="AD24" s="84"/>
      <c r="AE24" s="6"/>
      <c r="AF24" s="6"/>
      <c r="AI24" s="17"/>
      <c r="AJ24" s="17"/>
      <c r="AK24" s="143"/>
      <c r="AL24" s="26"/>
    </row>
    <row r="25" spans="1:38" s="10" customFormat="1" x14ac:dyDescent="0.25">
      <c r="A25" s="14">
        <v>1500</v>
      </c>
      <c r="B25"/>
      <c r="C25" s="90">
        <f>+W25</f>
        <v>216.20499999999998</v>
      </c>
      <c r="D25" s="90">
        <f>+AB25</f>
        <v>236.40999999999997</v>
      </c>
      <c r="E25" s="90">
        <f t="shared" si="0"/>
        <v>3.2406921038197374</v>
      </c>
      <c r="F25" s="90">
        <f t="shared" si="1"/>
        <v>16.964307896180259</v>
      </c>
      <c r="G25" s="54">
        <f>ROUND(+F25/C25,4)</f>
        <v>7.85E-2</v>
      </c>
      <c r="H25" s="90">
        <f>ROUND($V$10*$A25,2)</f>
        <v>-2</v>
      </c>
      <c r="I25" s="90">
        <f>ROUND($V$11*$A25,2)</f>
        <v>4.92</v>
      </c>
      <c r="J25" s="90">
        <f>ROUND($V$12*$A25,2)</f>
        <v>14.85</v>
      </c>
      <c r="K25" s="28">
        <f t="shared" si="2"/>
        <v>237.21569210381969</v>
      </c>
      <c r="L25" s="28">
        <f>+D25+H25+I25+J25</f>
        <v>254.17999999999995</v>
      </c>
      <c r="M25" s="54">
        <f>ROUND((L25-K25)/K25,4)</f>
        <v>7.1499999999999994E-2</v>
      </c>
      <c r="N25" s="28">
        <f t="shared" si="3"/>
        <v>-1.02</v>
      </c>
      <c r="O25" s="90">
        <f t="shared" si="4"/>
        <v>253.15999999999994</v>
      </c>
      <c r="P25" s="91">
        <f t="shared" si="5"/>
        <v>6.7199999999999996E-2</v>
      </c>
      <c r="U25" s="55">
        <f>$U$21</f>
        <v>85.224999999999994</v>
      </c>
      <c r="V25" s="6">
        <f>A25*$V$18</f>
        <v>130.97999999999999</v>
      </c>
      <c r="W25" s="11">
        <f>U25+V25</f>
        <v>216.20499999999998</v>
      </c>
      <c r="X25" s="6"/>
      <c r="Z25" s="7">
        <f>+$Z$21</f>
        <v>85.224999999999994</v>
      </c>
      <c r="AA25" s="6">
        <f>+$A25*AA$18</f>
        <v>151.18499999999997</v>
      </c>
      <c r="AB25" s="11">
        <f>Z25+AA25</f>
        <v>236.40999999999997</v>
      </c>
      <c r="AC25" s="84">
        <f t="shared" si="6"/>
        <v>3.2406921038197374</v>
      </c>
      <c r="AD25" s="84">
        <f t="shared" si="7"/>
        <v>-1.02</v>
      </c>
      <c r="AE25" s="6"/>
      <c r="AF25" s="11"/>
      <c r="AI25" s="145"/>
      <c r="AJ25" s="144"/>
      <c r="AK25" s="143"/>
      <c r="AL25" s="26"/>
    </row>
    <row r="26" spans="1:38" x14ac:dyDescent="0.25">
      <c r="F26" s="90"/>
      <c r="K26" s="28"/>
      <c r="N26" s="28"/>
      <c r="O26" s="17"/>
      <c r="P26" s="17"/>
      <c r="U26" s="7"/>
      <c r="V26" s="6"/>
      <c r="W26" s="6"/>
      <c r="X26" s="6"/>
      <c r="Z26" s="7"/>
      <c r="AA26" s="6"/>
      <c r="AB26" s="6"/>
      <c r="AC26" s="84"/>
      <c r="AD26" s="84"/>
      <c r="AE26" s="6"/>
      <c r="AF26" s="6"/>
      <c r="AI26" s="17"/>
      <c r="AJ26" s="17"/>
      <c r="AK26" s="141"/>
      <c r="AL26" s="8"/>
    </row>
    <row r="27" spans="1:38" x14ac:dyDescent="0.25">
      <c r="A27" s="1">
        <v>2000</v>
      </c>
      <c r="C27" s="90">
        <f>+W27</f>
        <v>259.86500000000001</v>
      </c>
      <c r="D27" s="90">
        <f>+AB27</f>
        <v>286.80499999999995</v>
      </c>
      <c r="E27" s="90">
        <f t="shared" si="0"/>
        <v>4.3209228050929829</v>
      </c>
      <c r="F27" s="90">
        <f t="shared" si="1"/>
        <v>22.619077194906936</v>
      </c>
      <c r="G27" s="54">
        <f>ROUND(+F27/C27,4)</f>
        <v>8.6999999999999994E-2</v>
      </c>
      <c r="H27" s="90">
        <f>ROUND($V$10*$A27,2)</f>
        <v>-2.67</v>
      </c>
      <c r="I27" s="90">
        <f>ROUND($V$11*$A27,2)</f>
        <v>6.56</v>
      </c>
      <c r="J27" s="90">
        <f>ROUND($V$12*$A27,2)</f>
        <v>19.79</v>
      </c>
      <c r="K27" s="28">
        <f t="shared" si="2"/>
        <v>287.86592280509302</v>
      </c>
      <c r="L27" s="28">
        <f>+D27+H27+I27+J27</f>
        <v>310.48499999999996</v>
      </c>
      <c r="M27" s="54">
        <f>ROUND((L27-K27)/K27,4)</f>
        <v>7.8600000000000003E-2</v>
      </c>
      <c r="N27" s="28">
        <f t="shared" si="3"/>
        <v>-1.36</v>
      </c>
      <c r="O27" s="90">
        <f t="shared" si="4"/>
        <v>309.12499999999994</v>
      </c>
      <c r="P27" s="91">
        <f t="shared" si="5"/>
        <v>7.3899999999999993E-2</v>
      </c>
      <c r="U27" s="7">
        <f>$U$21</f>
        <v>85.224999999999994</v>
      </c>
      <c r="V27" s="6">
        <f>A27*$V$18</f>
        <v>174.64</v>
      </c>
      <c r="W27" s="6">
        <f>U27+V27</f>
        <v>259.86500000000001</v>
      </c>
      <c r="X27" s="6"/>
      <c r="Z27" s="7">
        <f>+$Z$21</f>
        <v>85.224999999999994</v>
      </c>
      <c r="AA27" s="6">
        <f>+$A27*AA$18</f>
        <v>201.57999999999998</v>
      </c>
      <c r="AB27" s="6">
        <f>Z27+AA27</f>
        <v>286.80499999999995</v>
      </c>
      <c r="AC27" s="84">
        <f t="shared" si="6"/>
        <v>4.3209228050929829</v>
      </c>
      <c r="AD27" s="84">
        <f t="shared" si="7"/>
        <v>-1.36</v>
      </c>
      <c r="AE27" s="6"/>
      <c r="AF27" s="6"/>
      <c r="AI27" s="84"/>
      <c r="AJ27" s="17"/>
      <c r="AK27" s="141"/>
      <c r="AL27" s="8"/>
    </row>
    <row r="28" spans="1:38" x14ac:dyDescent="0.25">
      <c r="F28" s="90"/>
      <c r="K28" s="28"/>
      <c r="N28" s="28"/>
      <c r="O28" s="17"/>
      <c r="P28" s="17"/>
      <c r="U28" s="7"/>
      <c r="V28" s="6"/>
      <c r="W28" s="6"/>
      <c r="X28" s="6"/>
      <c r="Z28" s="7"/>
      <c r="AA28" s="6"/>
      <c r="AB28" s="6"/>
      <c r="AC28" s="84"/>
      <c r="AD28" s="84"/>
      <c r="AE28" s="6"/>
      <c r="AF28" s="6"/>
      <c r="AI28" s="17"/>
      <c r="AJ28" s="17"/>
      <c r="AK28" s="141"/>
      <c r="AL28" s="8"/>
    </row>
    <row r="29" spans="1:38" x14ac:dyDescent="0.25">
      <c r="A29" s="1">
        <v>2500</v>
      </c>
      <c r="C29" s="90">
        <f>+W29</f>
        <v>303.52499999999998</v>
      </c>
      <c r="D29" s="90">
        <f>+AB29</f>
        <v>337.19999999999993</v>
      </c>
      <c r="E29" s="90">
        <f t="shared" si="0"/>
        <v>5.4011535063662288</v>
      </c>
      <c r="F29" s="90">
        <f t="shared" si="1"/>
        <v>28.273846493633698</v>
      </c>
      <c r="G29" s="54">
        <f>ROUND(+F29/C29,4)</f>
        <v>9.3200000000000005E-2</v>
      </c>
      <c r="H29" s="90">
        <f>ROUND($V$10*$A29,2)</f>
        <v>-3.33</v>
      </c>
      <c r="I29" s="90">
        <f>ROUND($V$11*$A29,2)</f>
        <v>8.2100000000000009</v>
      </c>
      <c r="J29" s="90">
        <f>ROUND($V$12*$A29,2)</f>
        <v>24.74</v>
      </c>
      <c r="K29" s="28">
        <f t="shared" si="2"/>
        <v>338.54615350636624</v>
      </c>
      <c r="L29" s="28">
        <f>+D29+H29+I29+J29</f>
        <v>366.81999999999994</v>
      </c>
      <c r="M29" s="54">
        <f>ROUND((L29-K29)/K29,4)</f>
        <v>8.3500000000000005E-2</v>
      </c>
      <c r="N29" s="28">
        <f t="shared" si="3"/>
        <v>-1.7000000000000002</v>
      </c>
      <c r="O29" s="90">
        <f t="shared" si="4"/>
        <v>365.11999999999995</v>
      </c>
      <c r="P29" s="91">
        <f t="shared" si="5"/>
        <v>7.85E-2</v>
      </c>
      <c r="U29" s="7">
        <f>$U$21</f>
        <v>85.224999999999994</v>
      </c>
      <c r="V29" s="6">
        <f>A29*$V$18</f>
        <v>218.29999999999998</v>
      </c>
      <c r="W29" s="6">
        <f>U29+V29</f>
        <v>303.52499999999998</v>
      </c>
      <c r="X29" s="6"/>
      <c r="Z29" s="7">
        <f>+$Z$21</f>
        <v>85.224999999999994</v>
      </c>
      <c r="AA29" s="6">
        <f>+$A29*AA$18</f>
        <v>251.97499999999997</v>
      </c>
      <c r="AB29" s="6">
        <f>Z29+AA29</f>
        <v>337.19999999999993</v>
      </c>
      <c r="AC29" s="84">
        <f t="shared" si="6"/>
        <v>5.4011535063662288</v>
      </c>
      <c r="AD29" s="84">
        <f t="shared" si="7"/>
        <v>-1.7000000000000002</v>
      </c>
      <c r="AE29" s="6"/>
      <c r="AF29" s="6"/>
      <c r="AI29" s="84"/>
      <c r="AJ29" s="17"/>
      <c r="AK29" s="141"/>
      <c r="AL29" s="8"/>
    </row>
    <row r="30" spans="1:38" x14ac:dyDescent="0.25">
      <c r="A30" s="1"/>
      <c r="F30" s="90"/>
      <c r="K30" s="28"/>
      <c r="N30" s="28"/>
      <c r="O30" s="17"/>
      <c r="P30" s="17"/>
      <c r="U30" s="7"/>
      <c r="V30" s="6"/>
      <c r="W30" s="6"/>
      <c r="X30" s="6"/>
      <c r="Z30" s="7"/>
      <c r="AA30" s="6"/>
      <c r="AB30" s="6"/>
      <c r="AC30" s="84"/>
      <c r="AD30" s="84"/>
      <c r="AE30" s="6"/>
      <c r="AF30" s="6"/>
      <c r="AI30" s="17"/>
      <c r="AJ30" s="17"/>
      <c r="AK30" s="141"/>
      <c r="AL30" s="8"/>
    </row>
    <row r="31" spans="1:38" x14ac:dyDescent="0.25">
      <c r="A31" s="1">
        <v>3000</v>
      </c>
      <c r="C31" s="90">
        <f>+W31</f>
        <v>347.18499999999995</v>
      </c>
      <c r="D31" s="90">
        <f>+AB31</f>
        <v>387.59499999999991</v>
      </c>
      <c r="E31" s="90">
        <f t="shared" si="0"/>
        <v>6.4813842076394748</v>
      </c>
      <c r="F31" s="90">
        <f t="shared" si="1"/>
        <v>33.928615792360517</v>
      </c>
      <c r="G31" s="54">
        <f>ROUND(+F31/C31,4)</f>
        <v>9.7699999999999995E-2</v>
      </c>
      <c r="H31" s="90">
        <f>ROUND($V$10*$A31,2)</f>
        <v>-4</v>
      </c>
      <c r="I31" s="90">
        <f>ROUND($V$11*$A31,2)</f>
        <v>9.85</v>
      </c>
      <c r="J31" s="90">
        <f>ROUND($V$12*$A31,2)</f>
        <v>29.69</v>
      </c>
      <c r="K31" s="28">
        <f t="shared" si="2"/>
        <v>389.20638420763942</v>
      </c>
      <c r="L31" s="28">
        <f>+D31+H31+I31+J31</f>
        <v>423.13499999999993</v>
      </c>
      <c r="M31" s="54">
        <f>ROUND((L31-K31)/K31,4)</f>
        <v>8.72E-2</v>
      </c>
      <c r="N31" s="28">
        <f t="shared" si="3"/>
        <v>-2.04</v>
      </c>
      <c r="O31" s="90">
        <f t="shared" si="4"/>
        <v>421.09499999999991</v>
      </c>
      <c r="P31" s="91">
        <f t="shared" si="5"/>
        <v>8.1900000000000001E-2</v>
      </c>
      <c r="U31" s="7">
        <f>$U$21</f>
        <v>85.224999999999994</v>
      </c>
      <c r="V31" s="6">
        <f>A31*$V$18</f>
        <v>261.95999999999998</v>
      </c>
      <c r="W31" s="6">
        <f>U31+V31</f>
        <v>347.18499999999995</v>
      </c>
      <c r="X31" s="6"/>
      <c r="Z31" s="7">
        <f>+$Z$21</f>
        <v>85.224999999999994</v>
      </c>
      <c r="AA31" s="6">
        <f>+$A31*AA$18</f>
        <v>302.36999999999995</v>
      </c>
      <c r="AB31" s="6">
        <f>Z31+AA31</f>
        <v>387.59499999999991</v>
      </c>
      <c r="AC31" s="84">
        <f t="shared" si="6"/>
        <v>6.4813842076394748</v>
      </c>
      <c r="AD31" s="84">
        <f t="shared" si="7"/>
        <v>-2.04</v>
      </c>
      <c r="AE31" s="6"/>
      <c r="AF31" s="6"/>
      <c r="AI31" s="84"/>
      <c r="AJ31" s="17"/>
      <c r="AK31" s="141"/>
      <c r="AL31" s="8"/>
    </row>
    <row r="32" spans="1:38" x14ac:dyDescent="0.25">
      <c r="F32" s="90"/>
      <c r="K32" s="28"/>
      <c r="N32" s="28"/>
      <c r="O32" s="17"/>
      <c r="P32" s="17"/>
      <c r="U32" s="7"/>
      <c r="V32" s="6"/>
      <c r="W32" s="6"/>
      <c r="X32" s="6"/>
      <c r="Z32" s="7"/>
      <c r="AA32" s="6"/>
      <c r="AB32" s="6"/>
      <c r="AC32" s="84"/>
      <c r="AD32" s="84"/>
      <c r="AE32" s="6"/>
      <c r="AF32" s="6"/>
      <c r="AI32" s="17"/>
      <c r="AJ32" s="17"/>
      <c r="AK32" s="141"/>
      <c r="AL32" s="8"/>
    </row>
    <row r="33" spans="1:38" x14ac:dyDescent="0.25">
      <c r="A33" s="1">
        <v>3500</v>
      </c>
      <c r="C33" s="90">
        <f>+W33</f>
        <v>390.84500000000003</v>
      </c>
      <c r="D33" s="90">
        <f>+AB33</f>
        <v>437.99</v>
      </c>
      <c r="E33" s="90">
        <f t="shared" si="0"/>
        <v>7.5616149089127207</v>
      </c>
      <c r="F33" s="90">
        <f t="shared" si="1"/>
        <v>39.58338509108728</v>
      </c>
      <c r="G33" s="54">
        <f>ROUND(+F33/C33,4)</f>
        <v>0.1013</v>
      </c>
      <c r="H33" s="90">
        <f>ROUND($V$10*$A33,2)</f>
        <v>-4.66</v>
      </c>
      <c r="I33" s="90">
        <f>ROUND($V$11*$A33,2)</f>
        <v>11.49</v>
      </c>
      <c r="J33" s="90">
        <f>ROUND($V$12*$A33,2)</f>
        <v>34.64</v>
      </c>
      <c r="K33" s="28">
        <f t="shared" si="2"/>
        <v>439.8766149089127</v>
      </c>
      <c r="L33" s="28">
        <f>+D33+H33+I33+J33</f>
        <v>479.46</v>
      </c>
      <c r="M33" s="54">
        <f>ROUND((L33-K33)/K33,4)</f>
        <v>0.09</v>
      </c>
      <c r="N33" s="28">
        <f t="shared" si="3"/>
        <v>-2.3800000000000003</v>
      </c>
      <c r="O33" s="90">
        <f t="shared" si="4"/>
        <v>477.08</v>
      </c>
      <c r="P33" s="91">
        <f t="shared" si="5"/>
        <v>8.4599999999999995E-2</v>
      </c>
      <c r="U33" s="7">
        <f>$U$21</f>
        <v>85.224999999999994</v>
      </c>
      <c r="V33" s="6">
        <f>A33*$V$18</f>
        <v>305.62</v>
      </c>
      <c r="W33" s="6">
        <f>U33+V33</f>
        <v>390.84500000000003</v>
      </c>
      <c r="X33" s="6"/>
      <c r="Z33" s="7">
        <f>+$Z$21</f>
        <v>85.224999999999994</v>
      </c>
      <c r="AA33" s="6">
        <f>+$A33*AA$18</f>
        <v>352.76499999999999</v>
      </c>
      <c r="AB33" s="6">
        <f>Z33+AA33</f>
        <v>437.99</v>
      </c>
      <c r="AC33" s="84">
        <f t="shared" si="6"/>
        <v>7.5616149089127207</v>
      </c>
      <c r="AD33" s="84">
        <f t="shared" si="7"/>
        <v>-2.3800000000000003</v>
      </c>
      <c r="AE33" s="6"/>
      <c r="AF33" s="6"/>
      <c r="AI33" s="17"/>
      <c r="AJ33" s="17"/>
      <c r="AK33" s="141"/>
      <c r="AL33" s="8"/>
    </row>
    <row r="34" spans="1:38" x14ac:dyDescent="0.25">
      <c r="F34" s="90"/>
      <c r="K34" s="28"/>
      <c r="N34" s="28"/>
      <c r="O34" s="17"/>
      <c r="P34" s="17"/>
      <c r="U34" s="7"/>
      <c r="V34" s="6"/>
      <c r="W34" s="6"/>
      <c r="X34" s="6"/>
      <c r="Z34" s="7"/>
      <c r="AA34" s="6"/>
      <c r="AB34" s="6"/>
      <c r="AC34" s="84"/>
      <c r="AD34" s="84"/>
      <c r="AE34" s="6"/>
      <c r="AF34" s="6"/>
      <c r="AI34" s="17"/>
      <c r="AJ34" s="17"/>
      <c r="AK34" s="141"/>
      <c r="AL34" s="8"/>
    </row>
    <row r="35" spans="1:38" x14ac:dyDescent="0.25">
      <c r="A35" s="1">
        <v>4000</v>
      </c>
      <c r="C35" s="90">
        <f>+W35</f>
        <v>434.505</v>
      </c>
      <c r="D35" s="90">
        <f>+AB35</f>
        <v>488.38499999999999</v>
      </c>
      <c r="E35" s="90">
        <f t="shared" si="0"/>
        <v>8.6418456101859658</v>
      </c>
      <c r="F35" s="90">
        <f>+D35-(E35+C35)</f>
        <v>45.238154389814042</v>
      </c>
      <c r="G35" s="54">
        <f>ROUND(+F35/C35,4)</f>
        <v>0.1041</v>
      </c>
      <c r="H35" s="90">
        <f>ROUND($V$10*$A35,2)</f>
        <v>-5.33</v>
      </c>
      <c r="I35" s="90">
        <f>ROUND($V$11*$A35,2)</f>
        <v>13.13</v>
      </c>
      <c r="J35" s="90">
        <f>ROUND($V$12*$A35,2)</f>
        <v>39.590000000000003</v>
      </c>
      <c r="K35" s="28">
        <f>+C35+E35+H35+I35+J35</f>
        <v>490.53684561018599</v>
      </c>
      <c r="L35" s="28">
        <f>+D35+H35+I35+J35</f>
        <v>535.77499999999998</v>
      </c>
      <c r="M35" s="54">
        <f>ROUND((L35-K35)/K35,4)</f>
        <v>9.2200000000000004E-2</v>
      </c>
      <c r="N35" s="28">
        <f t="shared" si="3"/>
        <v>-2.72</v>
      </c>
      <c r="O35" s="90">
        <f t="shared" si="4"/>
        <v>533.05499999999995</v>
      </c>
      <c r="P35" s="91">
        <f t="shared" si="5"/>
        <v>8.6699999999999999E-2</v>
      </c>
      <c r="U35" s="7">
        <f>$U$21</f>
        <v>85.224999999999994</v>
      </c>
      <c r="V35" s="6">
        <f>A35*$V$18</f>
        <v>349.28</v>
      </c>
      <c r="W35" s="6">
        <f>U35+V35</f>
        <v>434.505</v>
      </c>
      <c r="X35" s="6"/>
      <c r="Z35" s="7">
        <f>+$Z$21</f>
        <v>85.224999999999994</v>
      </c>
      <c r="AA35" s="6">
        <f>+$A35*AA$18</f>
        <v>403.15999999999997</v>
      </c>
      <c r="AB35" s="6">
        <f>Z35+AA35</f>
        <v>488.38499999999999</v>
      </c>
      <c r="AC35" s="84">
        <f>$AC$18*A35</f>
        <v>8.6418456101859658</v>
      </c>
      <c r="AD35" s="84">
        <f>$AD$18*A35</f>
        <v>-2.72</v>
      </c>
      <c r="AE35" s="6"/>
      <c r="AF35" s="6"/>
      <c r="AI35" s="84"/>
      <c r="AJ35" s="17"/>
      <c r="AK35" s="141"/>
      <c r="AL35" s="8"/>
    </row>
    <row r="37" spans="1:38" x14ac:dyDescent="0.25">
      <c r="A37" s="17" t="s">
        <v>301</v>
      </c>
    </row>
    <row r="38" spans="1:38" x14ac:dyDescent="0.25">
      <c r="A38" s="174" t="str">
        <f>("Average Usage = "&amp;TEXT(INPUT!$G$26*1,"0,000")&amp;" kWh per month")</f>
        <v>Average Usage = 2,547 kWh per month</v>
      </c>
    </row>
    <row r="39" spans="1:38" x14ac:dyDescent="0.25">
      <c r="A39" s="175" t="s">
        <v>302</v>
      </c>
    </row>
    <row r="40" spans="1:38" x14ac:dyDescent="0.25">
      <c r="A40" s="175" t="str">
        <f>+'Rate Case Constants'!$C$26</f>
        <v>Calculations may vary from other schedules due to rounding</v>
      </c>
    </row>
    <row r="41" spans="1:38" ht="12" customHeight="1" x14ac:dyDescent="0.25"/>
    <row r="42" spans="1:38" x14ac:dyDescent="0.25">
      <c r="A42" s="175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AL42"/>
  <sheetViews>
    <sheetView zoomScale="80" zoomScaleNormal="80" zoomScaleSheetLayoutView="80" workbookViewId="0">
      <selection sqref="A1:P1"/>
    </sheetView>
  </sheetViews>
  <sheetFormatPr defaultRowHeight="12.5" x14ac:dyDescent="0.25"/>
  <cols>
    <col min="1" max="1" width="10" customWidth="1"/>
    <col min="2" max="2" width="3.54296875" customWidth="1"/>
    <col min="3" max="3" width="10.54296875" customWidth="1"/>
    <col min="4" max="4" width="10.1796875" bestFit="1" customWidth="1"/>
    <col min="5" max="5" width="11.453125" bestFit="1" customWidth="1"/>
    <col min="6" max="6" width="12.1796875" bestFit="1" customWidth="1"/>
    <col min="7" max="7" width="8.81640625" bestFit="1" customWidth="1"/>
    <col min="8" max="8" width="10.7265625" bestFit="1" customWidth="1"/>
    <col min="9" max="9" width="10" bestFit="1" customWidth="1"/>
    <col min="10" max="10" width="10.7265625" customWidth="1"/>
    <col min="11" max="11" width="12.7265625" bestFit="1" customWidth="1"/>
    <col min="12" max="12" width="10.453125" bestFit="1" customWidth="1"/>
    <col min="13" max="14" width="9.26953125" bestFit="1" customWidth="1"/>
    <col min="15" max="15" width="10.1796875" bestFit="1" customWidth="1"/>
    <col min="16" max="16" width="9.36328125" customWidth="1"/>
    <col min="17" max="20" width="3.54296875" customWidth="1"/>
    <col min="21" max="21" width="11.81640625" customWidth="1"/>
    <col min="22" max="22" width="9.81640625" customWidth="1"/>
    <col min="23" max="24" width="9.54296875" customWidth="1"/>
    <col min="25" max="25" width="7.1796875" customWidth="1"/>
    <col min="26" max="26" width="11.54296875" customWidth="1"/>
    <col min="27" max="28" width="10.26953125" customWidth="1"/>
    <col min="29" max="29" width="11.453125" bestFit="1" customWidth="1"/>
    <col min="30" max="30" width="9" bestFit="1" customWidth="1"/>
    <col min="31" max="31" width="9.54296875" bestFit="1" customWidth="1"/>
    <col min="33" max="34" width="3" customWidth="1"/>
    <col min="36" max="36" width="2.7265625" customWidth="1"/>
  </cols>
  <sheetData>
    <row r="1" spans="1:38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8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8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38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8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8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38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38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+'Rate Case Constants'!L12</f>
        <v>PAGE 5 of 24</v>
      </c>
    </row>
    <row r="9" spans="1:38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197"/>
      <c r="O9" s="197"/>
      <c r="P9" s="197" t="str">
        <f>+'Rate Case Constants'!C36</f>
        <v>WITNESS:   R. M. CONROY</v>
      </c>
      <c r="U9" s="44" t="s">
        <v>609</v>
      </c>
    </row>
    <row r="10" spans="1:38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1"/>
      <c r="N10" s="201"/>
      <c r="O10" s="201"/>
      <c r="P10" s="201"/>
      <c r="U10" s="83" t="s">
        <v>68</v>
      </c>
      <c r="V10" s="2">
        <f>+INPUT!M69</f>
        <v>-1.3325035725608348E-3</v>
      </c>
    </row>
    <row r="11" spans="1:38" ht="13" x14ac:dyDescent="0.3">
      <c r="A11" s="124" t="s">
        <v>76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3" t="s">
        <v>70</v>
      </c>
      <c r="V11" s="2">
        <f>+INPUT!N69</f>
        <v>3.2820570701306236E-3</v>
      </c>
      <c r="W11" s="29"/>
      <c r="X11" s="29"/>
      <c r="Y11" s="29"/>
      <c r="Z11" s="32"/>
      <c r="AA11" s="29"/>
      <c r="AB11" s="29"/>
      <c r="AC11" s="29"/>
      <c r="AD11" s="29"/>
      <c r="AE11" s="29"/>
      <c r="AF11" s="29"/>
    </row>
    <row r="12" spans="1:38" ht="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3" t="s">
        <v>69</v>
      </c>
      <c r="V12" s="2">
        <f>+INPUT!O69</f>
        <v>9.8968076997186551E-3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8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29"/>
      <c r="R13" s="29"/>
      <c r="S13" s="29"/>
      <c r="T13" s="29"/>
      <c r="U13" s="29"/>
      <c r="V13" s="29"/>
      <c r="W13" s="29"/>
      <c r="Y13" s="29"/>
      <c r="Z13" s="29"/>
      <c r="AA13" s="29"/>
      <c r="AB13" s="29"/>
      <c r="AC13" s="29"/>
      <c r="AD13" s="29"/>
      <c r="AE13" s="29"/>
      <c r="AF13" s="29"/>
    </row>
    <row r="14" spans="1:38" ht="13" x14ac:dyDescent="0.3">
      <c r="C14" s="195" t="s">
        <v>313</v>
      </c>
      <c r="D14" s="195" t="s">
        <v>313</v>
      </c>
      <c r="E14" s="195" t="s">
        <v>69</v>
      </c>
      <c r="H14" s="17"/>
      <c r="I14" s="17"/>
      <c r="J14" s="17"/>
      <c r="K14" s="3" t="s">
        <v>5</v>
      </c>
      <c r="L14" s="3" t="s">
        <v>5</v>
      </c>
      <c r="N14" s="85" t="s">
        <v>592</v>
      </c>
      <c r="O14" s="85" t="s">
        <v>5</v>
      </c>
      <c r="P14" s="17"/>
      <c r="U14" s="46" t="s">
        <v>56</v>
      </c>
      <c r="V14" s="46"/>
      <c r="W14" s="46"/>
      <c r="X14" s="3"/>
      <c r="Z14" s="46" t="s">
        <v>57</v>
      </c>
      <c r="AA14" s="46"/>
      <c r="AB14" s="46"/>
      <c r="AC14" s="377" t="s">
        <v>609</v>
      </c>
      <c r="AD14" s="46"/>
      <c r="AE14" s="3"/>
      <c r="AF14" s="56"/>
    </row>
    <row r="15" spans="1:38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07" t="s">
        <v>245</v>
      </c>
      <c r="I15" s="407"/>
      <c r="J15" s="408"/>
      <c r="K15" s="3" t="s">
        <v>1</v>
      </c>
      <c r="L15" s="3" t="s">
        <v>71</v>
      </c>
      <c r="M15" s="3"/>
      <c r="N15" s="85" t="s">
        <v>593</v>
      </c>
      <c r="O15" s="85" t="s">
        <v>71</v>
      </c>
      <c r="P15" s="85"/>
      <c r="U15" s="25" t="s">
        <v>59</v>
      </c>
      <c r="V15" s="3"/>
      <c r="W15" s="25"/>
      <c r="X15" s="3"/>
      <c r="Z15" s="25" t="s">
        <v>59</v>
      </c>
      <c r="AA15" s="3"/>
      <c r="AB15" s="25"/>
      <c r="AC15" s="86"/>
      <c r="AD15" s="83" t="s">
        <v>592</v>
      </c>
      <c r="AE15" s="3"/>
      <c r="AF15" s="25"/>
    </row>
    <row r="16" spans="1:38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85" t="s">
        <v>70</v>
      </c>
      <c r="J16" s="85" t="s">
        <v>69</v>
      </c>
      <c r="K16" s="3" t="s">
        <v>4</v>
      </c>
      <c r="L16" s="3" t="s">
        <v>4</v>
      </c>
      <c r="M16" s="3" t="s">
        <v>72</v>
      </c>
      <c r="N16" s="85" t="s">
        <v>439</v>
      </c>
      <c r="O16" s="85" t="s">
        <v>443</v>
      </c>
      <c r="P16" s="85" t="s">
        <v>72</v>
      </c>
      <c r="Q16" s="3"/>
      <c r="R16" s="3"/>
      <c r="S16" s="3"/>
      <c r="T16" s="3"/>
      <c r="U16" s="25" t="s">
        <v>58</v>
      </c>
      <c r="V16" s="3" t="s">
        <v>53</v>
      </c>
      <c r="W16" s="25" t="s">
        <v>5</v>
      </c>
      <c r="X16" s="3"/>
      <c r="Z16" s="25" t="s">
        <v>58</v>
      </c>
      <c r="AA16" s="3" t="s">
        <v>53</v>
      </c>
      <c r="AB16" s="25" t="s">
        <v>5</v>
      </c>
      <c r="AC16" s="86" t="s">
        <v>69</v>
      </c>
      <c r="AD16" s="85" t="s">
        <v>593</v>
      </c>
      <c r="AE16" s="3"/>
      <c r="AF16" s="25"/>
      <c r="AH16" s="2"/>
      <c r="AI16" s="85"/>
      <c r="AJ16" s="85"/>
      <c r="AK16" s="85"/>
      <c r="AL16" s="3"/>
    </row>
    <row r="17" spans="1:38" ht="13" x14ac:dyDescent="0.3">
      <c r="A17" s="206" t="s">
        <v>46</v>
      </c>
      <c r="B17" s="206"/>
      <c r="C17" s="206"/>
      <c r="D17" s="206"/>
      <c r="E17" s="85"/>
      <c r="F17" s="206" t="s">
        <v>66</v>
      </c>
      <c r="G17" s="57" t="s">
        <v>67</v>
      </c>
      <c r="H17" s="207"/>
      <c r="I17" s="207"/>
      <c r="J17" s="208"/>
      <c r="K17" s="206" t="s">
        <v>66</v>
      </c>
      <c r="L17" s="206" t="s">
        <v>66</v>
      </c>
      <c r="M17" s="57" t="s">
        <v>67</v>
      </c>
      <c r="N17" s="86"/>
      <c r="O17" s="86" t="s">
        <v>439</v>
      </c>
      <c r="P17" s="86" t="s">
        <v>67</v>
      </c>
      <c r="Q17" s="3"/>
      <c r="R17" s="3"/>
      <c r="S17" s="3"/>
      <c r="T17" s="3"/>
      <c r="U17" s="183" t="s">
        <v>3</v>
      </c>
      <c r="V17" s="80" t="s">
        <v>3</v>
      </c>
      <c r="W17" s="183" t="s">
        <v>4</v>
      </c>
      <c r="X17" s="206"/>
      <c r="Z17" s="183" t="s">
        <v>3</v>
      </c>
      <c r="AA17" s="80" t="s">
        <v>3</v>
      </c>
      <c r="AB17" s="183" t="s">
        <v>4</v>
      </c>
      <c r="AC17" s="386" t="s">
        <v>471</v>
      </c>
      <c r="AD17" s="342" t="s">
        <v>439</v>
      </c>
      <c r="AE17" s="206"/>
      <c r="AF17" s="57"/>
      <c r="AH17" s="2"/>
      <c r="AI17" s="85"/>
      <c r="AJ17" s="85"/>
      <c r="AK17" s="85"/>
      <c r="AL17" s="3"/>
    </row>
    <row r="18" spans="1:38" ht="13" x14ac:dyDescent="0.3">
      <c r="A18" s="80"/>
      <c r="B18" s="80"/>
      <c r="C18" s="80"/>
      <c r="D18" s="80"/>
      <c r="E18" s="343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3"/>
      <c r="R18" s="3"/>
      <c r="S18" s="3"/>
      <c r="T18" s="3"/>
      <c r="U18" s="25"/>
      <c r="V18" s="31">
        <f>+INPUT!$H$6</f>
        <v>8.7319999999999995E-2</v>
      </c>
      <c r="W18" s="25"/>
      <c r="X18" s="40"/>
      <c r="Z18" s="25"/>
      <c r="AA18" s="31">
        <f>INPUT!$H$34</f>
        <v>0.10078999999999999</v>
      </c>
      <c r="AB18" s="25"/>
      <c r="AC18" s="86">
        <f>INPUT!Q69</f>
        <v>2.1604614025464916E-3</v>
      </c>
      <c r="AD18" s="86">
        <f>INPUT!H52</f>
        <v>-6.8000000000000005E-4</v>
      </c>
      <c r="AE18" s="40"/>
      <c r="AF18" s="25"/>
      <c r="AH18" s="2"/>
      <c r="AI18" s="85"/>
      <c r="AJ18" s="85"/>
      <c r="AK18" s="85"/>
      <c r="AL18" s="3"/>
    </row>
    <row r="19" spans="1:38" ht="13" x14ac:dyDescent="0.3">
      <c r="A19" s="3"/>
      <c r="B19" s="3"/>
      <c r="C19" s="3"/>
      <c r="D19" s="3"/>
      <c r="E19" s="85"/>
      <c r="F19" s="3"/>
      <c r="G19" s="3"/>
      <c r="H19" s="3"/>
      <c r="I19" s="3"/>
      <c r="J19" s="3"/>
      <c r="K19" s="3"/>
      <c r="L19" s="3"/>
      <c r="M19" s="3"/>
      <c r="N19" s="85"/>
      <c r="O19" s="85"/>
      <c r="P19" s="85"/>
      <c r="Q19" s="3"/>
      <c r="R19" s="3"/>
      <c r="S19" s="3"/>
      <c r="T19" s="3"/>
      <c r="U19" s="25"/>
      <c r="V19" s="3" t="s">
        <v>11</v>
      </c>
      <c r="W19" s="25"/>
      <c r="X19" s="3"/>
      <c r="Z19" s="25"/>
      <c r="AA19" s="3" t="s">
        <v>11</v>
      </c>
      <c r="AB19" s="25"/>
      <c r="AC19" s="86" t="s">
        <v>11</v>
      </c>
      <c r="AD19" s="86" t="s">
        <v>11</v>
      </c>
      <c r="AE19" s="3"/>
      <c r="AF19" s="25"/>
      <c r="AH19" s="2"/>
      <c r="AI19" s="85"/>
      <c r="AJ19" s="85"/>
      <c r="AK19" s="85"/>
      <c r="AL19" s="3"/>
    </row>
    <row r="20" spans="1:38" ht="13" x14ac:dyDescent="0.3">
      <c r="A20" s="3"/>
      <c r="B20" s="3"/>
      <c r="C20" s="3"/>
      <c r="D20" s="3"/>
      <c r="E20" s="85"/>
      <c r="F20" s="3"/>
      <c r="G20" s="3"/>
      <c r="H20" s="3"/>
      <c r="I20" s="3"/>
      <c r="J20" s="3"/>
      <c r="K20" s="3"/>
      <c r="L20" s="3"/>
      <c r="M20" s="3"/>
      <c r="N20" s="85"/>
      <c r="O20" s="85"/>
      <c r="P20" s="85"/>
      <c r="Q20" s="3"/>
      <c r="R20" s="3"/>
      <c r="S20" s="3"/>
      <c r="T20" s="3"/>
      <c r="V20" s="3"/>
      <c r="W20" s="3"/>
      <c r="X20" s="3"/>
      <c r="AA20" s="3"/>
      <c r="AB20" s="3"/>
      <c r="AC20" s="85"/>
      <c r="AD20" s="85"/>
      <c r="AE20" s="3"/>
      <c r="AF20" s="3"/>
      <c r="AI20" s="17"/>
      <c r="AJ20" s="17"/>
      <c r="AK20" s="17"/>
    </row>
    <row r="21" spans="1:38" x14ac:dyDescent="0.25">
      <c r="A21" s="1">
        <v>5000</v>
      </c>
      <c r="C21" s="90">
        <f>+W21</f>
        <v>576.61249999999995</v>
      </c>
      <c r="D21" s="90">
        <f>+AB21</f>
        <v>643.96249999999986</v>
      </c>
      <c r="E21" s="90">
        <f>AC21</f>
        <v>10.802307012732458</v>
      </c>
      <c r="F21" s="90">
        <f>+D21-(E21+C21)</f>
        <v>56.547692987267396</v>
      </c>
      <c r="G21" s="54">
        <f>ROUND(+F21/C21,4)</f>
        <v>9.8100000000000007E-2</v>
      </c>
      <c r="H21" s="90">
        <f>ROUND($V$10*$A21,2)</f>
        <v>-6.66</v>
      </c>
      <c r="I21" s="90">
        <f>ROUND($V$11*$A21,2)</f>
        <v>16.41</v>
      </c>
      <c r="J21" s="90">
        <f>ROUND($V$12*$A21,2)</f>
        <v>49.48</v>
      </c>
      <c r="K21" s="28">
        <f>+C21+E21+H21+I21+J21</f>
        <v>646.64480701273249</v>
      </c>
      <c r="L21" s="28">
        <f>+D21+H21+I21+J21</f>
        <v>703.19249999999988</v>
      </c>
      <c r="M21" s="54">
        <f>ROUND((L21-K21)/K21,4)</f>
        <v>8.7400000000000005E-2</v>
      </c>
      <c r="N21" s="90">
        <f>AD21</f>
        <v>-3.4000000000000004</v>
      </c>
      <c r="O21" s="90">
        <f>L21+N21</f>
        <v>699.7924999999999</v>
      </c>
      <c r="P21" s="91">
        <f>ROUND((O21-K21)/K21,4)</f>
        <v>8.2199999999999995E-2</v>
      </c>
      <c r="U21" s="7">
        <f>+INPUT!$H$4</f>
        <v>140.01249999999999</v>
      </c>
      <c r="V21" s="6">
        <f>A21*$V$18</f>
        <v>436.59999999999997</v>
      </c>
      <c r="W21" s="6">
        <f>U21+V21</f>
        <v>576.61249999999995</v>
      </c>
      <c r="X21" s="6"/>
      <c r="Z21" s="7">
        <f>INPUT!$H$32</f>
        <v>140.01249999999999</v>
      </c>
      <c r="AA21" s="6">
        <f>+$A21*AA$18</f>
        <v>503.94999999999993</v>
      </c>
      <c r="AB21" s="6">
        <f>Z21+AA21</f>
        <v>643.96249999999986</v>
      </c>
      <c r="AC21" s="84">
        <f>$AC$18*A21</f>
        <v>10.802307012732458</v>
      </c>
      <c r="AD21" s="84">
        <f>$AD$18*A21</f>
        <v>-3.4000000000000004</v>
      </c>
      <c r="AE21" s="6"/>
      <c r="AF21" s="6"/>
      <c r="AI21" s="84"/>
      <c r="AJ21" s="17"/>
      <c r="AK21" s="141"/>
      <c r="AL21" s="8"/>
    </row>
    <row r="22" spans="1:38" x14ac:dyDescent="0.25">
      <c r="F22" s="90"/>
      <c r="K22" s="28"/>
      <c r="O22" s="17"/>
      <c r="P22" s="17"/>
      <c r="U22" s="7"/>
      <c r="V22" s="6"/>
      <c r="W22" s="6"/>
      <c r="X22" s="6"/>
      <c r="Z22" s="7"/>
      <c r="AA22" s="6"/>
      <c r="AB22" s="6"/>
      <c r="AC22" s="84"/>
      <c r="AD22" s="84"/>
      <c r="AE22" s="6"/>
      <c r="AF22" s="6"/>
      <c r="AI22" s="17"/>
      <c r="AJ22" s="17"/>
      <c r="AK22" s="141"/>
      <c r="AL22" s="8"/>
    </row>
    <row r="23" spans="1:38" x14ac:dyDescent="0.25">
      <c r="A23" s="1">
        <v>10000</v>
      </c>
      <c r="C23" s="90">
        <f>+W23</f>
        <v>1013.2124999999999</v>
      </c>
      <c r="D23" s="90">
        <f>+AB23</f>
        <v>1147.9124999999999</v>
      </c>
      <c r="E23" s="90">
        <f t="shared" ref="E23:E35" si="0">AC23</f>
        <v>21.604614025464915</v>
      </c>
      <c r="F23" s="90">
        <f t="shared" ref="F23:F35" si="1">+D23-(E23+C23)</f>
        <v>113.09538597453502</v>
      </c>
      <c r="G23" s="54">
        <f>ROUND(+F23/C23,4)</f>
        <v>0.1116</v>
      </c>
      <c r="H23" s="90">
        <f>ROUND($V$10*$A23,2)</f>
        <v>-13.33</v>
      </c>
      <c r="I23" s="90">
        <f>ROUND($V$11*$A23,2)</f>
        <v>32.82</v>
      </c>
      <c r="J23" s="90">
        <f>ROUND($V$12*$A23,2)</f>
        <v>98.97</v>
      </c>
      <c r="K23" s="28">
        <f t="shared" ref="K23:K35" si="2">+C23+E23+H23+I23+J23</f>
        <v>1153.2771140254649</v>
      </c>
      <c r="L23" s="28">
        <f>+D23+H23+I23+J23</f>
        <v>1266.3724999999999</v>
      </c>
      <c r="M23" s="54">
        <f>ROUND((L23-K23)/K23,4)</f>
        <v>9.8100000000000007E-2</v>
      </c>
      <c r="N23" s="90">
        <f t="shared" ref="N23:N35" si="3">AD23</f>
        <v>-6.8000000000000007</v>
      </c>
      <c r="O23" s="90">
        <f t="shared" ref="O23:O35" si="4">L23+N23</f>
        <v>1259.5725</v>
      </c>
      <c r="P23" s="91">
        <f t="shared" ref="P23:P35" si="5">ROUND((O23-K23)/K23,4)</f>
        <v>9.2200000000000004E-2</v>
      </c>
      <c r="U23" s="7">
        <f>$U$21</f>
        <v>140.01249999999999</v>
      </c>
      <c r="V23" s="6">
        <f>A23*$V$18</f>
        <v>873.19999999999993</v>
      </c>
      <c r="W23" s="6">
        <f>U23+V23</f>
        <v>1013.2124999999999</v>
      </c>
      <c r="X23" s="6"/>
      <c r="Z23" s="7">
        <f>+$Z$21</f>
        <v>140.01249999999999</v>
      </c>
      <c r="AA23" s="6">
        <f>+$A23*AA$18</f>
        <v>1007.8999999999999</v>
      </c>
      <c r="AB23" s="6">
        <f>Z23+AA23</f>
        <v>1147.9124999999999</v>
      </c>
      <c r="AC23" s="84">
        <f t="shared" ref="AC23:AC33" si="6">$AC$18*A23</f>
        <v>21.604614025464915</v>
      </c>
      <c r="AD23" s="84">
        <f t="shared" ref="AD23:AD33" si="7">$AD$18*A23</f>
        <v>-6.8000000000000007</v>
      </c>
      <c r="AE23" s="6"/>
      <c r="AF23" s="6"/>
      <c r="AI23" s="84"/>
      <c r="AJ23" s="17"/>
      <c r="AK23" s="141"/>
      <c r="AL23" s="8"/>
    </row>
    <row r="24" spans="1:38" x14ac:dyDescent="0.25">
      <c r="C24" s="28"/>
      <c r="D24" s="28"/>
      <c r="E24" s="28"/>
      <c r="F24" s="90"/>
      <c r="G24" s="54"/>
      <c r="H24" s="28"/>
      <c r="I24" s="28"/>
      <c r="J24" s="28"/>
      <c r="K24" s="28"/>
      <c r="L24" s="28"/>
      <c r="M24" s="54"/>
      <c r="N24" s="28"/>
      <c r="O24" s="90"/>
      <c r="P24" s="91"/>
      <c r="U24" s="55"/>
      <c r="V24" s="6"/>
      <c r="W24" s="6"/>
      <c r="X24" s="6"/>
      <c r="Z24" s="7"/>
      <c r="AA24" s="6"/>
      <c r="AB24" s="6"/>
      <c r="AC24" s="84"/>
      <c r="AD24" s="84"/>
      <c r="AE24" s="6"/>
      <c r="AF24" s="6"/>
      <c r="AI24" s="17"/>
      <c r="AJ24" s="17"/>
      <c r="AK24" s="143"/>
      <c r="AL24" s="26"/>
    </row>
    <row r="25" spans="1:38" s="10" customFormat="1" x14ac:dyDescent="0.25">
      <c r="A25" s="14">
        <v>20000</v>
      </c>
      <c r="B25"/>
      <c r="C25" s="90">
        <f>+W25</f>
        <v>1886.4124999999999</v>
      </c>
      <c r="D25" s="90">
        <f>+AB25</f>
        <v>2155.8124999999995</v>
      </c>
      <c r="E25" s="90">
        <f t="shared" si="0"/>
        <v>43.209228050929831</v>
      </c>
      <c r="F25" s="90">
        <f t="shared" si="1"/>
        <v>226.19077194906981</v>
      </c>
      <c r="G25" s="54">
        <f>ROUND(+F25/C25,4)</f>
        <v>0.11990000000000001</v>
      </c>
      <c r="H25" s="90">
        <f>ROUND($V$10*$A25,2)</f>
        <v>-26.65</v>
      </c>
      <c r="I25" s="90">
        <f>ROUND($V$11*$A25,2)</f>
        <v>65.64</v>
      </c>
      <c r="J25" s="90">
        <f>ROUND($V$12*$A25,2)</f>
        <v>197.94</v>
      </c>
      <c r="K25" s="28">
        <f t="shared" si="2"/>
        <v>2166.5517280509298</v>
      </c>
      <c r="L25" s="28">
        <f>+D25+H25+I25+J25</f>
        <v>2392.7424999999994</v>
      </c>
      <c r="M25" s="54">
        <f>ROUND((L25-K25)/K25,4)</f>
        <v>0.10440000000000001</v>
      </c>
      <c r="N25" s="90">
        <f t="shared" si="3"/>
        <v>-13.600000000000001</v>
      </c>
      <c r="O25" s="90">
        <f t="shared" si="4"/>
        <v>2379.1424999999995</v>
      </c>
      <c r="P25" s="91">
        <f t="shared" si="5"/>
        <v>9.8100000000000007E-2</v>
      </c>
      <c r="U25" s="55">
        <f>$U$21</f>
        <v>140.01249999999999</v>
      </c>
      <c r="V25" s="6">
        <f>A25*$V$18</f>
        <v>1746.3999999999999</v>
      </c>
      <c r="W25" s="11">
        <f>U25+V25</f>
        <v>1886.4124999999999</v>
      </c>
      <c r="X25" s="6"/>
      <c r="Z25" s="7">
        <f>+$Z$21</f>
        <v>140.01249999999999</v>
      </c>
      <c r="AA25" s="6">
        <f>+$A25*AA$18</f>
        <v>2015.7999999999997</v>
      </c>
      <c r="AB25" s="11">
        <f>Z25+AA25</f>
        <v>2155.8124999999995</v>
      </c>
      <c r="AC25" s="84">
        <f t="shared" si="6"/>
        <v>43.209228050929831</v>
      </c>
      <c r="AD25" s="84">
        <f t="shared" si="7"/>
        <v>-13.600000000000001</v>
      </c>
      <c r="AE25" s="6"/>
      <c r="AF25" s="11"/>
      <c r="AI25" s="145"/>
      <c r="AJ25" s="144"/>
      <c r="AK25" s="143"/>
      <c r="AL25" s="26"/>
    </row>
    <row r="26" spans="1:38" x14ac:dyDescent="0.25">
      <c r="F26" s="90"/>
      <c r="K26" s="28"/>
      <c r="O26" s="17"/>
      <c r="P26" s="17"/>
      <c r="U26" s="7"/>
      <c r="V26" s="6"/>
      <c r="W26" s="6"/>
      <c r="X26" s="6"/>
      <c r="Z26" s="7"/>
      <c r="AA26" s="6"/>
      <c r="AB26" s="6"/>
      <c r="AC26" s="84"/>
      <c r="AD26" s="84"/>
      <c r="AE26" s="6"/>
      <c r="AF26" s="6"/>
      <c r="AI26" s="17"/>
      <c r="AJ26" s="17"/>
      <c r="AK26" s="141"/>
      <c r="AL26" s="8"/>
    </row>
    <row r="27" spans="1:38" x14ac:dyDescent="0.25">
      <c r="A27" s="1">
        <v>30000</v>
      </c>
      <c r="C27" s="90">
        <f>+W27</f>
        <v>2759.6124999999997</v>
      </c>
      <c r="D27" s="90">
        <f>+AB27</f>
        <v>3163.7124999999996</v>
      </c>
      <c r="E27" s="90">
        <f t="shared" si="0"/>
        <v>64.813842076394749</v>
      </c>
      <c r="F27" s="90">
        <f t="shared" si="1"/>
        <v>339.28615792360506</v>
      </c>
      <c r="G27" s="54">
        <f>ROUND(+F27/C27,4)</f>
        <v>0.1229</v>
      </c>
      <c r="H27" s="90">
        <f>ROUND($V$10*$A27,2)</f>
        <v>-39.979999999999997</v>
      </c>
      <c r="I27" s="90">
        <f>ROUND($V$11*$A27,2)</f>
        <v>98.46</v>
      </c>
      <c r="J27" s="90">
        <f>ROUND($V$12*$A27,2)</f>
        <v>296.89999999999998</v>
      </c>
      <c r="K27" s="28">
        <f t="shared" si="2"/>
        <v>3179.8063420763947</v>
      </c>
      <c r="L27" s="28">
        <f>+D27+H27+I27+J27</f>
        <v>3519.0924999999997</v>
      </c>
      <c r="M27" s="54">
        <f>ROUND((L27-K27)/K27,4)</f>
        <v>0.1067</v>
      </c>
      <c r="N27" s="90">
        <f t="shared" si="3"/>
        <v>-20.400000000000002</v>
      </c>
      <c r="O27" s="90">
        <f t="shared" si="4"/>
        <v>3498.6924999999997</v>
      </c>
      <c r="P27" s="91">
        <f t="shared" si="5"/>
        <v>0.1003</v>
      </c>
      <c r="U27" s="7">
        <f>$U$21</f>
        <v>140.01249999999999</v>
      </c>
      <c r="V27" s="6">
        <f>A27*$V$18</f>
        <v>2619.6</v>
      </c>
      <c r="W27" s="6">
        <f>U27+V27</f>
        <v>2759.6124999999997</v>
      </c>
      <c r="X27" s="6"/>
      <c r="Z27" s="7">
        <f>+$Z$21</f>
        <v>140.01249999999999</v>
      </c>
      <c r="AA27" s="6">
        <f>+$A27*AA$18</f>
        <v>3023.7</v>
      </c>
      <c r="AB27" s="6">
        <f>Z27+AA27</f>
        <v>3163.7124999999996</v>
      </c>
      <c r="AC27" s="84">
        <f t="shared" si="6"/>
        <v>64.813842076394749</v>
      </c>
      <c r="AD27" s="84">
        <f t="shared" si="7"/>
        <v>-20.400000000000002</v>
      </c>
      <c r="AE27" s="6"/>
      <c r="AF27" s="6"/>
      <c r="AI27" s="84"/>
      <c r="AJ27" s="17"/>
      <c r="AK27" s="141"/>
      <c r="AL27" s="8"/>
    </row>
    <row r="28" spans="1:38" x14ac:dyDescent="0.25">
      <c r="F28" s="90"/>
      <c r="K28" s="28"/>
      <c r="O28" s="17"/>
      <c r="P28" s="17"/>
      <c r="U28" s="7"/>
      <c r="V28" s="6"/>
      <c r="W28" s="6"/>
      <c r="X28" s="6"/>
      <c r="Z28" s="7"/>
      <c r="AA28" s="6"/>
      <c r="AB28" s="6"/>
      <c r="AC28" s="84"/>
      <c r="AD28" s="84"/>
      <c r="AE28" s="6"/>
      <c r="AF28" s="6"/>
      <c r="AI28" s="17"/>
      <c r="AJ28" s="17"/>
      <c r="AK28" s="141"/>
      <c r="AL28" s="8"/>
    </row>
    <row r="29" spans="1:38" x14ac:dyDescent="0.25">
      <c r="A29" s="1">
        <v>40000</v>
      </c>
      <c r="C29" s="90">
        <f>+W29</f>
        <v>3632.8124999999995</v>
      </c>
      <c r="D29" s="90">
        <f>+AB29</f>
        <v>4171.6124999999993</v>
      </c>
      <c r="E29" s="90">
        <f t="shared" si="0"/>
        <v>86.418456101859661</v>
      </c>
      <c r="F29" s="90">
        <f t="shared" si="1"/>
        <v>452.38154389814008</v>
      </c>
      <c r="G29" s="54">
        <f>ROUND(+F29/C29,4)</f>
        <v>0.1245</v>
      </c>
      <c r="H29" s="90">
        <f>ROUND($V$10*$A29,2)</f>
        <v>-53.3</v>
      </c>
      <c r="I29" s="90">
        <f>ROUND($V$11*$A29,2)</f>
        <v>131.28</v>
      </c>
      <c r="J29" s="90">
        <f>ROUND($V$12*$A29,2)</f>
        <v>395.87</v>
      </c>
      <c r="K29" s="28">
        <f t="shared" si="2"/>
        <v>4193.0809561018596</v>
      </c>
      <c r="L29" s="28">
        <f>+D29+H29+I29+J29</f>
        <v>4645.4624999999987</v>
      </c>
      <c r="M29" s="54">
        <f>ROUND((L29-K29)/K29,4)</f>
        <v>0.1079</v>
      </c>
      <c r="N29" s="90">
        <f t="shared" si="3"/>
        <v>-27.200000000000003</v>
      </c>
      <c r="O29" s="90">
        <f t="shared" si="4"/>
        <v>4618.2624999999989</v>
      </c>
      <c r="P29" s="91">
        <f t="shared" si="5"/>
        <v>0.1014</v>
      </c>
      <c r="U29" s="7">
        <f>$U$21</f>
        <v>140.01249999999999</v>
      </c>
      <c r="V29" s="6">
        <f>A29*$V$18</f>
        <v>3492.7999999999997</v>
      </c>
      <c r="W29" s="6">
        <f>U29+V29</f>
        <v>3632.8124999999995</v>
      </c>
      <c r="X29" s="6"/>
      <c r="Z29" s="7">
        <f>+$Z$21</f>
        <v>140.01249999999999</v>
      </c>
      <c r="AA29" s="6">
        <f>+$A29*AA$18</f>
        <v>4031.5999999999995</v>
      </c>
      <c r="AB29" s="6">
        <f>Z29+AA29</f>
        <v>4171.6124999999993</v>
      </c>
      <c r="AC29" s="84">
        <f t="shared" si="6"/>
        <v>86.418456101859661</v>
      </c>
      <c r="AD29" s="84">
        <f t="shared" si="7"/>
        <v>-27.200000000000003</v>
      </c>
      <c r="AE29" s="6"/>
      <c r="AF29" s="6"/>
      <c r="AI29" s="84"/>
      <c r="AJ29" s="17"/>
      <c r="AK29" s="141"/>
      <c r="AL29" s="8"/>
    </row>
    <row r="30" spans="1:38" x14ac:dyDescent="0.25">
      <c r="A30" s="1"/>
      <c r="F30" s="90"/>
      <c r="K30" s="28"/>
      <c r="O30" s="17"/>
      <c r="P30" s="17"/>
      <c r="U30" s="7"/>
      <c r="V30" s="6"/>
      <c r="W30" s="6"/>
      <c r="X30" s="6"/>
      <c r="Z30" s="7"/>
      <c r="AA30" s="6"/>
      <c r="AB30" s="6"/>
      <c r="AC30" s="84"/>
      <c r="AD30" s="84"/>
      <c r="AE30" s="6"/>
      <c r="AF30" s="6"/>
      <c r="AI30" s="17"/>
      <c r="AJ30" s="17"/>
      <c r="AK30" s="141"/>
      <c r="AL30" s="8"/>
    </row>
    <row r="31" spans="1:38" x14ac:dyDescent="0.25">
      <c r="A31" s="1">
        <v>50000</v>
      </c>
      <c r="C31" s="90">
        <f>+W31</f>
        <v>4506.0124999999998</v>
      </c>
      <c r="D31" s="90">
        <f>+AB31</f>
        <v>5179.5124999999989</v>
      </c>
      <c r="E31" s="90">
        <f t="shared" si="0"/>
        <v>108.02307012732459</v>
      </c>
      <c r="F31" s="90">
        <f t="shared" si="1"/>
        <v>565.47692987267419</v>
      </c>
      <c r="G31" s="54">
        <f>ROUND(+F31/C31,4)</f>
        <v>0.1255</v>
      </c>
      <c r="H31" s="90">
        <f>ROUND($V$10*$A31,2)</f>
        <v>-66.63</v>
      </c>
      <c r="I31" s="90">
        <f>ROUND($V$11*$A31,2)</f>
        <v>164.1</v>
      </c>
      <c r="J31" s="90">
        <f>ROUND($V$12*$A31,2)</f>
        <v>494.84</v>
      </c>
      <c r="K31" s="28">
        <f t="shared" si="2"/>
        <v>5206.3455701273251</v>
      </c>
      <c r="L31" s="28">
        <f>+D31+H31+I31+J31</f>
        <v>5771.8224999999993</v>
      </c>
      <c r="M31" s="54">
        <f>ROUND((L31-K31)/K31,4)</f>
        <v>0.1086</v>
      </c>
      <c r="N31" s="90">
        <f t="shared" si="3"/>
        <v>-34</v>
      </c>
      <c r="O31" s="90">
        <f t="shared" si="4"/>
        <v>5737.8224999999993</v>
      </c>
      <c r="P31" s="91">
        <f t="shared" si="5"/>
        <v>0.1021</v>
      </c>
      <c r="U31" s="7">
        <f>$U$21</f>
        <v>140.01249999999999</v>
      </c>
      <c r="V31" s="6">
        <f>A31*$V$18</f>
        <v>4366</v>
      </c>
      <c r="W31" s="6">
        <f>U31+V31</f>
        <v>4506.0124999999998</v>
      </c>
      <c r="X31" s="6"/>
      <c r="Z31" s="7">
        <f>+$Z$21</f>
        <v>140.01249999999999</v>
      </c>
      <c r="AA31" s="6">
        <f>+$A31*AA$18</f>
        <v>5039.4999999999991</v>
      </c>
      <c r="AB31" s="6">
        <f>Z31+AA31</f>
        <v>5179.5124999999989</v>
      </c>
      <c r="AC31" s="84">
        <f t="shared" si="6"/>
        <v>108.02307012732459</v>
      </c>
      <c r="AD31" s="84">
        <f t="shared" si="7"/>
        <v>-34</v>
      </c>
      <c r="AE31" s="6"/>
      <c r="AF31" s="6"/>
      <c r="AI31" s="84"/>
      <c r="AJ31" s="17"/>
      <c r="AK31" s="141"/>
      <c r="AL31" s="8"/>
    </row>
    <row r="32" spans="1:38" x14ac:dyDescent="0.25">
      <c r="F32" s="90"/>
      <c r="K32" s="28"/>
      <c r="O32" s="17"/>
      <c r="P32" s="17"/>
      <c r="U32" s="7"/>
      <c r="V32" s="6"/>
      <c r="W32" s="6"/>
      <c r="X32" s="6"/>
      <c r="Z32" s="7"/>
      <c r="AA32" s="6"/>
      <c r="AB32" s="6"/>
      <c r="AC32" s="84"/>
      <c r="AD32" s="84"/>
      <c r="AE32" s="6"/>
      <c r="AF32" s="6"/>
      <c r="AI32" s="17"/>
      <c r="AJ32" s="17"/>
      <c r="AK32" s="141"/>
      <c r="AL32" s="8"/>
    </row>
    <row r="33" spans="1:38" x14ac:dyDescent="0.25">
      <c r="A33" s="1">
        <v>60000</v>
      </c>
      <c r="C33" s="90">
        <f>+W33</f>
        <v>5379.2124999999996</v>
      </c>
      <c r="D33" s="90">
        <f>+AB33</f>
        <v>6187.4124999999995</v>
      </c>
      <c r="E33" s="90">
        <f t="shared" si="0"/>
        <v>129.6276841527895</v>
      </c>
      <c r="F33" s="90">
        <f t="shared" si="1"/>
        <v>678.57231584721012</v>
      </c>
      <c r="G33" s="54">
        <f>ROUND(+F33/C33,4)</f>
        <v>0.12609999999999999</v>
      </c>
      <c r="H33" s="90">
        <f>ROUND($V$10*$A33,2)</f>
        <v>-79.95</v>
      </c>
      <c r="I33" s="90">
        <f>ROUND($V$11*$A33,2)</f>
        <v>196.92</v>
      </c>
      <c r="J33" s="90">
        <f>ROUND($V$12*$A33,2)</f>
        <v>593.80999999999995</v>
      </c>
      <c r="K33" s="28">
        <f t="shared" si="2"/>
        <v>6219.6201841527891</v>
      </c>
      <c r="L33" s="28">
        <f>+D33+H33+I33+J33</f>
        <v>6898.1924999999992</v>
      </c>
      <c r="M33" s="54">
        <f>ROUND((L33-K33)/K33,4)</f>
        <v>0.1091</v>
      </c>
      <c r="N33" s="90">
        <f t="shared" si="3"/>
        <v>-40.800000000000004</v>
      </c>
      <c r="O33" s="90">
        <f t="shared" si="4"/>
        <v>6857.392499999999</v>
      </c>
      <c r="P33" s="91">
        <f t="shared" si="5"/>
        <v>0.10249999999999999</v>
      </c>
      <c r="U33" s="7">
        <f>$U$21</f>
        <v>140.01249999999999</v>
      </c>
      <c r="V33" s="6">
        <f>A33*$V$18</f>
        <v>5239.2</v>
      </c>
      <c r="W33" s="6">
        <f>U33+V33</f>
        <v>5379.2124999999996</v>
      </c>
      <c r="X33" s="6"/>
      <c r="Z33" s="7">
        <f>+$Z$21</f>
        <v>140.01249999999999</v>
      </c>
      <c r="AA33" s="6">
        <f>+$A33*AA$18</f>
        <v>6047.4</v>
      </c>
      <c r="AB33" s="6">
        <f>Z33+AA33</f>
        <v>6187.4124999999995</v>
      </c>
      <c r="AC33" s="84">
        <f t="shared" si="6"/>
        <v>129.6276841527895</v>
      </c>
      <c r="AD33" s="84">
        <f t="shared" si="7"/>
        <v>-40.800000000000004</v>
      </c>
      <c r="AE33" s="6"/>
      <c r="AF33" s="6"/>
      <c r="AI33" s="84"/>
      <c r="AJ33" s="17"/>
      <c r="AK33" s="141"/>
      <c r="AL33" s="8"/>
    </row>
    <row r="34" spans="1:38" x14ac:dyDescent="0.25">
      <c r="F34" s="90"/>
      <c r="K34" s="28"/>
      <c r="O34" s="17"/>
      <c r="P34" s="17"/>
      <c r="U34" s="7"/>
      <c r="V34" s="6"/>
      <c r="W34" s="6"/>
      <c r="X34" s="6"/>
      <c r="Z34" s="7"/>
      <c r="AA34" s="6"/>
      <c r="AB34" s="6"/>
      <c r="AC34" s="84"/>
      <c r="AD34" s="84"/>
      <c r="AE34" s="6"/>
      <c r="AF34" s="6"/>
      <c r="AK34" s="8"/>
      <c r="AL34" s="8"/>
    </row>
    <row r="35" spans="1:38" x14ac:dyDescent="0.25">
      <c r="A35" s="1">
        <v>70000</v>
      </c>
      <c r="C35" s="90">
        <f>+W35</f>
        <v>6252.4124999999995</v>
      </c>
      <c r="D35" s="90">
        <f>+AB35</f>
        <v>7195.3124999999991</v>
      </c>
      <c r="E35" s="90">
        <f t="shared" si="0"/>
        <v>151.23229817825441</v>
      </c>
      <c r="F35" s="90">
        <f t="shared" si="1"/>
        <v>791.66770182174514</v>
      </c>
      <c r="G35" s="54">
        <f>ROUND(+F35/C35,4)</f>
        <v>0.12659999999999999</v>
      </c>
      <c r="H35" s="90">
        <f>ROUND($V$10*$A35,2)</f>
        <v>-93.28</v>
      </c>
      <c r="I35" s="90">
        <f>ROUND($V$11*$A35,2)</f>
        <v>229.74</v>
      </c>
      <c r="J35" s="90">
        <f>ROUND($V$12*$A35,2)</f>
        <v>692.78</v>
      </c>
      <c r="K35" s="28">
        <f t="shared" si="2"/>
        <v>7232.8847981782537</v>
      </c>
      <c r="L35" s="28">
        <f>+D35+H35+I35+J35</f>
        <v>8024.5524999999989</v>
      </c>
      <c r="M35" s="54">
        <f>ROUND((L35-K35)/K35,4)</f>
        <v>0.1095</v>
      </c>
      <c r="N35" s="90">
        <f t="shared" si="3"/>
        <v>-47.6</v>
      </c>
      <c r="O35" s="90">
        <f t="shared" si="4"/>
        <v>7976.9524999999985</v>
      </c>
      <c r="P35" s="91">
        <f t="shared" si="5"/>
        <v>0.10290000000000001</v>
      </c>
      <c r="U35" s="7">
        <f>$U$21</f>
        <v>140.01249999999999</v>
      </c>
      <c r="V35" s="6">
        <f>A35*$V$18</f>
        <v>6112.4</v>
      </c>
      <c r="W35" s="6">
        <f>U35+V35</f>
        <v>6252.4124999999995</v>
      </c>
      <c r="X35" s="6"/>
      <c r="Z35" s="7">
        <f>+$Z$21</f>
        <v>140.01249999999999</v>
      </c>
      <c r="AA35" s="6">
        <f>+$A35*AA$18</f>
        <v>7055.2999999999993</v>
      </c>
      <c r="AB35" s="6">
        <f>Z35+AA35</f>
        <v>7195.3124999999991</v>
      </c>
      <c r="AC35" s="84">
        <f>$AC$18*A35</f>
        <v>151.23229817825441</v>
      </c>
      <c r="AD35" s="84">
        <f>$AD$18*A35</f>
        <v>-47.6</v>
      </c>
      <c r="AE35" s="6"/>
      <c r="AF35" s="6"/>
      <c r="AK35" s="8"/>
      <c r="AL35" s="8"/>
    </row>
    <row r="36" spans="1:38" x14ac:dyDescent="0.25">
      <c r="U36" s="7"/>
      <c r="V36" s="6"/>
      <c r="W36" s="6"/>
      <c r="X36" s="6"/>
      <c r="Z36" s="7"/>
      <c r="AA36" s="6"/>
      <c r="AB36" s="6"/>
      <c r="AC36" s="6"/>
      <c r="AD36" s="6"/>
      <c r="AE36" s="6"/>
      <c r="AF36" s="6"/>
      <c r="AK36" s="8"/>
      <c r="AL36" s="8"/>
    </row>
    <row r="37" spans="1:38" x14ac:dyDescent="0.25">
      <c r="A37" s="17" t="s">
        <v>301</v>
      </c>
    </row>
    <row r="38" spans="1:38" x14ac:dyDescent="0.25">
      <c r="A38" s="174" t="str">
        <f>("Average Usage = "&amp;TEXT(INPUT!$H$26*1,"0,000")&amp;" kWh per month")</f>
        <v>Average Usage = 43,135 kWh per month</v>
      </c>
    </row>
    <row r="39" spans="1:38" x14ac:dyDescent="0.25">
      <c r="A39" s="175" t="s">
        <v>302</v>
      </c>
    </row>
    <row r="40" spans="1:38" x14ac:dyDescent="0.25">
      <c r="A40" s="175" t="str">
        <f>+'Rate Case Constants'!$C$26</f>
        <v>Calculations may vary from other schedules due to rounding</v>
      </c>
    </row>
    <row r="41" spans="1:38" ht="12" customHeight="1" x14ac:dyDescent="0.25"/>
    <row r="42" spans="1:38" x14ac:dyDescent="0.25">
      <c r="A42" s="175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AL42"/>
  <sheetViews>
    <sheetView zoomScale="80" zoomScaleNormal="80" zoomScaleSheetLayoutView="80" workbookViewId="0">
      <selection sqref="A1:P1"/>
    </sheetView>
  </sheetViews>
  <sheetFormatPr defaultRowHeight="12.5" x14ac:dyDescent="0.25"/>
  <cols>
    <col min="1" max="1" width="10" customWidth="1"/>
    <col min="2" max="2" width="3.54296875" customWidth="1"/>
    <col min="3" max="4" width="10.1796875" bestFit="1" customWidth="1"/>
    <col min="5" max="5" width="11.453125" bestFit="1" customWidth="1"/>
    <col min="6" max="6" width="12.1796875" bestFit="1" customWidth="1"/>
    <col min="7" max="7" width="9.26953125" bestFit="1" customWidth="1"/>
    <col min="8" max="8" width="10.7265625" bestFit="1" customWidth="1"/>
    <col min="9" max="9" width="10" bestFit="1" customWidth="1"/>
    <col min="10" max="10" width="10" customWidth="1"/>
    <col min="11" max="11" width="12.7265625" bestFit="1" customWidth="1"/>
    <col min="12" max="12" width="10.453125" bestFit="1" customWidth="1"/>
    <col min="13" max="13" width="9.26953125" bestFit="1" customWidth="1"/>
    <col min="14" max="16" width="9.26953125" customWidth="1"/>
    <col min="17" max="20" width="3.54296875" customWidth="1"/>
    <col min="21" max="21" width="11.81640625" customWidth="1"/>
    <col min="22" max="22" width="9.81640625" customWidth="1"/>
    <col min="23" max="24" width="9.54296875" customWidth="1"/>
    <col min="25" max="25" width="7.1796875" customWidth="1"/>
    <col min="26" max="26" width="11.54296875" customWidth="1"/>
    <col min="27" max="27" width="9.54296875" customWidth="1"/>
    <col min="29" max="29" width="11.453125" bestFit="1" customWidth="1"/>
    <col min="30" max="30" width="9" bestFit="1" customWidth="1"/>
    <col min="33" max="34" width="3" customWidth="1"/>
    <col min="36" max="36" width="2.7265625" customWidth="1"/>
  </cols>
  <sheetData>
    <row r="1" spans="1:38" ht="13" x14ac:dyDescent="0.3">
      <c r="A1" s="409" t="str">
        <f>+'Rate Case Constants'!C9</f>
        <v>KENTUCKY UTILITIES COMPANY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8" ht="13" x14ac:dyDescent="0.3">
      <c r="A2" s="409" t="str">
        <f>+'Rate Case Constants'!C10</f>
        <v>CASE NO. 2020-00349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8" ht="13" x14ac:dyDescent="0.3">
      <c r="A3" s="410" t="str">
        <f>+'Rate Case Constants'!C24</f>
        <v>Typical Bill Comparison under Current &amp; Proposed Rates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38" ht="13" x14ac:dyDescent="0.3">
      <c r="A4" s="409" t="str">
        <f>+'Rate Case Constants'!C21</f>
        <v>FORECAST PERIOD FOR THE 12 MONTHS ENDED JUNE 30, 2022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8" ht="13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38" ht="13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97"/>
      <c r="N6" s="197"/>
      <c r="O6" s="197"/>
      <c r="P6" s="197"/>
    </row>
    <row r="7" spans="1:38" ht="13" x14ac:dyDescent="0.3">
      <c r="A7" s="83" t="str">
        <f>+'Rate Case Constants'!C33</f>
        <v>DATA: ____BASE PERIOD__X___FORECASTED PERIOD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198"/>
      <c r="O7" s="198"/>
      <c r="P7" s="198" t="str">
        <f>+'Rate Case Constants'!C25</f>
        <v>SCHEDULE N</v>
      </c>
    </row>
    <row r="8" spans="1:38" ht="13" x14ac:dyDescent="0.3">
      <c r="A8" s="83" t="str">
        <f>+'Rate Case Constants'!C29</f>
        <v>TYPE OF FILING: __X__ ORIGINAL  _____ UPDATED  _____ REVISED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N8" s="197"/>
      <c r="O8" s="197"/>
      <c r="P8" s="197" t="str">
        <f>+'Rate Case Constants'!L13</f>
        <v>PAGE 6 of 24</v>
      </c>
    </row>
    <row r="9" spans="1:38" ht="13" x14ac:dyDescent="0.3">
      <c r="A9" s="83" t="str">
        <f>+'Rate Case Constants'!C34</f>
        <v>WORKPAPER REFERENCE NO(S):________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197"/>
      <c r="O9" s="197"/>
      <c r="P9" s="197" t="str">
        <f>+'Rate Case Constants'!C36</f>
        <v>WITNESS:   R. M. CONROY</v>
      </c>
      <c r="U9" s="29" t="s">
        <v>475</v>
      </c>
    </row>
    <row r="10" spans="1:38" ht="13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01"/>
      <c r="N10" s="201"/>
      <c r="O10" s="201"/>
      <c r="P10" s="201"/>
      <c r="U10" s="83" t="s">
        <v>68</v>
      </c>
      <c r="V10" s="2">
        <f>INPUT!M67</f>
        <v>-1.3521567507700039E-3</v>
      </c>
    </row>
    <row r="11" spans="1:38" ht="13" x14ac:dyDescent="0.3">
      <c r="A11" s="124" t="s">
        <v>73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83" t="s">
        <v>70</v>
      </c>
      <c r="V11" s="2">
        <f>INPUT!N67</f>
        <v>2.3410632927024174E-3</v>
      </c>
      <c r="W11" s="29"/>
      <c r="X11" s="29"/>
      <c r="Y11" s="29"/>
      <c r="Z11" s="32"/>
      <c r="AA11" s="29"/>
      <c r="AB11" s="29"/>
      <c r="AC11" s="29"/>
      <c r="AD11" s="29"/>
      <c r="AE11" s="29"/>
      <c r="AF11" s="29"/>
    </row>
    <row r="12" spans="1:38" ht="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83" t="s">
        <v>69</v>
      </c>
      <c r="V12" s="2">
        <f>INPUT!O67</f>
        <v>1.1753405075987379E-2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8" ht="13" x14ac:dyDescent="0.3">
      <c r="A13" s="29"/>
      <c r="B13" s="29"/>
      <c r="C13" s="346" t="s">
        <v>291</v>
      </c>
      <c r="D13" s="347" t="s">
        <v>292</v>
      </c>
      <c r="E13" s="347" t="s">
        <v>293</v>
      </c>
      <c r="F13" s="346" t="s">
        <v>294</v>
      </c>
      <c r="G13" s="346" t="s">
        <v>295</v>
      </c>
      <c r="H13" s="346" t="s">
        <v>296</v>
      </c>
      <c r="I13" s="347" t="s">
        <v>297</v>
      </c>
      <c r="J13" s="346" t="s">
        <v>298</v>
      </c>
      <c r="K13" s="346" t="s">
        <v>299</v>
      </c>
      <c r="L13" s="346" t="s">
        <v>300</v>
      </c>
      <c r="M13" s="346" t="s">
        <v>444</v>
      </c>
      <c r="N13" s="346" t="s">
        <v>440</v>
      </c>
      <c r="O13" s="346" t="s">
        <v>441</v>
      </c>
      <c r="P13" s="346" t="s">
        <v>442</v>
      </c>
      <c r="Q13" s="29"/>
      <c r="R13" s="29"/>
      <c r="S13" s="29"/>
      <c r="T13" s="29"/>
      <c r="U13" s="29"/>
      <c r="V13" s="29"/>
      <c r="W13" s="29"/>
      <c r="Y13" s="29"/>
      <c r="Z13" s="29"/>
      <c r="AA13" s="29"/>
      <c r="AB13" s="29"/>
      <c r="AC13" s="29"/>
      <c r="AD13" s="29"/>
      <c r="AE13" s="29"/>
      <c r="AF13" s="29"/>
    </row>
    <row r="14" spans="1:38" ht="13" x14ac:dyDescent="0.3">
      <c r="C14" s="195" t="s">
        <v>313</v>
      </c>
      <c r="D14" s="195" t="s">
        <v>313</v>
      </c>
      <c r="E14" s="195" t="s">
        <v>69</v>
      </c>
      <c r="H14" s="17"/>
      <c r="I14" s="17"/>
      <c r="J14" s="17"/>
      <c r="K14" s="3" t="s">
        <v>5</v>
      </c>
      <c r="L14" s="3" t="s">
        <v>5</v>
      </c>
      <c r="N14" s="85" t="s">
        <v>592</v>
      </c>
      <c r="O14" s="85" t="s">
        <v>5</v>
      </c>
      <c r="P14" s="17"/>
      <c r="U14" s="46" t="s">
        <v>56</v>
      </c>
      <c r="V14" s="46"/>
      <c r="W14" s="46"/>
      <c r="X14" s="3"/>
      <c r="Z14" s="46" t="s">
        <v>57</v>
      </c>
      <c r="AA14" s="46"/>
      <c r="AB14" s="46"/>
      <c r="AC14" s="377" t="s">
        <v>475</v>
      </c>
      <c r="AD14" s="46"/>
      <c r="AE14" s="3"/>
      <c r="AF14" s="56"/>
    </row>
    <row r="15" spans="1:38" ht="13" x14ac:dyDescent="0.3">
      <c r="C15" s="3" t="s">
        <v>1</v>
      </c>
      <c r="D15" s="3" t="s">
        <v>71</v>
      </c>
      <c r="E15" s="85" t="s">
        <v>470</v>
      </c>
      <c r="F15" s="3"/>
      <c r="G15" s="3"/>
      <c r="H15" s="407" t="s">
        <v>245</v>
      </c>
      <c r="I15" s="407"/>
      <c r="J15" s="408"/>
      <c r="K15" s="3" t="s">
        <v>1</v>
      </c>
      <c r="L15" s="3" t="s">
        <v>71</v>
      </c>
      <c r="M15" s="3"/>
      <c r="N15" s="85" t="s">
        <v>593</v>
      </c>
      <c r="O15" s="85" t="s">
        <v>71</v>
      </c>
      <c r="P15" s="85"/>
      <c r="U15" s="25" t="s">
        <v>59</v>
      </c>
      <c r="V15" s="3"/>
      <c r="W15" s="25"/>
      <c r="X15" s="3"/>
      <c r="Z15" s="25" t="s">
        <v>59</v>
      </c>
      <c r="AA15" s="3"/>
      <c r="AB15" s="25"/>
      <c r="AC15" s="86"/>
      <c r="AD15" s="83" t="s">
        <v>592</v>
      </c>
      <c r="AE15" s="3"/>
      <c r="AF15" s="25"/>
    </row>
    <row r="16" spans="1:38" ht="13" x14ac:dyDescent="0.3">
      <c r="A16" s="3"/>
      <c r="B16" s="3"/>
      <c r="C16" s="3" t="s">
        <v>4</v>
      </c>
      <c r="D16" s="3" t="s">
        <v>4</v>
      </c>
      <c r="E16" s="85" t="s">
        <v>471</v>
      </c>
      <c r="F16" s="3" t="s">
        <v>72</v>
      </c>
      <c r="G16" s="3" t="s">
        <v>72</v>
      </c>
      <c r="H16" s="85" t="s">
        <v>320</v>
      </c>
      <c r="I16" s="85" t="s">
        <v>70</v>
      </c>
      <c r="J16" s="85" t="s">
        <v>69</v>
      </c>
      <c r="K16" s="3" t="s">
        <v>4</v>
      </c>
      <c r="L16" s="3" t="s">
        <v>4</v>
      </c>
      <c r="M16" s="3" t="s">
        <v>72</v>
      </c>
      <c r="N16" s="85" t="s">
        <v>439</v>
      </c>
      <c r="O16" s="85" t="s">
        <v>443</v>
      </c>
      <c r="P16" s="85" t="s">
        <v>72</v>
      </c>
      <c r="Q16" s="3"/>
      <c r="R16" s="3"/>
      <c r="S16" s="3"/>
      <c r="T16" s="3"/>
      <c r="U16" s="25" t="s">
        <v>58</v>
      </c>
      <c r="V16" s="3" t="s">
        <v>53</v>
      </c>
      <c r="W16" s="25" t="s">
        <v>5</v>
      </c>
      <c r="X16" s="3"/>
      <c r="Z16" s="25" t="s">
        <v>58</v>
      </c>
      <c r="AA16" s="3" t="s">
        <v>53</v>
      </c>
      <c r="AB16" s="25" t="s">
        <v>5</v>
      </c>
      <c r="AC16" s="86" t="s">
        <v>69</v>
      </c>
      <c r="AD16" s="85" t="s">
        <v>593</v>
      </c>
      <c r="AE16" s="3"/>
      <c r="AF16" s="25"/>
      <c r="AH16" s="2"/>
      <c r="AI16" s="85"/>
      <c r="AJ16" s="85"/>
      <c r="AK16" s="85"/>
      <c r="AL16" s="3"/>
    </row>
    <row r="17" spans="1:38" ht="13" x14ac:dyDescent="0.3">
      <c r="A17" s="3" t="s">
        <v>46</v>
      </c>
      <c r="B17" s="3"/>
      <c r="C17" s="3"/>
      <c r="D17" s="3"/>
      <c r="E17" s="85"/>
      <c r="F17" s="3" t="s">
        <v>66</v>
      </c>
      <c r="G17" s="25" t="s">
        <v>67</v>
      </c>
      <c r="H17" s="88"/>
      <c r="I17" s="88"/>
      <c r="J17" s="89"/>
      <c r="K17" s="3" t="s">
        <v>66</v>
      </c>
      <c r="L17" s="3" t="s">
        <v>66</v>
      </c>
      <c r="M17" s="25" t="s">
        <v>67</v>
      </c>
      <c r="N17" s="86"/>
      <c r="O17" s="86" t="s">
        <v>439</v>
      </c>
      <c r="P17" s="86" t="s">
        <v>67</v>
      </c>
      <c r="Q17" s="3"/>
      <c r="R17" s="3"/>
      <c r="S17" s="3"/>
      <c r="T17" s="3"/>
      <c r="U17" s="34" t="s">
        <v>3</v>
      </c>
      <c r="V17" s="15" t="s">
        <v>3</v>
      </c>
      <c r="W17" s="34" t="s">
        <v>4</v>
      </c>
      <c r="X17" s="206"/>
      <c r="Z17" s="34" t="s">
        <v>3</v>
      </c>
      <c r="AA17" s="15" t="s">
        <v>3</v>
      </c>
      <c r="AB17" s="34" t="s">
        <v>4</v>
      </c>
      <c r="AC17" s="386" t="s">
        <v>471</v>
      </c>
      <c r="AD17" s="342" t="s">
        <v>439</v>
      </c>
      <c r="AE17" s="206"/>
      <c r="AF17" s="57"/>
      <c r="AH17" s="2"/>
      <c r="AI17" s="85"/>
      <c r="AJ17" s="85"/>
      <c r="AK17" s="85"/>
      <c r="AL17" s="3"/>
    </row>
    <row r="18" spans="1:38" ht="13" x14ac:dyDescent="0.3">
      <c r="A18" s="80"/>
      <c r="B18" s="80"/>
      <c r="C18" s="80"/>
      <c r="D18" s="80"/>
      <c r="E18" s="343"/>
      <c r="F18" s="345" t="str">
        <f>("[ "&amp;D13&amp;" - ("&amp;E13&amp;" + "&amp;C13&amp;") ]")</f>
        <v>[ B - (C + A) ]</v>
      </c>
      <c r="G18" s="345" t="str">
        <f>("[ "&amp;F13&amp;" / "&amp;C13&amp;" ]")</f>
        <v>[ D / A ]</v>
      </c>
      <c r="H18" s="344"/>
      <c r="I18" s="344"/>
      <c r="J18" s="344"/>
      <c r="K18" s="345" t="str">
        <f>("["&amp;C13&amp;"+"&amp;E13&amp;"+"&amp;$H$13&amp;"+"&amp;$I$13&amp;"+"&amp;$J$13&amp;"]")</f>
        <v>[A+C+F+G+H]</v>
      </c>
      <c r="L18" s="345" t="str">
        <f>("["&amp;D13&amp;"+"&amp;$H$13&amp;"+"&amp;$I$13&amp;"+"&amp;$J$13&amp;"]")</f>
        <v>[B+F+G+H]</v>
      </c>
      <c r="M18" s="345" t="str">
        <f>("[("&amp;L13&amp;" - "&amp;K13&amp;")/"&amp;K13&amp;"]")</f>
        <v>[(J - I)/I]</v>
      </c>
      <c r="N18" s="344"/>
      <c r="O18" s="344" t="str">
        <f>("["&amp;L13&amp;" + "&amp;$N13&amp;"]")</f>
        <v>[J + L]</v>
      </c>
      <c r="P18" s="345" t="str">
        <f>("[("&amp;O13&amp;" - "&amp;K13&amp;")/"&amp;K13&amp;"]")</f>
        <v>[(M - I)/I]</v>
      </c>
      <c r="Q18" s="3"/>
      <c r="R18" s="3"/>
      <c r="S18" s="3"/>
      <c r="T18" s="3"/>
      <c r="U18" s="25"/>
      <c r="V18" s="31">
        <f>+INPUT!$E$6</f>
        <v>0.11225</v>
      </c>
      <c r="W18" s="25"/>
      <c r="X18" s="40"/>
      <c r="Z18" s="25"/>
      <c r="AA18" s="31">
        <f>INPUT!$E$34</f>
        <v>0.12469000000000001</v>
      </c>
      <c r="AB18" s="25"/>
      <c r="AC18" s="86">
        <f>INPUT!Q67</f>
        <v>2.8516806352290903E-3</v>
      </c>
      <c r="AD18" s="86">
        <f>INPUT!E52</f>
        <v>-6.8000000000000005E-4</v>
      </c>
      <c r="AE18" s="40"/>
      <c r="AF18" s="25"/>
      <c r="AH18" s="2"/>
      <c r="AI18" s="85"/>
      <c r="AJ18" s="85"/>
      <c r="AK18" s="85"/>
      <c r="AL18" s="3"/>
    </row>
    <row r="19" spans="1:38" ht="13" x14ac:dyDescent="0.3">
      <c r="A19" s="3"/>
      <c r="B19" s="3"/>
      <c r="C19" s="3"/>
      <c r="D19" s="3"/>
      <c r="E19" s="85"/>
      <c r="F19" s="3"/>
      <c r="G19" s="3"/>
      <c r="H19" s="3"/>
      <c r="I19" s="3"/>
      <c r="J19" s="3"/>
      <c r="K19" s="3"/>
      <c r="L19" s="3"/>
      <c r="M19" s="3"/>
      <c r="N19" s="85"/>
      <c r="O19" s="85"/>
      <c r="P19" s="85"/>
      <c r="Q19" s="3"/>
      <c r="R19" s="3"/>
      <c r="S19" s="3"/>
      <c r="T19" s="3"/>
      <c r="U19" s="25"/>
      <c r="V19" s="3" t="s">
        <v>11</v>
      </c>
      <c r="W19" s="25"/>
      <c r="X19" s="3"/>
      <c r="Z19" s="25"/>
      <c r="AA19" s="3" t="s">
        <v>11</v>
      </c>
      <c r="AB19" s="25"/>
      <c r="AC19" s="86" t="s">
        <v>11</v>
      </c>
      <c r="AD19" s="86" t="s">
        <v>11</v>
      </c>
      <c r="AE19" s="3"/>
      <c r="AF19" s="25"/>
      <c r="AH19" s="2"/>
      <c r="AI19" s="85"/>
      <c r="AJ19" s="85"/>
      <c r="AK19" s="85"/>
      <c r="AL19" s="3"/>
    </row>
    <row r="20" spans="1:38" ht="13" x14ac:dyDescent="0.3">
      <c r="A20" s="3"/>
      <c r="B20" s="3"/>
      <c r="C20" s="3"/>
      <c r="D20" s="3"/>
      <c r="E20" s="85"/>
      <c r="F20" s="3"/>
      <c r="G20" s="3"/>
      <c r="H20" s="85"/>
      <c r="I20" s="85"/>
      <c r="J20" s="85"/>
      <c r="K20" s="85"/>
      <c r="L20" s="3"/>
      <c r="M20" s="3"/>
      <c r="N20" s="85"/>
      <c r="O20" s="85"/>
      <c r="P20" s="85"/>
      <c r="Q20" s="3"/>
      <c r="R20" s="3"/>
      <c r="S20" s="3"/>
      <c r="T20" s="3"/>
      <c r="V20" s="3"/>
      <c r="W20" s="3"/>
      <c r="X20" s="3"/>
      <c r="AA20" s="3"/>
      <c r="AB20" s="3"/>
      <c r="AC20" s="85"/>
      <c r="AD20" s="85"/>
      <c r="AE20" s="3"/>
      <c r="AF20" s="3"/>
      <c r="AI20" s="17"/>
      <c r="AJ20" s="17"/>
      <c r="AK20" s="17"/>
    </row>
    <row r="21" spans="1:38" x14ac:dyDescent="0.25">
      <c r="A21">
        <v>100</v>
      </c>
      <c r="C21" s="90">
        <f>+W21</f>
        <v>42.88</v>
      </c>
      <c r="D21" s="90">
        <f>+AB21</f>
        <v>53.559625000000004</v>
      </c>
      <c r="E21" s="90">
        <f>AC21</f>
        <v>0.28516806352290902</v>
      </c>
      <c r="F21" s="90">
        <f>+D21-(E21+C21)</f>
        <v>10.394456936477091</v>
      </c>
      <c r="G21" s="54">
        <f>ROUND(+F21/C21,4)</f>
        <v>0.2424</v>
      </c>
      <c r="H21" s="90">
        <f>ROUND($V$10*$A21,2)</f>
        <v>-0.14000000000000001</v>
      </c>
      <c r="I21" s="90">
        <f>ROUND($V$11*$A21,2)</f>
        <v>0.23</v>
      </c>
      <c r="J21" s="90">
        <f>ROUND($V$12*$A21,2)</f>
        <v>1.18</v>
      </c>
      <c r="K21" s="90">
        <f>+C21+E21+H21+I21+J21</f>
        <v>44.435168063522909</v>
      </c>
      <c r="L21" s="28">
        <f>+D21+H21+I21+J21</f>
        <v>54.829625</v>
      </c>
      <c r="M21" s="54">
        <f>ROUND((L21-K21)/K21,4)</f>
        <v>0.2339</v>
      </c>
      <c r="N21" s="90">
        <f>AD21</f>
        <v>-6.8000000000000005E-2</v>
      </c>
      <c r="O21" s="90">
        <f>L21+N21</f>
        <v>54.761625000000002</v>
      </c>
      <c r="P21" s="91">
        <f>ROUND((O21-K21)/K21,4)</f>
        <v>0.2324</v>
      </c>
      <c r="U21" s="7">
        <f>+INPUT!$E$4</f>
        <v>31.655000000000001</v>
      </c>
      <c r="V21" s="6">
        <f>A21*$V$18</f>
        <v>11.225</v>
      </c>
      <c r="W21" s="6">
        <f>U21+V21</f>
        <v>42.88</v>
      </c>
      <c r="X21" s="6"/>
      <c r="Z21" s="7">
        <f>INPUT!$E$32</f>
        <v>41.090625000000003</v>
      </c>
      <c r="AA21" s="6">
        <f>+$A21*AA$18</f>
        <v>12.469000000000001</v>
      </c>
      <c r="AB21" s="6">
        <f>Z21+AA21</f>
        <v>53.559625000000004</v>
      </c>
      <c r="AC21" s="84">
        <f>$AC$18*A21</f>
        <v>0.28516806352290902</v>
      </c>
      <c r="AD21" s="84">
        <f>$AD$18*A21</f>
        <v>-6.8000000000000005E-2</v>
      </c>
      <c r="AE21" s="6"/>
      <c r="AF21" s="6"/>
      <c r="AI21" s="84"/>
      <c r="AJ21" s="17"/>
      <c r="AK21" s="141"/>
      <c r="AL21" s="8"/>
    </row>
    <row r="22" spans="1:38" x14ac:dyDescent="0.25">
      <c r="C22" s="17"/>
      <c r="D22" s="17"/>
      <c r="E22" s="17"/>
      <c r="F22" s="90"/>
      <c r="H22" s="17"/>
      <c r="I22" s="17"/>
      <c r="J22" s="17"/>
      <c r="K22" s="90"/>
      <c r="N22" s="17"/>
      <c r="O22" s="17"/>
      <c r="P22" s="17"/>
      <c r="U22" s="7"/>
      <c r="V22" s="6"/>
      <c r="W22" s="6"/>
      <c r="X22" s="6"/>
      <c r="Z22" s="7"/>
      <c r="AA22" s="6"/>
      <c r="AB22" s="6"/>
      <c r="AC22" s="84"/>
      <c r="AD22" s="84"/>
      <c r="AE22" s="6"/>
      <c r="AF22" s="6"/>
      <c r="AI22" s="17"/>
      <c r="AJ22" s="17"/>
      <c r="AK22" s="141"/>
      <c r="AL22" s="8"/>
    </row>
    <row r="23" spans="1:38" x14ac:dyDescent="0.25">
      <c r="A23" s="1">
        <v>250</v>
      </c>
      <c r="C23" s="90">
        <f>+W23</f>
        <v>59.717500000000001</v>
      </c>
      <c r="D23" s="90">
        <f>+AB23</f>
        <v>72.263125000000002</v>
      </c>
      <c r="E23" s="90">
        <f t="shared" ref="E23:E35" si="0">AC23</f>
        <v>0.71292015880727255</v>
      </c>
      <c r="F23" s="90">
        <f t="shared" ref="F23:F35" si="1">+D23-(E23+C23)</f>
        <v>11.832704841192729</v>
      </c>
      <c r="G23" s="54">
        <f>ROUND(+F23/C23,4)</f>
        <v>0.1981</v>
      </c>
      <c r="H23" s="90">
        <f>ROUND($V$10*$A23,2)</f>
        <v>-0.34</v>
      </c>
      <c r="I23" s="90">
        <f>ROUND($V$11*$A23,2)</f>
        <v>0.59</v>
      </c>
      <c r="J23" s="90">
        <f>ROUND($V$12*$A23,2)</f>
        <v>2.94</v>
      </c>
      <c r="K23" s="90">
        <f t="shared" ref="K23:K35" si="2">+C23+E23+H23+I23+J23</f>
        <v>63.620420158807271</v>
      </c>
      <c r="L23" s="28">
        <f>+D23+H23+I23+J23</f>
        <v>75.453125</v>
      </c>
      <c r="M23" s="54">
        <f>ROUND((L23-K23)/K23,4)</f>
        <v>0.186</v>
      </c>
      <c r="N23" s="90">
        <f t="shared" ref="N23:N35" si="3">AD23</f>
        <v>-0.17</v>
      </c>
      <c r="O23" s="90">
        <f t="shared" ref="O23:O35" si="4">L23+N23</f>
        <v>75.283124999999998</v>
      </c>
      <c r="P23" s="91">
        <f t="shared" ref="P23:P35" si="5">ROUND((O23-K23)/K23,4)</f>
        <v>0.18329999999999999</v>
      </c>
      <c r="U23" s="7">
        <f>$U$21</f>
        <v>31.655000000000001</v>
      </c>
      <c r="V23" s="6">
        <f>A23*$V$18</f>
        <v>28.0625</v>
      </c>
      <c r="W23" s="6">
        <f>U23+V23</f>
        <v>59.717500000000001</v>
      </c>
      <c r="X23" s="6"/>
      <c r="Z23" s="7">
        <f>+$Z$21</f>
        <v>41.090625000000003</v>
      </c>
      <c r="AA23" s="6">
        <f>+$A23*AA$18</f>
        <v>31.172500000000003</v>
      </c>
      <c r="AB23" s="6">
        <f>Z23+AA23</f>
        <v>72.263125000000002</v>
      </c>
      <c r="AC23" s="84">
        <f t="shared" ref="AC23:AC33" si="6">$AC$18*A23</f>
        <v>0.71292015880727255</v>
      </c>
      <c r="AD23" s="84">
        <f t="shared" ref="AD23:AD33" si="7">$AD$18*A23</f>
        <v>-0.17</v>
      </c>
      <c r="AE23" s="6"/>
      <c r="AF23" s="6"/>
      <c r="AI23" s="84"/>
      <c r="AJ23" s="17"/>
      <c r="AK23" s="141"/>
      <c r="AL23" s="8"/>
    </row>
    <row r="24" spans="1:38" x14ac:dyDescent="0.25">
      <c r="C24" s="90"/>
      <c r="D24" s="90"/>
      <c r="E24" s="90"/>
      <c r="F24" s="90"/>
      <c r="G24" s="54"/>
      <c r="H24" s="90"/>
      <c r="I24" s="90"/>
      <c r="J24" s="90"/>
      <c r="K24" s="90"/>
      <c r="L24" s="28"/>
      <c r="M24" s="54"/>
      <c r="N24" s="90"/>
      <c r="O24" s="90"/>
      <c r="P24" s="91"/>
      <c r="U24" s="55"/>
      <c r="V24" s="6"/>
      <c r="W24" s="6"/>
      <c r="X24" s="6"/>
      <c r="Z24" s="7"/>
      <c r="AA24" s="6"/>
      <c r="AB24" s="6"/>
      <c r="AC24" s="84"/>
      <c r="AD24" s="84"/>
      <c r="AE24" s="6"/>
      <c r="AF24" s="6"/>
      <c r="AI24" s="17"/>
      <c r="AJ24" s="17"/>
      <c r="AK24" s="143"/>
      <c r="AL24" s="26"/>
    </row>
    <row r="25" spans="1:38" s="10" customFormat="1" x14ac:dyDescent="0.25">
      <c r="A25" s="14">
        <v>500</v>
      </c>
      <c r="B25"/>
      <c r="C25" s="90">
        <f>+W25</f>
        <v>87.78</v>
      </c>
      <c r="D25" s="90">
        <f>+AB25</f>
        <v>103.43562500000002</v>
      </c>
      <c r="E25" s="90">
        <f t="shared" si="0"/>
        <v>1.4258403176145451</v>
      </c>
      <c r="F25" s="90">
        <f t="shared" si="1"/>
        <v>14.229784682385471</v>
      </c>
      <c r="G25" s="54">
        <f>ROUND(+F25/C25,4)</f>
        <v>0.16209999999999999</v>
      </c>
      <c r="H25" s="90">
        <f>ROUND($V$10*$A25,2)</f>
        <v>-0.68</v>
      </c>
      <c r="I25" s="90">
        <f>ROUND($V$11*$A25,2)</f>
        <v>1.17</v>
      </c>
      <c r="J25" s="90">
        <f>ROUND($V$12*$A25,2)</f>
        <v>5.88</v>
      </c>
      <c r="K25" s="90">
        <f t="shared" si="2"/>
        <v>95.575840317614535</v>
      </c>
      <c r="L25" s="28">
        <f>+D25+H25+I25+J25</f>
        <v>109.80562500000001</v>
      </c>
      <c r="M25" s="54">
        <f>ROUND((L25-K25)/K25,4)</f>
        <v>0.1489</v>
      </c>
      <c r="N25" s="90">
        <f t="shared" si="3"/>
        <v>-0.34</v>
      </c>
      <c r="O25" s="90">
        <f t="shared" si="4"/>
        <v>109.465625</v>
      </c>
      <c r="P25" s="91">
        <f t="shared" si="5"/>
        <v>0.14530000000000001</v>
      </c>
      <c r="U25" s="55">
        <f>$U$21</f>
        <v>31.655000000000001</v>
      </c>
      <c r="V25" s="6">
        <f>A25*$V$18</f>
        <v>56.125</v>
      </c>
      <c r="W25" s="11">
        <f>U25+V25</f>
        <v>87.78</v>
      </c>
      <c r="X25" s="6"/>
      <c r="Z25" s="7">
        <f>+$Z$21</f>
        <v>41.090625000000003</v>
      </c>
      <c r="AA25" s="6">
        <f>+$A25*AA$18</f>
        <v>62.345000000000006</v>
      </c>
      <c r="AB25" s="11">
        <f>Z25+AA25</f>
        <v>103.43562500000002</v>
      </c>
      <c r="AC25" s="84">
        <f t="shared" si="6"/>
        <v>1.4258403176145451</v>
      </c>
      <c r="AD25" s="84">
        <f t="shared" si="7"/>
        <v>-0.34</v>
      </c>
      <c r="AE25" s="6"/>
      <c r="AF25" s="11"/>
      <c r="AI25" s="145"/>
      <c r="AJ25" s="144"/>
      <c r="AK25" s="143"/>
      <c r="AL25" s="26"/>
    </row>
    <row r="26" spans="1:38" x14ac:dyDescent="0.25">
      <c r="C26" s="17"/>
      <c r="D26" s="17"/>
      <c r="E26" s="17"/>
      <c r="F26" s="90"/>
      <c r="H26" s="17"/>
      <c r="I26" s="17"/>
      <c r="J26" s="17"/>
      <c r="K26" s="90"/>
      <c r="N26" s="17"/>
      <c r="O26" s="17"/>
      <c r="P26" s="17"/>
      <c r="U26" s="7"/>
      <c r="V26" s="6"/>
      <c r="W26" s="6"/>
      <c r="X26" s="6"/>
      <c r="Z26" s="7"/>
      <c r="AA26" s="6"/>
      <c r="AB26" s="6"/>
      <c r="AC26" s="84"/>
      <c r="AD26" s="84"/>
      <c r="AE26" s="6"/>
      <c r="AF26" s="6"/>
      <c r="AI26" s="17"/>
      <c r="AJ26" s="17"/>
      <c r="AK26" s="141"/>
      <c r="AL26" s="8"/>
    </row>
    <row r="27" spans="1:38" x14ac:dyDescent="0.25">
      <c r="A27" s="1">
        <v>1000</v>
      </c>
      <c r="C27" s="90">
        <f>+W27</f>
        <v>143.905</v>
      </c>
      <c r="D27" s="90">
        <f>+AB27</f>
        <v>165.78062500000001</v>
      </c>
      <c r="E27" s="90">
        <f t="shared" si="0"/>
        <v>2.8516806352290902</v>
      </c>
      <c r="F27" s="90">
        <f t="shared" si="1"/>
        <v>19.023944364770927</v>
      </c>
      <c r="G27" s="54">
        <f>ROUND(+F27/C27,4)</f>
        <v>0.13220000000000001</v>
      </c>
      <c r="H27" s="90">
        <f>ROUND($V$10*$A27,2)</f>
        <v>-1.35</v>
      </c>
      <c r="I27" s="90">
        <f>ROUND($V$11*$A27,2)</f>
        <v>2.34</v>
      </c>
      <c r="J27" s="90">
        <f>ROUND($V$12*$A27,2)</f>
        <v>11.75</v>
      </c>
      <c r="K27" s="90">
        <f t="shared" si="2"/>
        <v>159.4966806352291</v>
      </c>
      <c r="L27" s="28">
        <f>+D27+H27+I27+J27</f>
        <v>178.52062500000002</v>
      </c>
      <c r="M27" s="54">
        <f>ROUND((L27-K27)/K27,4)</f>
        <v>0.1193</v>
      </c>
      <c r="N27" s="90">
        <f t="shared" si="3"/>
        <v>-0.68</v>
      </c>
      <c r="O27" s="90">
        <f t="shared" si="4"/>
        <v>177.84062500000002</v>
      </c>
      <c r="P27" s="91">
        <f t="shared" si="5"/>
        <v>0.115</v>
      </c>
      <c r="U27" s="7">
        <f>$U$21</f>
        <v>31.655000000000001</v>
      </c>
      <c r="V27" s="6">
        <f>A27*$V$18</f>
        <v>112.25</v>
      </c>
      <c r="W27" s="6">
        <f>U27+V27</f>
        <v>143.905</v>
      </c>
      <c r="X27" s="6"/>
      <c r="Z27" s="7">
        <f>+$Z$21</f>
        <v>41.090625000000003</v>
      </c>
      <c r="AA27" s="6">
        <f>+$A27*AA$18</f>
        <v>124.69000000000001</v>
      </c>
      <c r="AB27" s="6">
        <f>Z27+AA27</f>
        <v>165.78062500000001</v>
      </c>
      <c r="AC27" s="84">
        <f t="shared" si="6"/>
        <v>2.8516806352290902</v>
      </c>
      <c r="AD27" s="84">
        <f t="shared" si="7"/>
        <v>-0.68</v>
      </c>
      <c r="AE27" s="6"/>
      <c r="AF27" s="6"/>
      <c r="AI27" s="84"/>
      <c r="AJ27" s="17"/>
      <c r="AK27" s="141"/>
      <c r="AL27" s="8"/>
    </row>
    <row r="28" spans="1:38" x14ac:dyDescent="0.25">
      <c r="C28" s="17"/>
      <c r="D28" s="17"/>
      <c r="E28" s="17"/>
      <c r="F28" s="90"/>
      <c r="H28" s="17"/>
      <c r="I28" s="17"/>
      <c r="J28" s="17"/>
      <c r="K28" s="90"/>
      <c r="N28" s="17"/>
      <c r="O28" s="17"/>
      <c r="P28" s="17"/>
      <c r="U28" s="7"/>
      <c r="V28" s="6"/>
      <c r="W28" s="6"/>
      <c r="X28" s="6"/>
      <c r="Z28" s="7"/>
      <c r="AA28" s="6"/>
      <c r="AB28" s="6"/>
      <c r="AC28" s="84"/>
      <c r="AD28" s="84"/>
      <c r="AE28" s="6"/>
      <c r="AF28" s="6"/>
      <c r="AI28" s="17"/>
      <c r="AJ28" s="17"/>
      <c r="AK28" s="141"/>
      <c r="AL28" s="8"/>
    </row>
    <row r="29" spans="1:38" x14ac:dyDescent="0.25">
      <c r="A29" s="1">
        <v>1500</v>
      </c>
      <c r="C29" s="90">
        <f>+W29</f>
        <v>200.03</v>
      </c>
      <c r="D29" s="90">
        <f>+AB29</f>
        <v>228.12562500000001</v>
      </c>
      <c r="E29" s="90">
        <f t="shared" si="0"/>
        <v>4.2775209528436351</v>
      </c>
      <c r="F29" s="90">
        <f t="shared" si="1"/>
        <v>23.818104047156368</v>
      </c>
      <c r="G29" s="54">
        <f>ROUND(+F29/C29,4)</f>
        <v>0.1191</v>
      </c>
      <c r="H29" s="90">
        <f>ROUND($V$10*$A29,2)</f>
        <v>-2.0299999999999998</v>
      </c>
      <c r="I29" s="90">
        <f>ROUND($V$11*$A29,2)</f>
        <v>3.51</v>
      </c>
      <c r="J29" s="90">
        <f>ROUND($V$12*$A29,2)</f>
        <v>17.63</v>
      </c>
      <c r="K29" s="90">
        <f t="shared" si="2"/>
        <v>223.41752095284363</v>
      </c>
      <c r="L29" s="28">
        <f>+D29+H29+I29+J29</f>
        <v>247.235625</v>
      </c>
      <c r="M29" s="54">
        <f>ROUND((L29-K29)/K29,4)</f>
        <v>0.1066</v>
      </c>
      <c r="N29" s="90">
        <f t="shared" si="3"/>
        <v>-1.02</v>
      </c>
      <c r="O29" s="90">
        <f t="shared" si="4"/>
        <v>246.21562499999999</v>
      </c>
      <c r="P29" s="91">
        <f t="shared" si="5"/>
        <v>0.10199999999999999</v>
      </c>
      <c r="U29" s="7">
        <f>$U$21</f>
        <v>31.655000000000001</v>
      </c>
      <c r="V29" s="6">
        <f>A29*$V$18</f>
        <v>168.375</v>
      </c>
      <c r="W29" s="6">
        <f>U29+V29</f>
        <v>200.03</v>
      </c>
      <c r="X29" s="6"/>
      <c r="Z29" s="7">
        <f>+$Z$21</f>
        <v>41.090625000000003</v>
      </c>
      <c r="AA29" s="6">
        <f>+$A29*AA$18</f>
        <v>187.03500000000003</v>
      </c>
      <c r="AB29" s="6">
        <f>Z29+AA29</f>
        <v>228.12562500000001</v>
      </c>
      <c r="AC29" s="84">
        <f t="shared" si="6"/>
        <v>4.2775209528436351</v>
      </c>
      <c r="AD29" s="84">
        <f t="shared" si="7"/>
        <v>-1.02</v>
      </c>
      <c r="AE29" s="6"/>
      <c r="AF29" s="6"/>
      <c r="AI29" s="84"/>
      <c r="AJ29" s="17"/>
      <c r="AK29" s="141"/>
      <c r="AL29" s="8"/>
    </row>
    <row r="30" spans="1:38" x14ac:dyDescent="0.25">
      <c r="A30" s="1"/>
      <c r="C30" s="17"/>
      <c r="D30" s="17"/>
      <c r="E30" s="17"/>
      <c r="F30" s="90"/>
      <c r="H30" s="17"/>
      <c r="I30" s="17"/>
      <c r="J30" s="17"/>
      <c r="K30" s="90"/>
      <c r="N30" s="17"/>
      <c r="O30" s="17"/>
      <c r="P30" s="17"/>
      <c r="U30" s="7"/>
      <c r="V30" s="6"/>
      <c r="W30" s="6"/>
      <c r="X30" s="6"/>
      <c r="Z30" s="7"/>
      <c r="AA30" s="6"/>
      <c r="AB30" s="6"/>
      <c r="AC30" s="84"/>
      <c r="AD30" s="84"/>
      <c r="AE30" s="6"/>
      <c r="AF30" s="6"/>
      <c r="AI30" s="17"/>
      <c r="AJ30" s="17"/>
      <c r="AK30" s="141"/>
      <c r="AL30" s="8"/>
    </row>
    <row r="31" spans="1:38" x14ac:dyDescent="0.25">
      <c r="A31" s="1">
        <v>2000</v>
      </c>
      <c r="C31" s="90">
        <f>+W31</f>
        <v>256.15499999999997</v>
      </c>
      <c r="D31" s="90">
        <f>+AB31</f>
        <v>290.47062500000004</v>
      </c>
      <c r="E31" s="90">
        <f t="shared" si="0"/>
        <v>5.7033612704581804</v>
      </c>
      <c r="F31" s="90">
        <f t="shared" si="1"/>
        <v>28.612263729541894</v>
      </c>
      <c r="G31" s="54">
        <f>ROUND(+F31/C31,4)</f>
        <v>0.11169999999999999</v>
      </c>
      <c r="H31" s="90">
        <f>ROUND($V$10*$A31,2)</f>
        <v>-2.7</v>
      </c>
      <c r="I31" s="90">
        <f>ROUND($V$11*$A31,2)</f>
        <v>4.68</v>
      </c>
      <c r="J31" s="90">
        <f>ROUND($V$12*$A31,2)</f>
        <v>23.51</v>
      </c>
      <c r="K31" s="90">
        <f t="shared" si="2"/>
        <v>287.34836127045816</v>
      </c>
      <c r="L31" s="28">
        <f>+D31+H31+I31+J31</f>
        <v>315.96062500000005</v>
      </c>
      <c r="M31" s="54">
        <f>ROUND((L31-K31)/K31,4)</f>
        <v>9.9599999999999994E-2</v>
      </c>
      <c r="N31" s="90">
        <f t="shared" si="3"/>
        <v>-1.36</v>
      </c>
      <c r="O31" s="90">
        <f t="shared" si="4"/>
        <v>314.60062500000004</v>
      </c>
      <c r="P31" s="91">
        <f t="shared" si="5"/>
        <v>9.4799999999999995E-2</v>
      </c>
      <c r="U31" s="7">
        <f>$U$21</f>
        <v>31.655000000000001</v>
      </c>
      <c r="V31" s="6">
        <f>A31*$V$18</f>
        <v>224.5</v>
      </c>
      <c r="W31" s="6">
        <f>U31+V31</f>
        <v>256.15499999999997</v>
      </c>
      <c r="X31" s="6"/>
      <c r="Z31" s="7">
        <f>+$Z$21</f>
        <v>41.090625000000003</v>
      </c>
      <c r="AA31" s="6">
        <f>+$A31*AA$18</f>
        <v>249.38000000000002</v>
      </c>
      <c r="AB31" s="6">
        <f>Z31+AA31</f>
        <v>290.47062500000004</v>
      </c>
      <c r="AC31" s="84">
        <f t="shared" si="6"/>
        <v>5.7033612704581804</v>
      </c>
      <c r="AD31" s="84">
        <f t="shared" si="7"/>
        <v>-1.36</v>
      </c>
      <c r="AE31" s="6"/>
      <c r="AF31" s="6"/>
      <c r="AI31" s="84"/>
      <c r="AJ31" s="17"/>
      <c r="AK31" s="141"/>
      <c r="AL31" s="8"/>
    </row>
    <row r="32" spans="1:38" x14ac:dyDescent="0.25">
      <c r="C32" s="17"/>
      <c r="D32" s="17"/>
      <c r="E32" s="17"/>
      <c r="F32" s="90"/>
      <c r="H32" s="17"/>
      <c r="I32" s="17"/>
      <c r="J32" s="17"/>
      <c r="K32" s="90"/>
      <c r="N32" s="17"/>
      <c r="O32" s="17"/>
      <c r="P32" s="17"/>
      <c r="U32" s="7"/>
      <c r="V32" s="6"/>
      <c r="W32" s="6"/>
      <c r="X32" s="6"/>
      <c r="Z32" s="7"/>
      <c r="AA32" s="6"/>
      <c r="AB32" s="6"/>
      <c r="AC32" s="84"/>
      <c r="AD32" s="84"/>
      <c r="AE32" s="6"/>
      <c r="AF32" s="6"/>
      <c r="AI32" s="17"/>
      <c r="AJ32" s="17"/>
      <c r="AK32" s="141"/>
      <c r="AL32" s="8"/>
    </row>
    <row r="33" spans="1:38" x14ac:dyDescent="0.25">
      <c r="A33" s="1">
        <v>3000</v>
      </c>
      <c r="C33" s="90">
        <f>+W33</f>
        <v>368.40499999999997</v>
      </c>
      <c r="D33" s="90">
        <f>+AB33</f>
        <v>415.16062500000004</v>
      </c>
      <c r="E33" s="90">
        <f t="shared" si="0"/>
        <v>8.5550419056872702</v>
      </c>
      <c r="F33" s="90">
        <f t="shared" si="1"/>
        <v>38.200583094312776</v>
      </c>
      <c r="G33" s="54">
        <f>ROUND(+F33/C33,4)</f>
        <v>0.1037</v>
      </c>
      <c r="H33" s="90">
        <f>ROUND($V$10*$A33,2)</f>
        <v>-4.0599999999999996</v>
      </c>
      <c r="I33" s="90">
        <f>ROUND($V$11*$A33,2)</f>
        <v>7.02</v>
      </c>
      <c r="J33" s="90">
        <f>ROUND($V$12*$A33,2)</f>
        <v>35.26</v>
      </c>
      <c r="K33" s="90">
        <f t="shared" si="2"/>
        <v>415.18004190568723</v>
      </c>
      <c r="L33" s="28">
        <f>+D33+H33+I33+J33</f>
        <v>453.38062500000001</v>
      </c>
      <c r="M33" s="54">
        <f>ROUND((L33-K33)/K33,4)</f>
        <v>9.1999999999999998E-2</v>
      </c>
      <c r="N33" s="90">
        <f t="shared" si="3"/>
        <v>-2.04</v>
      </c>
      <c r="O33" s="90">
        <f t="shared" si="4"/>
        <v>451.34062499999999</v>
      </c>
      <c r="P33" s="91">
        <f t="shared" si="5"/>
        <v>8.7099999999999997E-2</v>
      </c>
      <c r="U33" s="7">
        <f>$U$21</f>
        <v>31.655000000000001</v>
      </c>
      <c r="V33" s="6">
        <f>A33*$V$18</f>
        <v>336.75</v>
      </c>
      <c r="W33" s="6">
        <f>U33+V33</f>
        <v>368.40499999999997</v>
      </c>
      <c r="X33" s="6"/>
      <c r="Z33" s="7">
        <f>+$Z$21</f>
        <v>41.090625000000003</v>
      </c>
      <c r="AA33" s="6">
        <f>+$A33*AA$18</f>
        <v>374.07000000000005</v>
      </c>
      <c r="AB33" s="6">
        <f>Z33+AA33</f>
        <v>415.16062500000004</v>
      </c>
      <c r="AC33" s="84">
        <f t="shared" si="6"/>
        <v>8.5550419056872702</v>
      </c>
      <c r="AD33" s="84">
        <f t="shared" si="7"/>
        <v>-2.04</v>
      </c>
      <c r="AE33" s="6"/>
      <c r="AF33" s="6"/>
      <c r="AI33" s="84"/>
      <c r="AJ33" s="17"/>
      <c r="AK33" s="141"/>
      <c r="AL33" s="8"/>
    </row>
    <row r="34" spans="1:38" x14ac:dyDescent="0.25">
      <c r="C34" s="17"/>
      <c r="D34" s="17"/>
      <c r="E34" s="17"/>
      <c r="F34" s="90"/>
      <c r="H34" s="17"/>
      <c r="I34" s="17"/>
      <c r="J34" s="17"/>
      <c r="K34" s="90"/>
      <c r="N34" s="17"/>
      <c r="O34" s="17"/>
      <c r="P34" s="17"/>
      <c r="U34" s="7"/>
      <c r="V34" s="6"/>
      <c r="W34" s="6"/>
      <c r="X34" s="6"/>
      <c r="Z34" s="7"/>
      <c r="AA34" s="6"/>
      <c r="AB34" s="6"/>
      <c r="AC34" s="84"/>
      <c r="AD34" s="84"/>
      <c r="AE34" s="6"/>
      <c r="AF34" s="6"/>
      <c r="AK34" s="8"/>
      <c r="AL34" s="8"/>
    </row>
    <row r="35" spans="1:38" x14ac:dyDescent="0.25">
      <c r="A35" s="1">
        <v>4000</v>
      </c>
      <c r="C35" s="90">
        <f>+W35</f>
        <v>480.65499999999997</v>
      </c>
      <c r="D35" s="90">
        <f>+AB35</f>
        <v>539.85062500000004</v>
      </c>
      <c r="E35" s="90">
        <f t="shared" si="0"/>
        <v>11.406722540916361</v>
      </c>
      <c r="F35" s="90">
        <f t="shared" si="1"/>
        <v>47.788902459083715</v>
      </c>
      <c r="G35" s="54">
        <f>ROUND(+F35/C35,4)</f>
        <v>9.9400000000000002E-2</v>
      </c>
      <c r="H35" s="90">
        <f>ROUND($V$10*$A35,2)</f>
        <v>-5.41</v>
      </c>
      <c r="I35" s="90">
        <f>ROUND($V$11*$A35,2)</f>
        <v>9.36</v>
      </c>
      <c r="J35" s="90">
        <f>ROUND($V$12*$A35,2)</f>
        <v>47.01</v>
      </c>
      <c r="K35" s="90">
        <f t="shared" si="2"/>
        <v>543.02172254091636</v>
      </c>
      <c r="L35" s="28">
        <f>+D35+H35+I35+J35</f>
        <v>590.81062500000007</v>
      </c>
      <c r="M35" s="54">
        <f>ROUND((L35-K35)/K35,4)</f>
        <v>8.7999999999999995E-2</v>
      </c>
      <c r="N35" s="90">
        <f t="shared" si="3"/>
        <v>-2.72</v>
      </c>
      <c r="O35" s="90">
        <f t="shared" si="4"/>
        <v>588.09062500000005</v>
      </c>
      <c r="P35" s="91">
        <f t="shared" si="5"/>
        <v>8.3000000000000004E-2</v>
      </c>
      <c r="U35" s="7">
        <f>$U$21</f>
        <v>31.655000000000001</v>
      </c>
      <c r="V35" s="6">
        <f>A35*$V$18</f>
        <v>449</v>
      </c>
      <c r="W35" s="6">
        <f>U35+V35</f>
        <v>480.65499999999997</v>
      </c>
      <c r="X35" s="6"/>
      <c r="Z35" s="7">
        <f>+$Z$21</f>
        <v>41.090625000000003</v>
      </c>
      <c r="AA35" s="6">
        <f>+$A35*AA$18</f>
        <v>498.76000000000005</v>
      </c>
      <c r="AB35" s="6">
        <f>Z35+AA35</f>
        <v>539.85062500000004</v>
      </c>
      <c r="AC35" s="84">
        <f>$AC$18*A35</f>
        <v>11.406722540916361</v>
      </c>
      <c r="AD35" s="84">
        <f>$AD$18*A35</f>
        <v>-2.72</v>
      </c>
      <c r="AE35" s="6"/>
      <c r="AF35" s="6"/>
      <c r="AK35" s="8"/>
      <c r="AL35" s="8"/>
    </row>
    <row r="36" spans="1:38" x14ac:dyDescent="0.25">
      <c r="C36" s="17"/>
      <c r="D36" s="17"/>
      <c r="E36" s="17"/>
      <c r="F36" s="90"/>
      <c r="H36" s="17"/>
      <c r="I36" s="17"/>
      <c r="J36" s="17"/>
      <c r="K36" s="90"/>
      <c r="N36" s="17"/>
      <c r="O36" s="90"/>
      <c r="P36" s="91"/>
      <c r="U36" s="7"/>
      <c r="V36" s="6"/>
      <c r="W36" s="6"/>
      <c r="X36" s="6"/>
      <c r="Z36" s="7"/>
      <c r="AA36" s="6"/>
      <c r="AB36" s="6"/>
      <c r="AC36" s="84"/>
      <c r="AD36" s="84"/>
      <c r="AE36" s="6"/>
      <c r="AF36" s="6"/>
      <c r="AK36" s="8"/>
      <c r="AL36" s="8"/>
    </row>
    <row r="37" spans="1:38" x14ac:dyDescent="0.25">
      <c r="A37" s="17" t="s">
        <v>301</v>
      </c>
      <c r="U37" s="7"/>
    </row>
    <row r="38" spans="1:38" x14ac:dyDescent="0.25">
      <c r="A38" s="174" t="str">
        <f>("Average Usage = "&amp;TEXT(INPUT!$E$26*1,"000")&amp;" kWh per month")</f>
        <v>Average Usage = 914 kWh per month</v>
      </c>
    </row>
    <row r="39" spans="1:38" x14ac:dyDescent="0.25">
      <c r="A39" s="175" t="s">
        <v>302</v>
      </c>
    </row>
    <row r="40" spans="1:38" x14ac:dyDescent="0.25">
      <c r="A40" s="175" t="str">
        <f>+'Rate Case Constants'!$C$26</f>
        <v>Calculations may vary from other schedules due to rounding</v>
      </c>
    </row>
    <row r="42" spans="1:38" ht="12" customHeight="1" x14ac:dyDescent="0.25">
      <c r="A42" s="175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550FA1C-7AE4-4733-A237-34C7055E8ADC}"/>
</file>

<file path=customXml/itemProps2.xml><?xml version="1.0" encoding="utf-8"?>
<ds:datastoreItem xmlns:ds="http://schemas.openxmlformats.org/officeDocument/2006/customXml" ds:itemID="{3151E6C4-159F-4E88-8157-FBA095DE0BDF}"/>
</file>

<file path=customXml/itemProps3.xml><?xml version="1.0" encoding="utf-8"?>
<ds:datastoreItem xmlns:ds="http://schemas.openxmlformats.org/officeDocument/2006/customXml" ds:itemID="{A20C33AD-75F8-400B-9E6B-F60FC2F16259}"/>
</file>

<file path=customXml/itemProps4.xml><?xml version="1.0" encoding="utf-8"?>
<ds:datastoreItem xmlns:ds="http://schemas.openxmlformats.org/officeDocument/2006/customXml" ds:itemID="{E065FB25-3AD0-41BF-81F6-B58891FDABD8}"/>
</file>

<file path=customXml/itemProps5.xml><?xml version="1.0" encoding="utf-8"?>
<ds:datastoreItem xmlns:ds="http://schemas.openxmlformats.org/officeDocument/2006/customXml" ds:itemID="{36BCFECA-5BB1-4101-82AD-0BA25E078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Rate Case Constants</vt:lpstr>
      <vt:lpstr>INPUT</vt:lpstr>
      <vt:lpstr>SCHEDULES===&gt;</vt:lpstr>
      <vt:lpstr>Rate RS-VFD</vt:lpstr>
      <vt:lpstr>Rate RTOD Energy</vt:lpstr>
      <vt:lpstr>Rate RTOD Demand</vt:lpstr>
      <vt:lpstr>Rate AES Single Phase</vt:lpstr>
      <vt:lpstr>Rate AES Three Phase</vt:lpstr>
      <vt:lpstr>Rate GS Single Phase</vt:lpstr>
      <vt:lpstr>Rate GS Three Phase</vt:lpstr>
      <vt:lpstr>Rate PS Secondary</vt:lpstr>
      <vt:lpstr>Rate PS Primary</vt:lpstr>
      <vt:lpstr>Rate TOD Secondary</vt:lpstr>
      <vt:lpstr>Rate TOD Primary</vt:lpstr>
      <vt:lpstr>Rate RTS</vt:lpstr>
      <vt:lpstr>Rate FLS Transmission</vt:lpstr>
      <vt:lpstr>Rate FLS Primary</vt:lpstr>
      <vt:lpstr>Rate LS-RLS</vt:lpstr>
      <vt:lpstr>Rate LE</vt:lpstr>
      <vt:lpstr>Rate TE</vt:lpstr>
      <vt:lpstr>Rate OSL - Secondary</vt:lpstr>
      <vt:lpstr>Rate OSL - Primary</vt:lpstr>
      <vt:lpstr>Rate EVC-L2</vt:lpstr>
      <vt:lpstr>Rate PSA</vt:lpstr>
      <vt:lpstr>INPUT!Print_Area</vt:lpstr>
      <vt:lpstr>'Rate AES Single Phase'!Print_Area</vt:lpstr>
      <vt:lpstr>'Rate AES Three Phase'!Print_Area</vt:lpstr>
      <vt:lpstr>'Rate EVC-L2'!Print_Area</vt:lpstr>
      <vt:lpstr>'Rate FLS Primary'!Print_Area</vt:lpstr>
      <vt:lpstr>'Rate FLS Transmission'!Print_Area</vt:lpstr>
      <vt:lpstr>'Rate GS Single Phase'!Print_Area</vt:lpstr>
      <vt:lpstr>'Rate GS Three Phase'!Print_Area</vt:lpstr>
      <vt:lpstr>'Rate LE'!Print_Area</vt:lpstr>
      <vt:lpstr>'Rate LS-RLS'!Print_Area</vt:lpstr>
      <vt:lpstr>'Rate OSL - Primary'!Print_Area</vt:lpstr>
      <vt:lpstr>'Rate OSL - Secondary'!Print_Area</vt:lpstr>
      <vt:lpstr>'Rate PS Primary'!Print_Area</vt:lpstr>
      <vt:lpstr>'Rate PS Secondary'!Print_Area</vt:lpstr>
      <vt:lpstr>'Rate PSA'!Print_Area</vt:lpstr>
      <vt:lpstr>'Rate RS-VFD'!Print_Area</vt:lpstr>
      <vt:lpstr>'Rate RTOD Demand'!Print_Area</vt:lpstr>
      <vt:lpstr>'Rate RTOD Energy'!Print_Area</vt:lpstr>
      <vt:lpstr>'Rate RTS'!Print_Area</vt:lpstr>
      <vt:lpstr>'Rate TE'!Print_Area</vt:lpstr>
      <vt:lpstr>'Rate TOD Primary'!Print_Area</vt:lpstr>
      <vt:lpstr>'Rate TOD Secondary'!Print_Area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2020-12-02T14:25:12Z</dcterms:created>
  <dcterms:modified xsi:type="dcterms:W3CDTF">2020-12-02T17:07:26Z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2020-12-02T14:52:38Z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11020711-7f42-4b0e-b6d6-9d5d847382eb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