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0 Rate Case\PSC\KU\"/>
    </mc:Choice>
  </mc:AlternateContent>
  <xr:revisionPtr revIDLastSave="0" documentId="8_{40D83E92-7CEC-4C6E-9DF2-A110F4243542}" xr6:coauthVersionLast="45" xr6:coauthVersionMax="45" xr10:uidLastSave="{00000000-0000-0000-0000-000000000000}"/>
  <bookViews>
    <workbookView xWindow="-110" yWindow="-110" windowWidth="19420" windowHeight="10420" tabRatio="605" xr2:uid="{00000000-000D-0000-FFFF-FFFF00000000}"/>
  </bookViews>
  <sheets>
    <sheet name="22 - KU -Sched E1" sheetId="23" r:id="rId1"/>
    <sheet name="3 - KU - Sched 1 KU Energy" sheetId="20" state="hidden" r:id="rId2"/>
    <sheet name="3 - KU - Sched 1 LEC" sheetId="21" state="hidden" r:id="rId3"/>
    <sheet name="22 - KU - Sched E2" sheetId="22" r:id="rId4"/>
  </sheets>
  <definedNames>
    <definedName name="_xlnm.Print_Area" localSheetId="3">'22 - KU - Sched E2'!$A$1:$L$39</definedName>
    <definedName name="_xlnm.Print_Area" localSheetId="0">'22 - KU -Sched E1'!$A$1:$N$27</definedName>
    <definedName name="_xlnm.Print_Area" localSheetId="1">'3 - KU - Sched 1 KU Energy'!$A$1:$N$39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22" l="1"/>
  <c r="J30" i="22"/>
  <c r="J29" i="22"/>
  <c r="J28" i="22"/>
  <c r="J27" i="22"/>
  <c r="J26" i="22"/>
  <c r="J25" i="22"/>
  <c r="J24" i="22"/>
  <c r="J23" i="22"/>
  <c r="J22" i="22"/>
  <c r="J20" i="22"/>
  <c r="J21" i="22"/>
  <c r="J19" i="22"/>
  <c r="A2" i="22" l="1"/>
  <c r="G23" i="23"/>
  <c r="H17" i="23" s="1"/>
  <c r="E23" i="23"/>
  <c r="F22" i="23" s="1"/>
  <c r="C23" i="23"/>
  <c r="D17" i="23" s="1"/>
  <c r="F21" i="23"/>
  <c r="F18" i="23"/>
  <c r="M17" i="23"/>
  <c r="K17" i="23"/>
  <c r="K23" i="23" s="1"/>
  <c r="I17" i="23"/>
  <c r="F17" i="23"/>
  <c r="F19" i="23" s="1"/>
  <c r="D21" i="23" l="1"/>
  <c r="L17" i="23"/>
  <c r="L21" i="23"/>
  <c r="F20" i="23"/>
  <c r="F23" i="23" s="1"/>
  <c r="H22" i="23"/>
  <c r="H20" i="23"/>
  <c r="H18" i="23"/>
  <c r="H19" i="23" s="1"/>
  <c r="D18" i="23"/>
  <c r="D19" i="23" s="1"/>
  <c r="L18" i="23"/>
  <c r="L19" i="23" s="1"/>
  <c r="D20" i="23"/>
  <c r="L20" i="23"/>
  <c r="H21" i="23"/>
  <c r="D22" i="23"/>
  <c r="L22" i="23"/>
  <c r="I23" i="23"/>
  <c r="J17" i="23" s="1"/>
  <c r="M23" i="23"/>
  <c r="H23" i="23" l="1"/>
  <c r="L23" i="23"/>
  <c r="N22" i="23"/>
  <c r="N20" i="23"/>
  <c r="N18" i="23"/>
  <c r="N21" i="23"/>
  <c r="N17" i="23"/>
  <c r="J21" i="23"/>
  <c r="J22" i="23"/>
  <c r="J20" i="23"/>
  <c r="J18" i="23"/>
  <c r="D23" i="23"/>
  <c r="J23" i="23" l="1"/>
  <c r="N23" i="23"/>
  <c r="N19" i="23"/>
  <c r="J19" i="23"/>
  <c r="D19" i="22" l="1"/>
  <c r="D31" i="22" l="1"/>
  <c r="D30" i="22"/>
  <c r="D29" i="22"/>
  <c r="D28" i="22"/>
  <c r="D27" i="22"/>
  <c r="D26" i="22"/>
  <c r="D25" i="22"/>
  <c r="D24" i="22"/>
  <c r="D23" i="22"/>
  <c r="D22" i="22"/>
  <c r="D21" i="22"/>
  <c r="D20" i="22"/>
  <c r="L30" i="22" l="1"/>
  <c r="C30" i="22" s="1"/>
  <c r="L31" i="22"/>
  <c r="C31" i="22" l="1"/>
  <c r="L29" i="22"/>
  <c r="C29" i="22" s="1"/>
  <c r="I35" i="22" l="1"/>
  <c r="H35" i="22"/>
  <c r="K35" i="22"/>
  <c r="J35" i="22"/>
  <c r="D35" i="22"/>
  <c r="L35" i="22"/>
  <c r="L26" i="22" l="1"/>
  <c r="C26" i="22" s="1"/>
  <c r="L25" i="22"/>
  <c r="C25" i="22" s="1"/>
  <c r="L24" i="22"/>
  <c r="C24" i="22" s="1"/>
  <c r="L23" i="22"/>
  <c r="C23" i="22" s="1"/>
  <c r="L21" i="22"/>
  <c r="C21" i="22" s="1"/>
  <c r="L20" i="22"/>
  <c r="C20" i="22" s="1"/>
  <c r="K32" i="22"/>
  <c r="K33" i="22" s="1"/>
  <c r="I32" i="22"/>
  <c r="I33" i="22" s="1"/>
  <c r="Q26" i="21"/>
  <c r="Q25" i="21"/>
  <c r="M18" i="20"/>
  <c r="G24" i="20"/>
  <c r="H20" i="20" s="1"/>
  <c r="I18" i="20"/>
  <c r="K18" i="20"/>
  <c r="E18" i="20"/>
  <c r="C18" i="20"/>
  <c r="C22" i="20"/>
  <c r="I23" i="21"/>
  <c r="I29" i="21" s="1"/>
  <c r="J28" i="21" s="1"/>
  <c r="M29" i="21"/>
  <c r="N28" i="21" s="1"/>
  <c r="O29" i="21"/>
  <c r="P28" i="21" s="1"/>
  <c r="E23" i="21"/>
  <c r="E29" i="21" s="1"/>
  <c r="K23" i="21"/>
  <c r="K29" i="21" s="1"/>
  <c r="G23" i="21"/>
  <c r="G29" i="21" s="1"/>
  <c r="C29" i="21"/>
  <c r="D27" i="21" s="1"/>
  <c r="N27" i="21"/>
  <c r="Q24" i="21"/>
  <c r="Q23" i="21"/>
  <c r="Q29" i="21" s="1"/>
  <c r="P27" i="21"/>
  <c r="P23" i="21"/>
  <c r="Q27" i="21"/>
  <c r="P24" i="21" l="1"/>
  <c r="P26" i="21"/>
  <c r="P25" i="21"/>
  <c r="P29" i="21" s="1"/>
  <c r="C24" i="20"/>
  <c r="D22" i="20" s="1"/>
  <c r="H23" i="21"/>
  <c r="J25" i="21"/>
  <c r="J26" i="21"/>
  <c r="J32" i="22"/>
  <c r="J33" i="22" s="1"/>
  <c r="L22" i="22"/>
  <c r="C22" i="22" s="1"/>
  <c r="L27" i="22"/>
  <c r="C27" i="22" s="1"/>
  <c r="L28" i="22"/>
  <c r="C28" i="22" s="1"/>
  <c r="L19" i="22"/>
  <c r="R24" i="21"/>
  <c r="R28" i="21"/>
  <c r="L24" i="21"/>
  <c r="L26" i="21"/>
  <c r="L28" i="21"/>
  <c r="L25" i="21"/>
  <c r="L27" i="21"/>
  <c r="L23" i="21"/>
  <c r="D24" i="21"/>
  <c r="D26" i="21"/>
  <c r="D28" i="21"/>
  <c r="D23" i="21"/>
  <c r="J27" i="21"/>
  <c r="J23" i="21"/>
  <c r="D25" i="21"/>
  <c r="R26" i="21"/>
  <c r="F26" i="21"/>
  <c r="F28" i="21"/>
  <c r="F27" i="21"/>
  <c r="F23" i="21"/>
  <c r="F24" i="21"/>
  <c r="R27" i="21"/>
  <c r="R23" i="21"/>
  <c r="R29" i="21" s="1"/>
  <c r="H24" i="21"/>
  <c r="H27" i="21"/>
  <c r="H26" i="21"/>
  <c r="H18" i="20"/>
  <c r="H23" i="20"/>
  <c r="H19" i="20"/>
  <c r="H25" i="21"/>
  <c r="H22" i="20"/>
  <c r="H32" i="22"/>
  <c r="H33" i="22" s="1"/>
  <c r="R25" i="21"/>
  <c r="H28" i="21"/>
  <c r="N25" i="21"/>
  <c r="N23" i="21"/>
  <c r="N26" i="21"/>
  <c r="N24" i="21"/>
  <c r="E24" i="20"/>
  <c r="F18" i="20" s="1"/>
  <c r="H21" i="20"/>
  <c r="J24" i="21"/>
  <c r="D32" i="22"/>
  <c r="D21" i="20" l="1"/>
  <c r="D24" i="20" s="1"/>
  <c r="C19" i="22"/>
  <c r="D19" i="20"/>
  <c r="D20" i="20"/>
  <c r="D18" i="20"/>
  <c r="D23" i="20"/>
  <c r="D29" i="21"/>
  <c r="H29" i="21"/>
  <c r="L32" i="22"/>
  <c r="L33" i="22" s="1"/>
  <c r="L29" i="21"/>
  <c r="J29" i="21"/>
  <c r="D33" i="22"/>
  <c r="C32" i="22"/>
  <c r="F29" i="21"/>
  <c r="H24" i="20"/>
  <c r="I20" i="20" s="1"/>
  <c r="F22" i="20"/>
  <c r="F23" i="20"/>
  <c r="F21" i="20"/>
  <c r="F20" i="20"/>
  <c r="N29" i="21"/>
  <c r="F24" i="20" l="1"/>
  <c r="I24" i="20"/>
  <c r="J20" i="20" s="1"/>
  <c r="C33" i="22"/>
  <c r="D34" i="22" s="1"/>
  <c r="K34" i="22" l="1"/>
  <c r="I34" i="22"/>
  <c r="L34" i="22"/>
  <c r="J34" i="22"/>
  <c r="H34" i="22"/>
  <c r="J22" i="20"/>
  <c r="J19" i="20"/>
  <c r="J21" i="20"/>
  <c r="J18" i="20"/>
  <c r="J23" i="20"/>
  <c r="J24" i="20" l="1"/>
  <c r="K20" i="20" s="1"/>
  <c r="K24" i="20" l="1"/>
  <c r="L20" i="20" s="1"/>
  <c r="L21" i="20" l="1"/>
  <c r="L22" i="20"/>
  <c r="L19" i="20"/>
  <c r="L23" i="20"/>
  <c r="L18" i="20"/>
  <c r="L24" i="20" l="1"/>
  <c r="M20" i="20" s="1"/>
  <c r="M24" i="20" l="1"/>
  <c r="N21" i="20" l="1"/>
  <c r="N18" i="20"/>
  <c r="N19" i="20"/>
  <c r="N22" i="20"/>
  <c r="N23" i="20"/>
  <c r="N20" i="20"/>
  <c r="N24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Dickson</author>
  </authors>
  <commentList>
    <comment ref="B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Gloria Dickson:</t>
        </r>
        <r>
          <rPr>
            <sz val="8"/>
            <color indexed="81"/>
            <rFont val="Tahoma"/>
            <family val="2"/>
          </rPr>
          <t xml:space="preserve">
Do we still need this tab.  Looks like KU Energy only existed through 1997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Dickson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Gloria Dickson:</t>
        </r>
        <r>
          <rPr>
            <sz val="8"/>
            <color indexed="81"/>
            <rFont val="Tahoma"/>
            <family val="2"/>
          </rPr>
          <t xml:space="preserve">
Do we still need. Does KU LEC exist.</t>
        </r>
      </text>
    </comment>
  </commentList>
</comments>
</file>

<file path=xl/sharedStrings.xml><?xml version="1.0" encoding="utf-8"?>
<sst xmlns="http://schemas.openxmlformats.org/spreadsheetml/2006/main" count="144" uniqueCount="69">
  <si>
    <t>Responding Witness:  S. Bradford Rives</t>
  </si>
  <si>
    <t>Comparative Capital Structures (Excluding JDIC)</t>
  </si>
  <si>
    <t>For the Periods as Shown</t>
  </si>
  <si>
    <t>"000 Omitted"</t>
  </si>
  <si>
    <t>Line No.</t>
  </si>
  <si>
    <t>Type of Capital</t>
  </si>
  <si>
    <t>Long-Term Debt</t>
  </si>
  <si>
    <t>Short-Term Debt</t>
  </si>
  <si>
    <t>Preferred Stock</t>
  </si>
  <si>
    <t>Common Equity</t>
  </si>
  <si>
    <t>Other</t>
  </si>
  <si>
    <t>Total Capitalization</t>
  </si>
  <si>
    <t>Amount</t>
  </si>
  <si>
    <t>Ratio</t>
  </si>
  <si>
    <t>(b)</t>
  </si>
  <si>
    <t>(d)</t>
  </si>
  <si>
    <t>(f)</t>
  </si>
  <si>
    <t>(g)</t>
  </si>
  <si>
    <t>(h)</t>
  </si>
  <si>
    <t>Kentucky Utilities Company</t>
  </si>
  <si>
    <t>Earnings</t>
  </si>
  <si>
    <t>Question No. 3</t>
  </si>
  <si>
    <t>Case No. 2003-00434</t>
  </si>
  <si>
    <t xml:space="preserve">Total </t>
  </si>
  <si>
    <t>Long-Term</t>
  </si>
  <si>
    <t>Short-Term</t>
  </si>
  <si>
    <t>Preferred</t>
  </si>
  <si>
    <t>Common</t>
  </si>
  <si>
    <t>Retained</t>
  </si>
  <si>
    <t>Total Capital</t>
  </si>
  <si>
    <t>Debt</t>
  </si>
  <si>
    <t>Stock</t>
  </si>
  <si>
    <t xml:space="preserve">Equity </t>
  </si>
  <si>
    <t>Item (a)</t>
  </si>
  <si>
    <t>Total</t>
  </si>
  <si>
    <t>Average Balance</t>
  </si>
  <si>
    <t>Average Capitalization Ratios</t>
  </si>
  <si>
    <t>End-of-period Capitalization Ratios</t>
  </si>
  <si>
    <t>Latest Available</t>
  </si>
  <si>
    <t>Quarter 9/30/2003</t>
  </si>
  <si>
    <t>Average Test Year</t>
  </si>
  <si>
    <t>Test Year</t>
  </si>
  <si>
    <t>(i)</t>
  </si>
  <si>
    <t>AR Securitization</t>
  </si>
  <si>
    <t>Schedule 1</t>
  </si>
  <si>
    <t>LG&amp;E Energy LLC</t>
  </si>
  <si>
    <t>Minority Interest</t>
  </si>
  <si>
    <t>KU Energy Corp.</t>
  </si>
  <si>
    <t>Note:  The short-term portion of long-term debt is included in the long-term debt line.</t>
  </si>
  <si>
    <t>(c)</t>
  </si>
  <si>
    <t>Line</t>
  </si>
  <si>
    <t>No.</t>
  </si>
  <si>
    <t>Responding Witness:  Daniel K. Arbough</t>
  </si>
  <si>
    <t>Calculation of Average Capital Structure</t>
  </si>
  <si>
    <t xml:space="preserve">Note: </t>
  </si>
  <si>
    <t>Total long-term debt includes the short-term portion of long-term debt.</t>
  </si>
  <si>
    <t>Numbers may not foot to total due to rounding.</t>
  </si>
  <si>
    <t xml:space="preserve">Note:  </t>
  </si>
  <si>
    <t>(1) Common Stock (g) includes Common Stock, Common Stock Expense, Paid in Capital, and Other Comprehensive Income.</t>
  </si>
  <si>
    <t>Beginning Balance</t>
  </si>
  <si>
    <t>Debt Expesne</t>
  </si>
  <si>
    <t>Loss</t>
  </si>
  <si>
    <t>Unamortized</t>
  </si>
  <si>
    <t>Quarter 09/30/2020</t>
  </si>
  <si>
    <t>12 Months Ended December 31, 2019</t>
  </si>
  <si>
    <t>Case No. 2020-00349</t>
  </si>
  <si>
    <t>Question No. 22</t>
  </si>
  <si>
    <t>Schedule E1</t>
  </si>
  <si>
    <t>Schedule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</si>
</sst>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yyyy"/>
  </numFmts>
  <fonts count="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0" fillId="0" borderId="0" xfId="1" applyNumberFormat="1" applyFont="1"/>
    <xf numFmtId="41" fontId="0" fillId="0" borderId="2" xfId="1" applyNumberFormat="1" applyFont="1" applyBorder="1"/>
    <xf numFmtId="10" fontId="0" fillId="0" borderId="0" xfId="3" applyNumberFormat="1" applyFont="1"/>
    <xf numFmtId="164" fontId="0" fillId="0" borderId="0" xfId="1" applyNumberFormat="1" applyFont="1"/>
    <xf numFmtId="164" fontId="0" fillId="0" borderId="2" xfId="1" applyNumberFormat="1" applyFont="1" applyBorder="1"/>
    <xf numFmtId="10" fontId="0" fillId="0" borderId="0" xfId="1" applyNumberFormat="1" applyFont="1"/>
    <xf numFmtId="0" fontId="0" fillId="0" borderId="1" xfId="0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0" xfId="3" applyNumberFormat="1" applyFont="1" applyBorder="1"/>
    <xf numFmtId="164" fontId="0" fillId="0" borderId="0" xfId="0" applyNumberFormat="1" applyBorder="1"/>
    <xf numFmtId="10" fontId="0" fillId="0" borderId="0" xfId="0" applyNumberFormat="1" applyBorder="1"/>
    <xf numFmtId="10" fontId="0" fillId="0" borderId="2" xfId="3" applyNumberFormat="1" applyFont="1" applyBorder="1"/>
    <xf numFmtId="0" fontId="0" fillId="0" borderId="0" xfId="0" applyAlignment="1">
      <alignment horizontal="left"/>
    </xf>
    <xf numFmtId="165" fontId="4" fillId="0" borderId="0" xfId="2" applyNumberFormat="1" applyFont="1" applyFill="1"/>
    <xf numFmtId="164" fontId="4" fillId="0" borderId="0" xfId="1" applyNumberFormat="1" applyFont="1" applyFill="1"/>
    <xf numFmtId="164" fontId="4" fillId="0" borderId="2" xfId="1" applyNumberFormat="1" applyFont="1" applyFill="1" applyBorder="1"/>
    <xf numFmtId="0" fontId="4" fillId="0" borderId="0" xfId="0" applyFont="1" applyFill="1"/>
    <xf numFmtId="10" fontId="4" fillId="0" borderId="0" xfId="3" applyNumberFormat="1" applyFont="1" applyFill="1"/>
    <xf numFmtId="49" fontId="4" fillId="0" borderId="0" xfId="0" applyNumberFormat="1" applyFont="1" applyFill="1" applyAlignment="1">
      <alignment horizontal="left"/>
    </xf>
    <xf numFmtId="10" fontId="4" fillId="0" borderId="0" xfId="3" applyNumberFormat="1" applyFont="1" applyFill="1" applyAlignment="1"/>
    <xf numFmtId="0" fontId="4" fillId="0" borderId="2" xfId="0" quotePrefix="1" applyFont="1" applyFill="1" applyBorder="1" applyAlignment="1">
      <alignment horizontal="center"/>
    </xf>
    <xf numFmtId="0" fontId="4" fillId="0" borderId="0" xfId="0" applyFont="1" applyFill="1" applyAlignment="1"/>
    <xf numFmtId="49" fontId="4" fillId="0" borderId="0" xfId="0" quotePrefix="1" applyNumberFormat="1" applyFont="1" applyFill="1" applyAlignment="1">
      <alignment horizontal="left"/>
    </xf>
    <xf numFmtId="165" fontId="4" fillId="0" borderId="0" xfId="2" applyNumberFormat="1" applyFont="1" applyFill="1" applyBorder="1"/>
    <xf numFmtId="10" fontId="4" fillId="0" borderId="0" xfId="3" applyNumberFormat="1" applyFont="1" applyFill="1" applyBorder="1"/>
    <xf numFmtId="164" fontId="4" fillId="0" borderId="0" xfId="1" applyNumberFormat="1" applyFont="1" applyFill="1" applyBorder="1"/>
    <xf numFmtId="41" fontId="4" fillId="0" borderId="0" xfId="1" applyNumberFormat="1" applyFont="1" applyFill="1" applyBorder="1"/>
    <xf numFmtId="10" fontId="4" fillId="0" borderId="0" xfId="1" applyNumberFormat="1" applyFont="1" applyFill="1" applyBorder="1"/>
    <xf numFmtId="0" fontId="4" fillId="0" borderId="0" xfId="0" quotePrefix="1" applyFont="1" applyFill="1"/>
    <xf numFmtId="0" fontId="4" fillId="0" borderId="2" xfId="0" applyFont="1" applyFill="1" applyBorder="1" applyAlignment="1">
      <alignment horizontal="center"/>
    </xf>
    <xf numFmtId="41" fontId="4" fillId="0" borderId="2" xfId="1" applyNumberFormat="1" applyFont="1" applyFill="1" applyBorder="1"/>
    <xf numFmtId="10" fontId="4" fillId="0" borderId="0" xfId="1" applyNumberFormat="1" applyFont="1" applyFill="1"/>
    <xf numFmtId="49" fontId="4" fillId="0" borderId="1" xfId="0" applyNumberFormat="1" applyFont="1" applyFill="1" applyBorder="1" applyAlignment="1">
      <alignment horizontal="left"/>
    </xf>
    <xf numFmtId="164" fontId="4" fillId="0" borderId="1" xfId="1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10" fontId="4" fillId="0" borderId="2" xfId="3" applyNumberFormat="1" applyFont="1" applyFill="1" applyBorder="1"/>
    <xf numFmtId="37" fontId="4" fillId="0" borderId="0" xfId="2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0" fontId="4" fillId="0" borderId="0" xfId="3" applyNumberFormat="1" applyFont="1" applyFill="1" applyAlignment="1">
      <alignment vertical="top"/>
    </xf>
    <xf numFmtId="4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10" fontId="4" fillId="0" borderId="0" xfId="0" applyNumberFormat="1" applyFont="1"/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164" fontId="4" fillId="0" borderId="0" xfId="1" applyNumberFormat="1" applyFont="1" applyFill="1" applyAlignment="1"/>
    <xf numFmtId="164" fontId="4" fillId="0" borderId="1" xfId="1" applyNumberFormat="1" applyFont="1" applyFill="1" applyBorder="1" applyAlignment="1"/>
    <xf numFmtId="0" fontId="4" fillId="0" borderId="0" xfId="0" quotePrefix="1" applyFont="1" applyAlignment="1">
      <alignment horizontal="right"/>
    </xf>
    <xf numFmtId="0" fontId="4" fillId="0" borderId="0" xfId="0" applyFont="1" applyAlignment="1"/>
    <xf numFmtId="0" fontId="4" fillId="0" borderId="0" xfId="0" quotePrefix="1" applyFont="1" applyAlignment="1"/>
    <xf numFmtId="166" fontId="4" fillId="0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3339-AD19-4D43-BD64-0526E5DD2B19}">
  <sheetPr codeName="Sheet1">
    <pageSetUpPr fitToPage="1"/>
  </sheetPr>
  <dimension ref="A1:R48"/>
  <sheetViews>
    <sheetView showGridLines="0" tabSelected="1" zoomScaleNormal="100" workbookViewId="0">
      <selection activeCell="A8" sqref="A8:N8"/>
    </sheetView>
  </sheetViews>
  <sheetFormatPr defaultColWidth="9.08984375" defaultRowHeight="15.5" x14ac:dyDescent="0.35"/>
  <cols>
    <col min="1" max="1" width="7.90625" style="47" customWidth="1"/>
    <col min="2" max="2" width="17.90625" style="47" bestFit="1" customWidth="1"/>
    <col min="3" max="3" width="12.6328125" style="47" bestFit="1" customWidth="1"/>
    <col min="4" max="4" width="9.36328125" style="47" bestFit="1" customWidth="1"/>
    <col min="5" max="5" width="13.08984375" style="47" bestFit="1" customWidth="1"/>
    <col min="6" max="6" width="9.36328125" style="47" bestFit="1" customWidth="1"/>
    <col min="7" max="7" width="13.08984375" style="47" bestFit="1" customWidth="1"/>
    <col min="8" max="8" width="9.36328125" style="47" bestFit="1" customWidth="1"/>
    <col min="9" max="9" width="12.6328125" style="47" bestFit="1" customWidth="1"/>
    <col min="10" max="10" width="9.36328125" style="47" bestFit="1" customWidth="1"/>
    <col min="11" max="11" width="12.6328125" style="47" bestFit="1" customWidth="1"/>
    <col min="12" max="12" width="9.36328125" style="47" bestFit="1" customWidth="1"/>
    <col min="13" max="13" width="12.6328125" style="47" bestFit="1" customWidth="1"/>
    <col min="14" max="14" width="9.36328125" style="47" bestFit="1" customWidth="1"/>
    <col min="15" max="15" width="12.6328125" style="47" bestFit="1" customWidth="1"/>
    <col min="16" max="18" width="9.08984375" style="47"/>
    <col min="19" max="20" width="11.90625" style="47" bestFit="1" customWidth="1"/>
    <col min="21" max="16384" width="9.08984375" style="47"/>
  </cols>
  <sheetData>
    <row r="1" spans="1:18" x14ac:dyDescent="0.35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0"/>
      <c r="P1" s="60"/>
      <c r="Q1" s="46"/>
    </row>
    <row r="2" spans="1:18" x14ac:dyDescent="0.3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0"/>
      <c r="P2" s="60"/>
      <c r="Q2" s="46"/>
    </row>
    <row r="3" spans="1:18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x14ac:dyDescent="0.35">
      <c r="A4" s="64" t="s">
        <v>66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0"/>
      <c r="P4" s="60"/>
      <c r="Q4" s="46"/>
    </row>
    <row r="5" spans="1:18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8" x14ac:dyDescent="0.35">
      <c r="A6" s="64" t="s">
        <v>52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0"/>
      <c r="P6" s="60"/>
      <c r="Q6" s="46"/>
    </row>
    <row r="7" spans="1:18" x14ac:dyDescent="0.3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8" x14ac:dyDescent="0.3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0"/>
      <c r="P8" s="60"/>
      <c r="Q8" s="46"/>
    </row>
    <row r="9" spans="1:18" x14ac:dyDescent="0.35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0"/>
      <c r="P9" s="60"/>
      <c r="Q9" s="46"/>
    </row>
    <row r="10" spans="1:18" x14ac:dyDescent="0.35">
      <c r="A10" s="65" t="s">
        <v>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1"/>
      <c r="P10" s="61"/>
      <c r="Q10" s="46"/>
    </row>
    <row r="11" spans="1:18" x14ac:dyDescent="0.3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9" t="s">
        <v>67</v>
      </c>
      <c r="P11" s="46"/>
      <c r="Q11" s="46"/>
    </row>
    <row r="14" spans="1:18" x14ac:dyDescent="0.35">
      <c r="A14" s="46"/>
      <c r="C14" s="63">
        <v>2015</v>
      </c>
      <c r="D14" s="63"/>
      <c r="E14" s="63">
        <v>2016</v>
      </c>
      <c r="F14" s="63"/>
      <c r="G14" s="63">
        <v>2017</v>
      </c>
      <c r="H14" s="63"/>
      <c r="I14" s="63">
        <v>2018</v>
      </c>
      <c r="J14" s="63"/>
      <c r="K14" s="63">
        <v>2019</v>
      </c>
      <c r="L14" s="63"/>
      <c r="M14" s="63" t="s">
        <v>63</v>
      </c>
      <c r="N14" s="63"/>
      <c r="O14" s="64"/>
      <c r="P14" s="64"/>
      <c r="Q14" s="65"/>
      <c r="R14" s="64"/>
    </row>
    <row r="15" spans="1:18" x14ac:dyDescent="0.35">
      <c r="A15" s="46" t="s">
        <v>4</v>
      </c>
      <c r="B15" s="46" t="s">
        <v>5</v>
      </c>
      <c r="C15" s="48" t="s">
        <v>12</v>
      </c>
      <c r="D15" s="48" t="s">
        <v>13</v>
      </c>
      <c r="E15" s="48" t="s">
        <v>12</v>
      </c>
      <c r="F15" s="48" t="s">
        <v>13</v>
      </c>
      <c r="G15" s="48" t="s">
        <v>12</v>
      </c>
      <c r="H15" s="48" t="s">
        <v>13</v>
      </c>
      <c r="I15" s="48" t="s">
        <v>12</v>
      </c>
      <c r="J15" s="48" t="s">
        <v>13</v>
      </c>
      <c r="K15" s="48" t="s">
        <v>12</v>
      </c>
      <c r="L15" s="48" t="s">
        <v>13</v>
      </c>
      <c r="M15" s="48" t="s">
        <v>12</v>
      </c>
      <c r="N15" s="48" t="s">
        <v>13</v>
      </c>
      <c r="O15" s="46"/>
      <c r="P15" s="46"/>
      <c r="Q15" s="46"/>
      <c r="R15" s="46"/>
    </row>
    <row r="16" spans="1:18" x14ac:dyDescent="0.35">
      <c r="A16" s="46"/>
      <c r="E16" s="50"/>
      <c r="G16" s="50"/>
    </row>
    <row r="17" spans="1:18" x14ac:dyDescent="0.35">
      <c r="A17" s="46">
        <v>1</v>
      </c>
      <c r="B17" s="47" t="s">
        <v>6</v>
      </c>
      <c r="C17" s="22">
        <v>2311299</v>
      </c>
      <c r="D17" s="26">
        <f>ROUND(C17/C$23,4)</f>
        <v>0.4587</v>
      </c>
      <c r="E17" s="22">
        <v>2313016</v>
      </c>
      <c r="F17" s="26">
        <f>ROUND(E17/E$23,4)</f>
        <v>0.45839999999999997</v>
      </c>
      <c r="G17" s="22">
        <v>2315328</v>
      </c>
      <c r="H17" s="26">
        <f>(G17/G$23)</f>
        <v>0.45311678658698162</v>
      </c>
      <c r="I17" s="22">
        <f>2333824-16625-8498</f>
        <v>2308701</v>
      </c>
      <c r="J17" s="26">
        <f>ROUND(I17/I$23,4)</f>
        <v>0.42920000000000003</v>
      </c>
      <c r="K17" s="22">
        <f>2639741-18127-9294</f>
        <v>2612320</v>
      </c>
      <c r="L17" s="26">
        <f>(K17/K$23)</f>
        <v>0.45594865934876094</v>
      </c>
      <c r="M17" s="22">
        <f>2637560-21890-8812</f>
        <v>2606858</v>
      </c>
      <c r="N17" s="26">
        <f>ROUND(M17/M$23,4)</f>
        <v>0.44309999999999999</v>
      </c>
      <c r="O17" s="32"/>
      <c r="P17" s="33"/>
      <c r="Q17" s="32"/>
      <c r="R17" s="33"/>
    </row>
    <row r="18" spans="1:18" x14ac:dyDescent="0.35">
      <c r="A18" s="46">
        <v>2</v>
      </c>
      <c r="B18" s="47" t="s">
        <v>7</v>
      </c>
      <c r="C18" s="23">
        <v>47997</v>
      </c>
      <c r="D18" s="26">
        <f>ROUND(C18/C$23,4)</f>
        <v>9.4999999999999998E-3</v>
      </c>
      <c r="E18" s="23">
        <v>15999</v>
      </c>
      <c r="F18" s="26">
        <f>ROUND(E18/E$23,4)</f>
        <v>3.2000000000000002E-3</v>
      </c>
      <c r="G18" s="23">
        <v>44957</v>
      </c>
      <c r="H18" s="26">
        <f>ROUND(G18/G$23,4)</f>
        <v>8.8000000000000005E-3</v>
      </c>
      <c r="I18" s="23">
        <v>235080</v>
      </c>
      <c r="J18" s="26">
        <f>ROUND(I18/I$23,4)</f>
        <v>4.3700000000000003E-2</v>
      </c>
      <c r="K18" s="23">
        <v>149935</v>
      </c>
      <c r="L18" s="26">
        <f>ROUND(K18/K$23,4)</f>
        <v>2.6200000000000001E-2</v>
      </c>
      <c r="M18" s="23">
        <v>138996</v>
      </c>
      <c r="N18" s="26">
        <f>ROUND(M18/M$23,4)</f>
        <v>2.3599999999999999E-2</v>
      </c>
      <c r="O18" s="32"/>
      <c r="P18" s="33"/>
      <c r="Q18" s="34"/>
      <c r="R18" s="33"/>
    </row>
    <row r="19" spans="1:18" ht="32.15" customHeight="1" x14ac:dyDescent="0.35">
      <c r="A19" s="46"/>
      <c r="C19" s="23"/>
      <c r="D19" s="49">
        <f>SUM(D17:D18)</f>
        <v>0.46820000000000001</v>
      </c>
      <c r="E19" s="23"/>
      <c r="F19" s="49">
        <f>SUM(F17:F18)</f>
        <v>0.46159999999999995</v>
      </c>
      <c r="G19" s="23"/>
      <c r="H19" s="49">
        <f>SUM(H17:H18)</f>
        <v>0.4619167865869816</v>
      </c>
      <c r="I19" s="23"/>
      <c r="J19" s="49">
        <f>SUM(J17:J18)</f>
        <v>0.47290000000000004</v>
      </c>
      <c r="K19" s="23"/>
      <c r="L19" s="49">
        <f>SUM(L17:L18)</f>
        <v>0.48214865934876094</v>
      </c>
      <c r="M19" s="23"/>
      <c r="N19" s="49">
        <f>SUM(N17:N18)</f>
        <v>0.4667</v>
      </c>
      <c r="O19" s="32"/>
      <c r="P19" s="33"/>
      <c r="Q19" s="34"/>
      <c r="R19" s="33"/>
    </row>
    <row r="20" spans="1:18" x14ac:dyDescent="0.35">
      <c r="A20" s="46">
        <v>3</v>
      </c>
      <c r="B20" s="47" t="s">
        <v>8</v>
      </c>
      <c r="C20" s="23">
        <v>0</v>
      </c>
      <c r="D20" s="26">
        <f>ROUND(C20/C$23,4)</f>
        <v>0</v>
      </c>
      <c r="E20" s="23">
        <v>0</v>
      </c>
      <c r="F20" s="26">
        <f>ROUND(E20/E$23,4)</f>
        <v>0</v>
      </c>
      <c r="G20" s="23">
        <v>0</v>
      </c>
      <c r="H20" s="26">
        <f>ROUND(G20/G$23,4)</f>
        <v>0</v>
      </c>
      <c r="I20" s="23"/>
      <c r="J20" s="26">
        <f>ROUND(I20/I$23,4)</f>
        <v>0</v>
      </c>
      <c r="K20" s="23"/>
      <c r="L20" s="26">
        <f>ROUND(K20/K$23,4)</f>
        <v>0</v>
      </c>
      <c r="M20" s="23"/>
      <c r="N20" s="26">
        <f>ROUND(M20/M$23,4)</f>
        <v>0</v>
      </c>
      <c r="O20" s="32"/>
      <c r="P20" s="33"/>
      <c r="Q20" s="34"/>
      <c r="R20" s="33"/>
    </row>
    <row r="21" spans="1:18" x14ac:dyDescent="0.35">
      <c r="A21" s="46">
        <v>4</v>
      </c>
      <c r="B21" s="47" t="s">
        <v>9</v>
      </c>
      <c r="C21" s="23">
        <v>2679353</v>
      </c>
      <c r="D21" s="26">
        <f>ROUNDDOWN(C21/C$23,4)+0.0001</f>
        <v>0.53179999999999994</v>
      </c>
      <c r="E21" s="23">
        <v>2716575</v>
      </c>
      <c r="F21" s="26">
        <f>ROUND(E21/E$23,4)</f>
        <v>0.53839999999999999</v>
      </c>
      <c r="G21" s="23">
        <v>2749497</v>
      </c>
      <c r="H21" s="26">
        <f>ROUND(G21/G$23,4)</f>
        <v>0.53810000000000002</v>
      </c>
      <c r="I21" s="23">
        <v>2835127</v>
      </c>
      <c r="J21" s="26">
        <f>ROUND(I21/I$23,4)</f>
        <v>0.52710000000000001</v>
      </c>
      <c r="K21" s="23">
        <v>2967162</v>
      </c>
      <c r="L21" s="26">
        <f>ROUND(K21/K$23,4)</f>
        <v>0.51790000000000003</v>
      </c>
      <c r="M21" s="23">
        <v>3136848</v>
      </c>
      <c r="N21" s="26">
        <f>ROUND(M21/M$23,4)+0.0001</f>
        <v>0.5333</v>
      </c>
      <c r="O21" s="32"/>
      <c r="P21" s="33"/>
      <c r="Q21" s="34"/>
      <c r="R21" s="33"/>
    </row>
    <row r="22" spans="1:18" x14ac:dyDescent="0.35">
      <c r="A22" s="46">
        <v>5</v>
      </c>
      <c r="B22" s="47" t="s">
        <v>10</v>
      </c>
      <c r="C22" s="24">
        <v>0</v>
      </c>
      <c r="D22" s="39">
        <f>C22/C23</f>
        <v>0</v>
      </c>
      <c r="E22" s="24"/>
      <c r="F22" s="39">
        <f>E22/E23</f>
        <v>0</v>
      </c>
      <c r="G22" s="24"/>
      <c r="H22" s="39">
        <f>G22/G23</f>
        <v>0</v>
      </c>
      <c r="I22" s="24"/>
      <c r="J22" s="39">
        <f>I22/I23</f>
        <v>0</v>
      </c>
      <c r="K22" s="24"/>
      <c r="L22" s="39">
        <f>K22/K23</f>
        <v>0</v>
      </c>
      <c r="M22" s="24">
        <v>0</v>
      </c>
      <c r="N22" s="39">
        <f>M22/M23</f>
        <v>0</v>
      </c>
      <c r="O22" s="34"/>
      <c r="P22" s="35"/>
      <c r="Q22" s="34"/>
      <c r="R22" s="35"/>
    </row>
    <row r="23" spans="1:18" x14ac:dyDescent="0.35">
      <c r="A23" s="46">
        <v>6</v>
      </c>
      <c r="B23" s="47" t="s">
        <v>11</v>
      </c>
      <c r="C23" s="22">
        <f t="shared" ref="C23" si="0">SUM(C17:C22)</f>
        <v>5038649</v>
      </c>
      <c r="D23" s="40">
        <f>+D17+D18+D20+D21</f>
        <v>1</v>
      </c>
      <c r="E23" s="22">
        <f t="shared" ref="E23" si="1">SUM(E17:E22)</f>
        <v>5045590</v>
      </c>
      <c r="F23" s="40">
        <f>+F17+F18+F20+F21</f>
        <v>1</v>
      </c>
      <c r="G23" s="22">
        <f>SUM(G17:G22)</f>
        <v>5109782</v>
      </c>
      <c r="H23" s="40">
        <f>+H17+H18+H20+H21</f>
        <v>1.0000167865869816</v>
      </c>
      <c r="I23" s="22">
        <f t="shared" ref="I23:M23" si="2">SUM(I17:I22)</f>
        <v>5378908</v>
      </c>
      <c r="J23" s="40">
        <f>+J17+J18+J20+J21</f>
        <v>1</v>
      </c>
      <c r="K23" s="22">
        <f>SUM(K17:K22)</f>
        <v>5729417</v>
      </c>
      <c r="L23" s="40">
        <f>+L17+L18+L20+L21</f>
        <v>1.000048659348761</v>
      </c>
      <c r="M23" s="22">
        <f t="shared" si="2"/>
        <v>5882702</v>
      </c>
      <c r="N23" s="40">
        <f>+N17+N18+N20+N21</f>
        <v>1</v>
      </c>
      <c r="O23" s="32"/>
      <c r="P23" s="36"/>
      <c r="Q23" s="32"/>
      <c r="R23" s="36"/>
    </row>
    <row r="24" spans="1:18" x14ac:dyDescent="0.35">
      <c r="A24" s="46"/>
      <c r="M24" s="51"/>
    </row>
    <row r="25" spans="1:18" x14ac:dyDescent="0.35">
      <c r="A25" s="46"/>
    </row>
    <row r="26" spans="1:18" x14ac:dyDescent="0.35">
      <c r="A26" s="52" t="s">
        <v>54</v>
      </c>
      <c r="B26" s="47" t="s">
        <v>55</v>
      </c>
      <c r="N26" s="53"/>
    </row>
    <row r="27" spans="1:18" ht="15.75" customHeight="1" x14ac:dyDescent="0.35">
      <c r="B27" s="47" t="s">
        <v>56</v>
      </c>
      <c r="N27" s="53"/>
    </row>
    <row r="28" spans="1:18" x14ac:dyDescent="0.35">
      <c r="C28" s="46"/>
      <c r="D28" s="46"/>
      <c r="E28" s="46"/>
      <c r="F28" s="46"/>
      <c r="G28" s="46"/>
      <c r="H28" s="46"/>
      <c r="I28" s="64"/>
      <c r="J28" s="64"/>
      <c r="K28" s="64"/>
      <c r="L28" s="64"/>
    </row>
    <row r="29" spans="1:18" x14ac:dyDescent="0.35"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1" spans="1:18" x14ac:dyDescent="0.35">
      <c r="C31" s="32"/>
      <c r="D31" s="33"/>
      <c r="E31" s="32"/>
      <c r="F31" s="33"/>
      <c r="G31" s="32"/>
      <c r="H31" s="33"/>
      <c r="I31" s="32"/>
      <c r="J31" s="33"/>
      <c r="K31" s="32"/>
      <c r="L31" s="33"/>
    </row>
    <row r="32" spans="1:18" x14ac:dyDescent="0.35">
      <c r="C32" s="34"/>
      <c r="D32" s="33"/>
      <c r="E32" s="34"/>
      <c r="F32" s="33"/>
      <c r="G32" s="34"/>
      <c r="H32" s="33"/>
      <c r="I32" s="34"/>
      <c r="J32" s="33"/>
      <c r="K32" s="34"/>
      <c r="L32" s="33"/>
    </row>
    <row r="33" spans="3:12" x14ac:dyDescent="0.35">
      <c r="C33" s="34"/>
      <c r="D33" s="33"/>
      <c r="E33" s="34"/>
      <c r="F33" s="33"/>
      <c r="G33" s="34"/>
      <c r="H33" s="33"/>
      <c r="I33" s="34"/>
      <c r="J33" s="33"/>
      <c r="K33" s="34"/>
      <c r="L33" s="33"/>
    </row>
    <row r="34" spans="3:12" x14ac:dyDescent="0.35">
      <c r="C34" s="34"/>
      <c r="D34" s="33"/>
      <c r="E34" s="34"/>
      <c r="F34" s="33"/>
      <c r="G34" s="34"/>
      <c r="H34" s="33"/>
      <c r="I34" s="34"/>
      <c r="J34" s="33"/>
      <c r="K34" s="34"/>
      <c r="L34" s="33"/>
    </row>
    <row r="35" spans="3:12" x14ac:dyDescent="0.35">
      <c r="C35" s="34"/>
      <c r="D35" s="35"/>
      <c r="E35" s="34"/>
      <c r="F35" s="35"/>
      <c r="G35" s="34"/>
      <c r="H35" s="35"/>
      <c r="I35" s="34"/>
      <c r="J35" s="35"/>
      <c r="K35" s="34"/>
      <c r="L35" s="35"/>
    </row>
    <row r="36" spans="3:12" x14ac:dyDescent="0.35">
      <c r="C36" s="32"/>
      <c r="D36" s="36"/>
      <c r="E36" s="32"/>
      <c r="F36" s="36"/>
      <c r="G36" s="32"/>
      <c r="H36" s="36"/>
      <c r="I36" s="32"/>
      <c r="J36" s="36"/>
      <c r="K36" s="32"/>
      <c r="L36" s="36"/>
    </row>
    <row r="40" spans="3:12" x14ac:dyDescent="0.35"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3:12" x14ac:dyDescent="0.35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3" spans="3:12" x14ac:dyDescent="0.35">
      <c r="C43" s="32"/>
      <c r="D43" s="33"/>
      <c r="E43" s="32"/>
      <c r="F43" s="33"/>
      <c r="G43" s="32"/>
      <c r="H43" s="33"/>
      <c r="I43" s="32"/>
      <c r="J43" s="33"/>
      <c r="K43" s="32"/>
      <c r="L43" s="33"/>
    </row>
    <row r="44" spans="3:12" x14ac:dyDescent="0.35">
      <c r="C44" s="34"/>
      <c r="D44" s="33"/>
      <c r="E44" s="34"/>
      <c r="F44" s="33"/>
      <c r="G44" s="34"/>
      <c r="H44" s="33"/>
      <c r="I44" s="34"/>
      <c r="J44" s="33"/>
      <c r="K44" s="34"/>
      <c r="L44" s="33"/>
    </row>
    <row r="45" spans="3:12" x14ac:dyDescent="0.35">
      <c r="C45" s="34"/>
      <c r="D45" s="33"/>
      <c r="E45" s="34"/>
      <c r="F45" s="33"/>
      <c r="G45" s="34"/>
      <c r="H45" s="33"/>
      <c r="I45" s="34"/>
      <c r="J45" s="33"/>
      <c r="K45" s="34"/>
      <c r="L45" s="33"/>
    </row>
    <row r="46" spans="3:12" x14ac:dyDescent="0.35">
      <c r="C46" s="34"/>
      <c r="D46" s="33"/>
      <c r="E46" s="34"/>
      <c r="F46" s="33"/>
      <c r="G46" s="34"/>
      <c r="H46" s="33"/>
      <c r="I46" s="34"/>
      <c r="J46" s="33"/>
      <c r="K46" s="34"/>
      <c r="L46" s="33"/>
    </row>
    <row r="47" spans="3:12" x14ac:dyDescent="0.35">
      <c r="C47" s="34"/>
      <c r="D47" s="35"/>
      <c r="E47" s="34"/>
      <c r="F47" s="35"/>
      <c r="G47" s="34"/>
      <c r="H47" s="35"/>
      <c r="I47" s="34"/>
      <c r="J47" s="35"/>
      <c r="K47" s="34"/>
      <c r="L47" s="35"/>
    </row>
    <row r="48" spans="3:12" x14ac:dyDescent="0.35">
      <c r="C48" s="32"/>
      <c r="D48" s="36"/>
      <c r="E48" s="32"/>
      <c r="F48" s="36"/>
      <c r="G48" s="32"/>
      <c r="H48" s="36"/>
      <c r="I48" s="32"/>
      <c r="J48" s="36"/>
      <c r="K48" s="32"/>
      <c r="L48" s="36"/>
    </row>
  </sheetData>
  <mergeCells count="22">
    <mergeCell ref="C40:D40"/>
    <mergeCell ref="E40:F40"/>
    <mergeCell ref="G40:H40"/>
    <mergeCell ref="I40:J40"/>
    <mergeCell ref="K40:L40"/>
    <mergeCell ref="Q14:R14"/>
    <mergeCell ref="I28:J28"/>
    <mergeCell ref="K28:L28"/>
    <mergeCell ref="E14:F14"/>
    <mergeCell ref="G14:H14"/>
    <mergeCell ref="I14:J14"/>
    <mergeCell ref="K14:L14"/>
    <mergeCell ref="M14:N14"/>
    <mergeCell ref="O14:P14"/>
    <mergeCell ref="C14:D14"/>
    <mergeCell ref="A9:N9"/>
    <mergeCell ref="A10:N10"/>
    <mergeCell ref="A1:N1"/>
    <mergeCell ref="A2:N2"/>
    <mergeCell ref="A4:N4"/>
    <mergeCell ref="A6:N6"/>
    <mergeCell ref="A8:N8"/>
  </mergeCells>
  <pageMargins left="1" right="1" top="1" bottom="1.75" header="0.5" footer="0.5"/>
  <pageSetup scale="73" fitToHeight="0" orientation="landscape" r:id="rId1"/>
  <headerFooter scaleWithDoc="0">
    <oddFooter xml:space="preserve">&amp;R&amp;"Times New Roman,Bold"&amp;12 Case No. 2020-00349
Attachment to Response to PSC-1 Question No. 22
Page &amp;P of &amp;N
Arbough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40"/>
  <sheetViews>
    <sheetView zoomScaleNormal="100" workbookViewId="0">
      <selection sqref="A1:N1"/>
    </sheetView>
  </sheetViews>
  <sheetFormatPr defaultRowHeight="12.5" x14ac:dyDescent="0.25"/>
  <cols>
    <col min="1" max="1" width="7.90625" customWidth="1"/>
    <col min="2" max="2" width="16.90625" customWidth="1"/>
    <col min="3" max="3" width="10.08984375" hidden="1" customWidth="1"/>
    <col min="4" max="4" width="0" hidden="1" customWidth="1"/>
    <col min="5" max="5" width="11.54296875" bestFit="1" customWidth="1"/>
    <col min="6" max="6" width="9.36328125" bestFit="1" customWidth="1"/>
    <col min="7" max="7" width="11.54296875" bestFit="1" customWidth="1"/>
    <col min="8" max="8" width="9.36328125" bestFit="1" customWidth="1"/>
    <col min="9" max="9" width="11.08984375" bestFit="1" customWidth="1"/>
    <col min="10" max="10" width="9.36328125" bestFit="1" customWidth="1"/>
    <col min="11" max="11" width="10.6328125" customWidth="1"/>
    <col min="12" max="12" width="9.36328125" bestFit="1" customWidth="1"/>
    <col min="13" max="13" width="11.453125" customWidth="1"/>
    <col min="14" max="14" width="9.36328125" bestFit="1" customWidth="1"/>
    <col min="15" max="15" width="10.36328125" bestFit="1" customWidth="1"/>
    <col min="16" max="16" width="8.6328125" customWidth="1"/>
    <col min="17" max="17" width="10.54296875" customWidth="1"/>
    <col min="19" max="19" width="10.6328125" customWidth="1"/>
  </cols>
  <sheetData>
    <row r="1" spans="1:20" x14ac:dyDescent="0.25">
      <c r="A1" s="67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/>
      <c r="P1" s="1"/>
      <c r="Q1" s="1"/>
      <c r="R1" s="1"/>
      <c r="S1" s="1"/>
      <c r="T1" s="1"/>
    </row>
    <row r="2" spans="1:20" x14ac:dyDescent="0.2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"/>
      <c r="P8" s="1"/>
      <c r="Q8" s="1"/>
      <c r="R8" s="1"/>
      <c r="S8" s="1"/>
      <c r="T8" s="1"/>
    </row>
    <row r="9" spans="1:20" x14ac:dyDescent="0.2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"/>
      <c r="P9" s="1"/>
      <c r="Q9" s="1"/>
      <c r="R9" s="1"/>
      <c r="S9" s="1"/>
      <c r="T9" s="1"/>
    </row>
    <row r="10" spans="1:20" x14ac:dyDescent="0.25">
      <c r="A10" s="67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 t="s">
        <v>44</v>
      </c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5" spans="1:20" x14ac:dyDescent="0.25">
      <c r="C15" s="70">
        <v>1992</v>
      </c>
      <c r="D15" s="70"/>
      <c r="E15" s="70">
        <v>1993</v>
      </c>
      <c r="F15" s="70"/>
      <c r="G15" s="70">
        <v>1994</v>
      </c>
      <c r="H15" s="70"/>
      <c r="I15" s="70">
        <v>1995</v>
      </c>
      <c r="J15" s="70"/>
      <c r="K15" s="70">
        <v>1996</v>
      </c>
      <c r="L15" s="70"/>
      <c r="M15" s="70">
        <v>1997</v>
      </c>
      <c r="N15" s="70"/>
    </row>
    <row r="16" spans="1:20" x14ac:dyDescent="0.25">
      <c r="A16" s="1" t="s">
        <v>4</v>
      </c>
      <c r="B16" s="1" t="s">
        <v>5</v>
      </c>
      <c r="C16" s="2" t="s">
        <v>12</v>
      </c>
      <c r="D16" s="2" t="s">
        <v>13</v>
      </c>
      <c r="E16" s="2" t="s">
        <v>12</v>
      </c>
      <c r="F16" s="2" t="s">
        <v>13</v>
      </c>
      <c r="G16" s="2" t="s">
        <v>12</v>
      </c>
      <c r="H16" s="2" t="s">
        <v>13</v>
      </c>
      <c r="I16" s="2" t="s">
        <v>12</v>
      </c>
      <c r="J16" s="2" t="s">
        <v>13</v>
      </c>
      <c r="K16" s="2" t="s">
        <v>12</v>
      </c>
      <c r="L16" s="2" t="s">
        <v>13</v>
      </c>
      <c r="M16" s="2" t="s">
        <v>12</v>
      </c>
      <c r="N16" s="2" t="s">
        <v>13</v>
      </c>
    </row>
    <row r="17" spans="1:20" x14ac:dyDescent="0.25">
      <c r="A17" s="1"/>
    </row>
    <row r="18" spans="1:20" x14ac:dyDescent="0.25">
      <c r="A18" s="1">
        <v>1</v>
      </c>
      <c r="B18" t="s">
        <v>6</v>
      </c>
      <c r="C18" s="3">
        <f>442045+21</f>
        <v>442066</v>
      </c>
      <c r="D18" s="5">
        <f>C18/C24</f>
        <v>0.42047262817982506</v>
      </c>
      <c r="E18" s="6">
        <f>442045+21</f>
        <v>442066</v>
      </c>
      <c r="F18" s="5">
        <f>E18/E24</f>
        <v>0.40021583079010908</v>
      </c>
      <c r="G18" s="3">
        <v>496033</v>
      </c>
      <c r="H18" s="5">
        <f>G18/G24</f>
        <v>0.40379591753668315</v>
      </c>
      <c r="I18" s="3">
        <f>545980+21</f>
        <v>546001</v>
      </c>
      <c r="J18" s="5">
        <f>ROUND(I18/$I$24,4)</f>
        <v>0.4299</v>
      </c>
      <c r="K18" s="3">
        <f>546373+21</f>
        <v>546394</v>
      </c>
      <c r="L18" s="5">
        <f>ROUND(K18/$K$24,4)</f>
        <v>0.42480000000000001</v>
      </c>
      <c r="M18" s="6">
        <f>546351+21</f>
        <v>546372</v>
      </c>
      <c r="N18" s="5">
        <f>ROUND(M18/$M$24,4)</f>
        <v>0.42549999999999999</v>
      </c>
    </row>
    <row r="19" spans="1:20" x14ac:dyDescent="0.25">
      <c r="A19" s="1">
        <v>2</v>
      </c>
      <c r="B19" t="s">
        <v>7</v>
      </c>
      <c r="C19" s="3">
        <v>0</v>
      </c>
      <c r="D19" s="3">
        <f>C19/C24</f>
        <v>0</v>
      </c>
      <c r="E19" s="6">
        <v>0</v>
      </c>
      <c r="F19" s="3">
        <v>0</v>
      </c>
      <c r="G19" s="3">
        <v>76300</v>
      </c>
      <c r="H19" s="5">
        <f>G19/G24</f>
        <v>6.2112054052953988E-2</v>
      </c>
      <c r="I19" s="3">
        <v>55600</v>
      </c>
      <c r="J19" s="5">
        <f>ROUND(I19/$I$24,4)-0.0001</f>
        <v>4.3699999999999996E-2</v>
      </c>
      <c r="K19" s="3">
        <v>54200</v>
      </c>
      <c r="L19" s="5">
        <f>ROUND(K19/$K$24,4)</f>
        <v>4.2099999999999999E-2</v>
      </c>
      <c r="M19" s="6">
        <v>33600</v>
      </c>
      <c r="N19" s="5">
        <f>ROUND(M19/$M$24,4)</f>
        <v>2.6200000000000001E-2</v>
      </c>
    </row>
    <row r="20" spans="1:20" x14ac:dyDescent="0.25">
      <c r="A20" s="1">
        <v>3</v>
      </c>
      <c r="B20" t="s">
        <v>43</v>
      </c>
      <c r="C20" s="3">
        <v>0</v>
      </c>
      <c r="D20" s="3">
        <f>C20/C24</f>
        <v>0</v>
      </c>
      <c r="E20" s="6">
        <v>0</v>
      </c>
      <c r="F20" s="3">
        <f>E20/E24</f>
        <v>0</v>
      </c>
      <c r="G20" s="3">
        <v>0</v>
      </c>
      <c r="H20" s="6">
        <f>G20/G24</f>
        <v>0</v>
      </c>
      <c r="I20" s="6">
        <f t="shared" ref="I20:N20" si="0">H20/H24</f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</row>
    <row r="21" spans="1:20" x14ac:dyDescent="0.25">
      <c r="A21" s="1">
        <v>4</v>
      </c>
      <c r="B21" t="s">
        <v>8</v>
      </c>
      <c r="C21" s="3">
        <v>60000</v>
      </c>
      <c r="D21" s="5">
        <f>C21/C24</f>
        <v>5.7069210685258547E-2</v>
      </c>
      <c r="E21" s="3">
        <v>60000</v>
      </c>
      <c r="F21" s="5">
        <f>E21/E24</f>
        <v>5.4319829725440423E-2</v>
      </c>
      <c r="G21" s="3">
        <v>40000</v>
      </c>
      <c r="H21" s="5">
        <f>G21/G24</f>
        <v>3.2562020473370375E-2</v>
      </c>
      <c r="I21" s="3">
        <v>40000</v>
      </c>
      <c r="J21" s="5">
        <f>ROUND(I21/$I$24,4)</f>
        <v>3.15E-2</v>
      </c>
      <c r="K21" s="3">
        <v>40000</v>
      </c>
      <c r="L21" s="5">
        <f>ROUND(K21/$K$24,4)</f>
        <v>3.1099999999999999E-2</v>
      </c>
      <c r="M21" s="6">
        <v>40000</v>
      </c>
      <c r="N21" s="5">
        <f>ROUND(M21/$M$24,4)-0.0001</f>
        <v>3.1099999999999999E-2</v>
      </c>
    </row>
    <row r="22" spans="1:20" x14ac:dyDescent="0.25">
      <c r="A22" s="1">
        <v>5</v>
      </c>
      <c r="B22" t="s">
        <v>9</v>
      </c>
      <c r="C22" s="3">
        <f>609289-C21</f>
        <v>549289</v>
      </c>
      <c r="D22" s="5">
        <f>C22/C24</f>
        <v>0.52245816113491639</v>
      </c>
      <c r="E22" s="3">
        <v>602503</v>
      </c>
      <c r="F22" s="5">
        <f>E22/E24</f>
        <v>0.5454643394844505</v>
      </c>
      <c r="G22" s="3">
        <v>616092</v>
      </c>
      <c r="H22" s="5">
        <f>G22/G24</f>
        <v>0.50153000793699254</v>
      </c>
      <c r="I22" s="3">
        <v>628611</v>
      </c>
      <c r="J22" s="5">
        <f>ROUND(I22/$I$24,4)</f>
        <v>0.49490000000000001</v>
      </c>
      <c r="K22" s="3">
        <v>645513</v>
      </c>
      <c r="L22" s="5">
        <f>ROUND(K22/$K$24,4)+0.0001</f>
        <v>0.502</v>
      </c>
      <c r="M22" s="6">
        <v>664122</v>
      </c>
      <c r="N22" s="5">
        <f>ROUND(M22/$M$24,4)</f>
        <v>0.51719999999999999</v>
      </c>
    </row>
    <row r="23" spans="1:20" x14ac:dyDescent="0.25">
      <c r="A23" s="1">
        <v>6</v>
      </c>
      <c r="B23" t="s">
        <v>10</v>
      </c>
      <c r="C23" s="4">
        <v>0</v>
      </c>
      <c r="D23" s="4">
        <f>C23/C24</f>
        <v>0</v>
      </c>
      <c r="E23" s="4"/>
      <c r="F23" s="4">
        <f>E23/E24</f>
        <v>0</v>
      </c>
      <c r="G23" s="4"/>
      <c r="H23" s="4">
        <f>G23/G24</f>
        <v>0</v>
      </c>
      <c r="I23" s="4"/>
      <c r="J23" s="4">
        <f>I23/I24</f>
        <v>0</v>
      </c>
      <c r="K23" s="4"/>
      <c r="L23" s="4">
        <f>K23/K24</f>
        <v>0</v>
      </c>
      <c r="M23" s="7">
        <v>0</v>
      </c>
      <c r="N23" s="7">
        <f>M23/M24</f>
        <v>0</v>
      </c>
    </row>
    <row r="24" spans="1:20" x14ac:dyDescent="0.25">
      <c r="A24" s="1">
        <v>7</v>
      </c>
      <c r="B24" t="s">
        <v>11</v>
      </c>
      <c r="C24" s="3">
        <f t="shared" ref="C24:L24" si="1">SUM(C18:C23)</f>
        <v>1051355</v>
      </c>
      <c r="D24" s="5">
        <f t="shared" si="1"/>
        <v>1</v>
      </c>
      <c r="E24" s="3">
        <f t="shared" si="1"/>
        <v>1104569</v>
      </c>
      <c r="F24" s="5">
        <f t="shared" si="1"/>
        <v>1</v>
      </c>
      <c r="G24" s="3">
        <f t="shared" si="1"/>
        <v>1228425</v>
      </c>
      <c r="H24" s="8">
        <f t="shared" si="1"/>
        <v>1</v>
      </c>
      <c r="I24" s="3">
        <f t="shared" si="1"/>
        <v>1270212</v>
      </c>
      <c r="J24" s="5">
        <f t="shared" si="1"/>
        <v>1</v>
      </c>
      <c r="K24" s="3">
        <f>SUM(K18:K23)</f>
        <v>1286107</v>
      </c>
      <c r="L24" s="5">
        <f t="shared" si="1"/>
        <v>1</v>
      </c>
      <c r="M24" s="6">
        <f>SUM(M18:M23)</f>
        <v>1284094</v>
      </c>
      <c r="N24" s="5">
        <f>SUM(N18:N23)</f>
        <v>1</v>
      </c>
    </row>
    <row r="25" spans="1:20" x14ac:dyDescent="0.25">
      <c r="A25" s="1"/>
    </row>
    <row r="26" spans="1:20" x14ac:dyDescent="0.25">
      <c r="A26" s="1"/>
    </row>
    <row r="27" spans="1:20" x14ac:dyDescent="0.25">
      <c r="A27" s="21" t="s">
        <v>48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8"/>
      <c r="R27" s="69"/>
      <c r="S27" s="15"/>
      <c r="T27" s="15"/>
    </row>
    <row r="28" spans="1:20" x14ac:dyDescent="0.25">
      <c r="A28" s="1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8"/>
      <c r="T28" s="69"/>
    </row>
    <row r="29" spans="1:20" x14ac:dyDescent="0.25">
      <c r="A29" s="1"/>
      <c r="B29" s="1"/>
      <c r="E29" s="16"/>
      <c r="F29" s="16"/>
      <c r="G29" s="16"/>
      <c r="H29" s="16"/>
      <c r="I29" s="16"/>
      <c r="J29" s="16"/>
      <c r="K29" s="16"/>
      <c r="L29" s="16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25">
      <c r="A31" s="1"/>
      <c r="E31" s="14"/>
      <c r="F31" s="17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14"/>
      <c r="R31" s="17"/>
      <c r="S31" s="14"/>
      <c r="T31" s="17"/>
    </row>
    <row r="32" spans="1:20" x14ac:dyDescent="0.25">
      <c r="A32" s="1"/>
      <c r="E32" s="14"/>
      <c r="F32" s="1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"/>
      <c r="S32" s="14"/>
      <c r="T32" s="17"/>
    </row>
    <row r="33" spans="1:20" x14ac:dyDescent="0.25">
      <c r="A33" s="1"/>
      <c r="E33" s="14"/>
      <c r="F33" s="17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14"/>
      <c r="R33" s="17"/>
      <c r="S33" s="14"/>
      <c r="T33" s="17"/>
    </row>
    <row r="34" spans="1:20" x14ac:dyDescent="0.25">
      <c r="A34" s="1"/>
      <c r="E34" s="14"/>
      <c r="F34" s="14"/>
      <c r="G34" s="14"/>
      <c r="H34" s="14"/>
      <c r="I34" s="14"/>
      <c r="J34" s="14"/>
      <c r="K34" s="14"/>
      <c r="L34" s="17"/>
      <c r="M34" s="14"/>
      <c r="N34" s="17"/>
      <c r="O34" s="14"/>
      <c r="P34" s="17"/>
      <c r="Q34" s="14"/>
      <c r="R34" s="17"/>
      <c r="S34" s="14"/>
      <c r="T34" s="17"/>
    </row>
    <row r="35" spans="1:20" x14ac:dyDescent="0.25">
      <c r="A35" s="1"/>
      <c r="E35" s="14"/>
      <c r="F35" s="17"/>
      <c r="G35" s="14"/>
      <c r="H35" s="17"/>
      <c r="I35" s="14"/>
      <c r="J35" s="17"/>
      <c r="K35" s="14"/>
      <c r="L35" s="17"/>
      <c r="M35" s="14"/>
      <c r="N35" s="14"/>
      <c r="O35" s="14"/>
      <c r="P35" s="17"/>
      <c r="Q35" s="14"/>
      <c r="R35" s="17"/>
      <c r="S35" s="14"/>
      <c r="T35" s="17"/>
    </row>
    <row r="36" spans="1:20" x14ac:dyDescent="0.25">
      <c r="A36" s="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x14ac:dyDescent="0.25">
      <c r="A37" s="1"/>
      <c r="E37" s="14"/>
      <c r="F37" s="17"/>
      <c r="G37" s="14"/>
      <c r="H37" s="17"/>
      <c r="I37" s="14"/>
      <c r="J37" s="17"/>
      <c r="K37" s="14"/>
      <c r="L37" s="17"/>
      <c r="M37" s="18"/>
      <c r="N37" s="19"/>
      <c r="O37" s="18"/>
      <c r="P37" s="19"/>
      <c r="Q37" s="14"/>
      <c r="R37" s="17"/>
      <c r="S37" s="14"/>
      <c r="T37" s="19"/>
    </row>
    <row r="38" spans="1:20" x14ac:dyDescent="0.25">
      <c r="A38" s="1"/>
    </row>
    <row r="39" spans="1:20" x14ac:dyDescent="0.25">
      <c r="A39" s="1"/>
    </row>
    <row r="40" spans="1:20" x14ac:dyDescent="0.25">
      <c r="A40" s="1"/>
    </row>
  </sheetData>
  <mergeCells count="22">
    <mergeCell ref="I15:J15"/>
    <mergeCell ref="K28:L28"/>
    <mergeCell ref="O28:P28"/>
    <mergeCell ref="Q27:R27"/>
    <mergeCell ref="Q28:R28"/>
    <mergeCell ref="K15:L15"/>
    <mergeCell ref="A9:N9"/>
    <mergeCell ref="A10:N10"/>
    <mergeCell ref="S28:T28"/>
    <mergeCell ref="A1:N1"/>
    <mergeCell ref="A2:N2"/>
    <mergeCell ref="A4:N4"/>
    <mergeCell ref="A6:N6"/>
    <mergeCell ref="A8:N8"/>
    <mergeCell ref="M15:N15"/>
    <mergeCell ref="I28:J28"/>
    <mergeCell ref="M28:N28"/>
    <mergeCell ref="E28:F28"/>
    <mergeCell ref="G28:H28"/>
    <mergeCell ref="C15:D15"/>
    <mergeCell ref="E15:F15"/>
    <mergeCell ref="G15:H15"/>
  </mergeCells>
  <phoneticPr fontId="0" type="noConversion"/>
  <pageMargins left="0.75" right="0.75" top="1.25" bottom="1" header="0.5" footer="0.5"/>
  <pageSetup scale="9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32"/>
  <sheetViews>
    <sheetView workbookViewId="0">
      <selection sqref="A1:N1"/>
    </sheetView>
  </sheetViews>
  <sheetFormatPr defaultRowHeight="12.5" x14ac:dyDescent="0.25"/>
  <cols>
    <col min="1" max="1" width="7.90625" customWidth="1"/>
    <col min="2" max="2" width="16.90625" customWidth="1"/>
    <col min="3" max="5" width="10.08984375" customWidth="1"/>
    <col min="7" max="7" width="11.36328125" bestFit="1" customWidth="1"/>
    <col min="9" max="9" width="10.36328125" bestFit="1" customWidth="1"/>
    <col min="11" max="11" width="10.36328125" bestFit="1" customWidth="1"/>
    <col min="13" max="13" width="10" customWidth="1"/>
    <col min="15" max="15" width="10" customWidth="1"/>
    <col min="17" max="17" width="10.36328125" hidden="1" customWidth="1"/>
    <col min="18" max="18" width="8.6328125" hidden="1" customWidth="1"/>
    <col min="19" max="19" width="10.54296875" customWidth="1"/>
    <col min="21" max="21" width="10.6328125" customWidth="1"/>
  </cols>
  <sheetData>
    <row r="1" spans="1:22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"/>
      <c r="T1" s="1"/>
      <c r="U1" s="1"/>
      <c r="V1" s="1"/>
    </row>
    <row r="2" spans="1:22" x14ac:dyDescent="0.2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"/>
      <c r="T8" s="1"/>
      <c r="U8" s="1"/>
      <c r="V8" s="1"/>
    </row>
    <row r="9" spans="1:22" x14ac:dyDescent="0.25">
      <c r="A9" s="67" t="s">
        <v>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"/>
      <c r="T9" s="1"/>
      <c r="U9" s="1"/>
      <c r="V9" s="1"/>
    </row>
    <row r="10" spans="1:22" x14ac:dyDescent="0.25">
      <c r="A10" s="67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"/>
      <c r="T10" s="1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</row>
    <row r="15" spans="1:22" x14ac:dyDescent="0.25">
      <c r="P15" s="13" t="s">
        <v>44</v>
      </c>
    </row>
    <row r="17" spans="1:18" x14ac:dyDescent="0.25">
      <c r="A17" s="1"/>
    </row>
    <row r="18" spans="1:18" x14ac:dyDescent="0.25">
      <c r="A18" s="1"/>
    </row>
    <row r="19" spans="1:18" x14ac:dyDescent="0.25">
      <c r="A19" s="1"/>
      <c r="O19" s="67" t="s">
        <v>38</v>
      </c>
      <c r="P19" s="66"/>
    </row>
    <row r="20" spans="1:18" x14ac:dyDescent="0.25">
      <c r="A20" s="1"/>
      <c r="C20" s="70">
        <v>1998</v>
      </c>
      <c r="D20" s="70"/>
      <c r="E20" s="70">
        <v>1999</v>
      </c>
      <c r="F20" s="70"/>
      <c r="G20" s="70">
        <v>2000</v>
      </c>
      <c r="H20" s="70"/>
      <c r="I20" s="70">
        <v>2001</v>
      </c>
      <c r="J20" s="70"/>
      <c r="K20" s="70">
        <v>2002</v>
      </c>
      <c r="L20" s="70"/>
      <c r="M20" s="70" t="s">
        <v>41</v>
      </c>
      <c r="N20" s="70"/>
      <c r="O20" s="70" t="s">
        <v>39</v>
      </c>
      <c r="P20" s="70"/>
      <c r="Q20" s="71" t="s">
        <v>40</v>
      </c>
      <c r="R20" s="70"/>
    </row>
    <row r="21" spans="1:18" x14ac:dyDescent="0.25">
      <c r="A21" s="1" t="s">
        <v>4</v>
      </c>
      <c r="B21" s="1" t="s">
        <v>5</v>
      </c>
      <c r="C21" s="2" t="s">
        <v>12</v>
      </c>
      <c r="D21" s="2" t="s">
        <v>13</v>
      </c>
      <c r="E21" s="2" t="s">
        <v>12</v>
      </c>
      <c r="F21" s="2" t="s">
        <v>13</v>
      </c>
      <c r="G21" s="2" t="s">
        <v>12</v>
      </c>
      <c r="H21" s="2" t="s">
        <v>13</v>
      </c>
      <c r="I21" s="2" t="s">
        <v>12</v>
      </c>
      <c r="J21" s="2" t="s">
        <v>13</v>
      </c>
      <c r="K21" s="9" t="s">
        <v>12</v>
      </c>
      <c r="L21" s="9" t="s">
        <v>13</v>
      </c>
      <c r="M21" s="9" t="s">
        <v>12</v>
      </c>
      <c r="N21" s="9" t="s">
        <v>13</v>
      </c>
      <c r="O21" s="9" t="s">
        <v>12</v>
      </c>
      <c r="P21" s="9" t="s">
        <v>13</v>
      </c>
      <c r="Q21" s="9" t="s">
        <v>12</v>
      </c>
      <c r="R21" s="9" t="s">
        <v>13</v>
      </c>
    </row>
    <row r="22" spans="1:18" x14ac:dyDescent="0.25">
      <c r="A22" s="1"/>
    </row>
    <row r="23" spans="1:18" x14ac:dyDescent="0.25">
      <c r="A23" s="1">
        <v>1</v>
      </c>
      <c r="B23" t="s">
        <v>6</v>
      </c>
      <c r="C23" s="6">
        <v>1510775</v>
      </c>
      <c r="D23" s="5">
        <f>C23/C29</f>
        <v>0.44943571204818811</v>
      </c>
      <c r="E23" s="6">
        <f>1299415+411810</f>
        <v>1711225</v>
      </c>
      <c r="F23" s="5">
        <f>ROUND(E23/$E$29,5)</f>
        <v>0.48238999999999999</v>
      </c>
      <c r="G23" s="6">
        <f>1091553+639464</f>
        <v>1731017</v>
      </c>
      <c r="H23" s="5">
        <f>G23/G29</f>
        <v>0.4953365565662497</v>
      </c>
      <c r="I23" s="6">
        <f>1255241+300370</f>
        <v>1555611</v>
      </c>
      <c r="J23" s="5">
        <f>ROUND(I23/$I$29,4)</f>
        <v>0.43049999999999999</v>
      </c>
      <c r="K23" s="6">
        <f>1135374+443455</f>
        <v>1578829</v>
      </c>
      <c r="L23" s="5">
        <f>K23/K29</f>
        <v>0.21481271649419242</v>
      </c>
      <c r="M23" s="6">
        <v>2053165</v>
      </c>
      <c r="N23" s="5">
        <f>ROUND(M23/$M$29,4)</f>
        <v>0.26800000000000002</v>
      </c>
      <c r="O23" s="6">
        <v>2053165</v>
      </c>
      <c r="P23" s="5">
        <f>ROUND(O23/$O$29,4)</f>
        <v>0.26800000000000002</v>
      </c>
      <c r="Q23" s="6" t="e">
        <f>#REF!</f>
        <v>#REF!</v>
      </c>
      <c r="R23" s="5" t="e">
        <f>Q23/Q29</f>
        <v>#REF!</v>
      </c>
    </row>
    <row r="24" spans="1:18" x14ac:dyDescent="0.25">
      <c r="A24" s="1">
        <v>2</v>
      </c>
      <c r="B24" t="s">
        <v>7</v>
      </c>
      <c r="C24" s="6">
        <v>365135</v>
      </c>
      <c r="D24" s="5">
        <f>C24/C29</f>
        <v>0.10862286489961455</v>
      </c>
      <c r="E24" s="6">
        <v>449578</v>
      </c>
      <c r="F24" s="5">
        <f>ROUND(E24/$E$29,5)</f>
        <v>0.12673999999999999</v>
      </c>
      <c r="G24" s="6">
        <v>0</v>
      </c>
      <c r="H24" s="6">
        <f>G24/G29</f>
        <v>0</v>
      </c>
      <c r="I24" s="6">
        <v>67944</v>
      </c>
      <c r="J24" s="5">
        <f>ROUND(I24/$I$29,4)</f>
        <v>1.8800000000000001E-2</v>
      </c>
      <c r="K24" s="6">
        <v>268188</v>
      </c>
      <c r="L24" s="5">
        <f>K24/K29</f>
        <v>3.6489190920070809E-2</v>
      </c>
      <c r="M24" s="6">
        <v>46000</v>
      </c>
      <c r="N24" s="5">
        <f>ROUND(M24/$M$29,4)</f>
        <v>6.0000000000000001E-3</v>
      </c>
      <c r="O24" s="6">
        <v>46000</v>
      </c>
      <c r="P24" s="5">
        <f>ROUND(O24/$O$29,4)</f>
        <v>6.0000000000000001E-3</v>
      </c>
      <c r="Q24" s="6" t="e">
        <f>#REF!</f>
        <v>#REF!</v>
      </c>
      <c r="R24" s="5" t="e">
        <f>Q24/Q29</f>
        <v>#REF!</v>
      </c>
    </row>
    <row r="25" spans="1:18" x14ac:dyDescent="0.25">
      <c r="A25" s="1">
        <v>3</v>
      </c>
      <c r="B25" t="s">
        <v>43</v>
      </c>
      <c r="C25" s="6">
        <v>0</v>
      </c>
      <c r="D25" s="3">
        <f>C25/C29</f>
        <v>0</v>
      </c>
      <c r="E25" s="6">
        <v>0</v>
      </c>
      <c r="F25" s="6">
        <v>0</v>
      </c>
      <c r="G25" s="6">
        <v>0</v>
      </c>
      <c r="H25" s="6">
        <f>G25/G29</f>
        <v>0</v>
      </c>
      <c r="I25" s="6">
        <v>87100</v>
      </c>
      <c r="J25" s="5">
        <f>ROUND(I25/$I$29,4)</f>
        <v>2.41E-2</v>
      </c>
      <c r="K25" s="6">
        <v>112500</v>
      </c>
      <c r="L25" s="5">
        <f>K25/K29</f>
        <v>1.5306553531507621E-2</v>
      </c>
      <c r="M25" s="6">
        <v>124100</v>
      </c>
      <c r="N25" s="5">
        <f>ROUND(M25/$M$29,4)</f>
        <v>1.6199999999999999E-2</v>
      </c>
      <c r="O25" s="6">
        <v>124100</v>
      </c>
      <c r="P25" s="5">
        <f>ROUND(O25/$O$29,4)</f>
        <v>1.6199999999999999E-2</v>
      </c>
      <c r="Q25" s="6" t="e">
        <f>#REF!</f>
        <v>#REF!</v>
      </c>
      <c r="R25" s="5" t="e">
        <f>Q25/Q29</f>
        <v>#REF!</v>
      </c>
    </row>
    <row r="26" spans="1:18" x14ac:dyDescent="0.25">
      <c r="A26" s="1">
        <v>4</v>
      </c>
      <c r="B26" t="s">
        <v>8</v>
      </c>
      <c r="C26" s="6">
        <v>136530</v>
      </c>
      <c r="D26" s="5">
        <f>C26/C29</f>
        <v>4.0615881098071599E-2</v>
      </c>
      <c r="E26" s="6">
        <v>135328</v>
      </c>
      <c r="F26" s="5">
        <f>ROUND(E26/$E$29,5)</f>
        <v>3.8150000000000003E-2</v>
      </c>
      <c r="G26" s="6">
        <v>135140</v>
      </c>
      <c r="H26" s="5">
        <f>G26/G29</f>
        <v>3.8670782698473197E-2</v>
      </c>
      <c r="I26" s="6">
        <v>135140</v>
      </c>
      <c r="J26" s="5">
        <f>ROUND(I26/$I$29,4)</f>
        <v>3.7400000000000003E-2</v>
      </c>
      <c r="K26" s="6">
        <v>135140</v>
      </c>
      <c r="L26" s="5">
        <f>K26/K29</f>
        <v>1.8386912393315021E-2</v>
      </c>
      <c r="M26" s="6">
        <v>109867</v>
      </c>
      <c r="N26" s="5">
        <f>ROUND(M26/$M$29,4)</f>
        <v>1.43E-2</v>
      </c>
      <c r="O26" s="6">
        <v>109867</v>
      </c>
      <c r="P26" s="5">
        <f>ROUND(O26/$O$29,4)</f>
        <v>1.43E-2</v>
      </c>
      <c r="Q26" s="6" t="e">
        <f>#REF!</f>
        <v>#REF!</v>
      </c>
      <c r="R26" s="5" t="e">
        <f>Q26/Q29</f>
        <v>#REF!</v>
      </c>
    </row>
    <row r="27" spans="1:18" x14ac:dyDescent="0.25">
      <c r="A27" s="1">
        <v>5</v>
      </c>
      <c r="B27" t="s">
        <v>9</v>
      </c>
      <c r="C27" s="6">
        <v>1241238</v>
      </c>
      <c r="D27" s="5">
        <f>C27/C29</f>
        <v>0.36925199606246389</v>
      </c>
      <c r="E27" s="6">
        <v>1141291</v>
      </c>
      <c r="F27" s="5">
        <f>ROUND(E27/$E$29,5)</f>
        <v>0.32173000000000002</v>
      </c>
      <c r="G27" s="6">
        <v>1519016</v>
      </c>
      <c r="H27" s="5">
        <f>G27/G29</f>
        <v>0.43467173043883356</v>
      </c>
      <c r="I27" s="6">
        <v>1661494</v>
      </c>
      <c r="J27" s="5">
        <f>ROUND(I27/$I$29,4)+0.0001</f>
        <v>0.45989999999999998</v>
      </c>
      <c r="K27" s="6">
        <v>5245267</v>
      </c>
      <c r="L27" s="5">
        <f>K27/K29</f>
        <v>0.71366186775600349</v>
      </c>
      <c r="M27" s="6">
        <v>5317820</v>
      </c>
      <c r="N27" s="5">
        <f>ROUND(M27/$M$29,4)+0.0001</f>
        <v>0.69430000000000003</v>
      </c>
      <c r="O27" s="6">
        <v>5317820</v>
      </c>
      <c r="P27" s="5">
        <f>ROUND(O27/$O$29,4)+0.0001</f>
        <v>0.69430000000000003</v>
      </c>
      <c r="Q27" s="6" t="e">
        <f>#REF!</f>
        <v>#REF!</v>
      </c>
      <c r="R27" s="5" t="e">
        <f>Q27/Q29</f>
        <v>#REF!</v>
      </c>
    </row>
    <row r="28" spans="1:18" x14ac:dyDescent="0.25">
      <c r="A28" s="1">
        <v>6</v>
      </c>
      <c r="B28" t="s">
        <v>46</v>
      </c>
      <c r="C28" s="7">
        <v>107815</v>
      </c>
      <c r="D28" s="20">
        <f>C28/C29</f>
        <v>3.207354589166183E-2</v>
      </c>
      <c r="E28" s="7">
        <v>109952</v>
      </c>
      <c r="F28" s="20">
        <f>ROUND(E28/$E$29,5)</f>
        <v>3.1E-2</v>
      </c>
      <c r="G28" s="7">
        <v>109455</v>
      </c>
      <c r="H28" s="20">
        <f>G28/G29</f>
        <v>3.1320930296443568E-2</v>
      </c>
      <c r="I28" s="7">
        <v>105966</v>
      </c>
      <c r="J28" s="20">
        <f>ROUND(I28/$I$29,4)</f>
        <v>2.93E-2</v>
      </c>
      <c r="K28" s="7">
        <v>9869</v>
      </c>
      <c r="L28" s="20">
        <f>K28/K29</f>
        <v>1.3427589049106554E-3</v>
      </c>
      <c r="M28" s="7">
        <v>9380</v>
      </c>
      <c r="N28" s="20">
        <f>ROUND(M28/$M$29,4)</f>
        <v>1.1999999999999999E-3</v>
      </c>
      <c r="O28" s="7">
        <v>9380</v>
      </c>
      <c r="P28" s="20">
        <f>ROUND(O28/$O$29,4)</f>
        <v>1.1999999999999999E-3</v>
      </c>
      <c r="Q28" s="7">
        <v>0</v>
      </c>
      <c r="R28" s="7" t="e">
        <f>Q28/Q29</f>
        <v>#REF!</v>
      </c>
    </row>
    <row r="29" spans="1:18" x14ac:dyDescent="0.25">
      <c r="A29" s="1">
        <v>7</v>
      </c>
      <c r="B29" t="s">
        <v>11</v>
      </c>
      <c r="C29" s="6">
        <f>SUM(C23:C28)</f>
        <v>3361493</v>
      </c>
      <c r="D29" s="5">
        <f>SUM(D23:D28)</f>
        <v>0.99999999999999989</v>
      </c>
      <c r="E29" s="6">
        <f>SUM(E23:E28)</f>
        <v>3547374</v>
      </c>
      <c r="F29" s="5">
        <f>SUM(F23:F28)</f>
        <v>1.0000099999999998</v>
      </c>
      <c r="G29" s="6">
        <f t="shared" ref="G29:L29" si="0">SUM(G23:G28)</f>
        <v>3494628</v>
      </c>
      <c r="H29" s="5">
        <f t="shared" si="0"/>
        <v>1</v>
      </c>
      <c r="I29" s="6">
        <f>SUM(I23:I28)</f>
        <v>3613255</v>
      </c>
      <c r="J29" s="5">
        <f t="shared" si="0"/>
        <v>1</v>
      </c>
      <c r="K29" s="10">
        <f t="shared" si="0"/>
        <v>7349793</v>
      </c>
      <c r="L29" s="11">
        <f t="shared" si="0"/>
        <v>1</v>
      </c>
      <c r="M29" s="10">
        <f t="shared" ref="M29:R29" si="1">SUM(M23:M28)</f>
        <v>7660332</v>
      </c>
      <c r="N29" s="11">
        <f t="shared" si="1"/>
        <v>1</v>
      </c>
      <c r="O29" s="6">
        <f t="shared" si="1"/>
        <v>7660332</v>
      </c>
      <c r="P29" s="5">
        <f t="shared" si="1"/>
        <v>1</v>
      </c>
      <c r="Q29" s="6" t="e">
        <f t="shared" si="1"/>
        <v>#REF!</v>
      </c>
      <c r="R29" s="11" t="e">
        <f t="shared" si="1"/>
        <v>#REF!</v>
      </c>
    </row>
    <row r="30" spans="1:18" x14ac:dyDescent="0.25">
      <c r="A30" s="1"/>
    </row>
    <row r="32" spans="1:18" x14ac:dyDescent="0.25">
      <c r="A32" s="21" t="s">
        <v>48</v>
      </c>
    </row>
  </sheetData>
  <mergeCells count="16">
    <mergeCell ref="O19:P19"/>
    <mergeCell ref="C20:D20"/>
    <mergeCell ref="O20:P20"/>
    <mergeCell ref="A1:R1"/>
    <mergeCell ref="A2:R2"/>
    <mergeCell ref="A4:R4"/>
    <mergeCell ref="A6:R6"/>
    <mergeCell ref="A8:R8"/>
    <mergeCell ref="A9:R9"/>
    <mergeCell ref="A10:R10"/>
    <mergeCell ref="Q20:R20"/>
    <mergeCell ref="E20:F20"/>
    <mergeCell ref="G20:H20"/>
    <mergeCell ref="I20:J20"/>
    <mergeCell ref="K20:L20"/>
    <mergeCell ref="M20:N20"/>
  </mergeCells>
  <phoneticPr fontId="0" type="noConversion"/>
  <pageMargins left="0.75" right="0.75" top="1" bottom="1" header="0.5" footer="0.5"/>
  <pageSetup scale="71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39"/>
  <sheetViews>
    <sheetView showGridLines="0" topLeftCell="A13" zoomScaleNormal="100" workbookViewId="0">
      <selection activeCell="E21" sqref="E21"/>
    </sheetView>
  </sheetViews>
  <sheetFormatPr defaultColWidth="9.08984375" defaultRowHeight="15.5" x14ac:dyDescent="0.35"/>
  <cols>
    <col min="1" max="1" width="5.6328125" style="25" customWidth="1"/>
    <col min="2" max="2" width="44.453125" style="25" customWidth="1"/>
    <col min="3" max="3" width="17.6328125" style="25" customWidth="1"/>
    <col min="4" max="8" width="13.08984375" style="25" customWidth="1"/>
    <col min="9" max="9" width="13.36328125" style="25" customWidth="1"/>
    <col min="10" max="10" width="12.90625" style="25" bestFit="1" customWidth="1"/>
    <col min="11" max="11" width="16.54296875" style="25" bestFit="1" customWidth="1"/>
    <col min="12" max="12" width="13.36328125" style="25" customWidth="1"/>
    <col min="13" max="16384" width="9.08984375" style="25"/>
  </cols>
  <sheetData>
    <row r="1" spans="1:14" x14ac:dyDescent="0.3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54"/>
      <c r="N1" s="54"/>
    </row>
    <row r="2" spans="1:14" s="56" customFormat="1" x14ac:dyDescent="0.35">
      <c r="A2" s="64" t="str">
        <f>+'22 - KU -Sched E1'!A2</f>
        <v>Case No. 2020-00349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x14ac:dyDescent="0.3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/>
      <c r="N3" s="54"/>
    </row>
    <row r="4" spans="1:14" x14ac:dyDescent="0.35">
      <c r="A4" s="73" t="s">
        <v>66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54"/>
      <c r="N4" s="54"/>
    </row>
    <row r="5" spans="1:14" x14ac:dyDescent="0.3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35">
      <c r="A6" s="73" t="s">
        <v>52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54"/>
      <c r="N6" s="54"/>
    </row>
    <row r="7" spans="1:14" x14ac:dyDescent="0.3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35">
      <c r="A8" s="73" t="s">
        <v>53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54"/>
      <c r="N8" s="54"/>
    </row>
    <row r="9" spans="1:14" x14ac:dyDescent="0.35">
      <c r="A9" s="73" t="s">
        <v>64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54"/>
      <c r="N9" s="54"/>
    </row>
    <row r="10" spans="1:14" x14ac:dyDescent="0.35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54"/>
      <c r="N10" s="54"/>
    </row>
    <row r="11" spans="1:14" x14ac:dyDescent="0.3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x14ac:dyDescent="0.35">
      <c r="B12" s="54"/>
      <c r="C12" s="54"/>
      <c r="D12" s="54"/>
      <c r="E12" s="54"/>
      <c r="F12" s="54"/>
      <c r="G12" s="54"/>
      <c r="H12" s="54"/>
      <c r="I12" s="54"/>
      <c r="J12" s="54"/>
      <c r="L12" s="55" t="s">
        <v>68</v>
      </c>
      <c r="M12" s="54"/>
      <c r="N12" s="54"/>
    </row>
    <row r="13" spans="1:14" x14ac:dyDescent="0.3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3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5" t="s">
        <v>23</v>
      </c>
      <c r="M14" s="54"/>
      <c r="N14" s="54"/>
    </row>
    <row r="15" spans="1:14" x14ac:dyDescent="0.35">
      <c r="B15" s="54"/>
      <c r="C15" s="54"/>
      <c r="D15" s="55" t="s">
        <v>24</v>
      </c>
      <c r="E15" s="55"/>
      <c r="F15" s="55" t="s">
        <v>62</v>
      </c>
      <c r="G15" s="55" t="s">
        <v>62</v>
      </c>
      <c r="H15" s="55" t="s">
        <v>25</v>
      </c>
      <c r="I15" s="55" t="s">
        <v>26</v>
      </c>
      <c r="J15" s="55" t="s">
        <v>27</v>
      </c>
      <c r="K15" s="55" t="s">
        <v>28</v>
      </c>
      <c r="L15" s="55" t="s">
        <v>27</v>
      </c>
      <c r="M15" s="54"/>
      <c r="N15" s="54"/>
    </row>
    <row r="16" spans="1:14" x14ac:dyDescent="0.35">
      <c r="A16" s="55" t="s">
        <v>50</v>
      </c>
      <c r="B16" s="55"/>
      <c r="C16" s="55" t="s">
        <v>29</v>
      </c>
      <c r="D16" s="55" t="s">
        <v>30</v>
      </c>
      <c r="E16" s="55" t="s">
        <v>24</v>
      </c>
      <c r="F16" s="55" t="s">
        <v>60</v>
      </c>
      <c r="G16" s="55" t="s">
        <v>61</v>
      </c>
      <c r="H16" s="54" t="s">
        <v>30</v>
      </c>
      <c r="I16" s="55" t="s">
        <v>31</v>
      </c>
      <c r="J16" s="55" t="s">
        <v>31</v>
      </c>
      <c r="K16" s="54" t="s">
        <v>20</v>
      </c>
      <c r="L16" s="55" t="s">
        <v>32</v>
      </c>
      <c r="M16" s="55"/>
    </row>
    <row r="17" spans="1:13" x14ac:dyDescent="0.35">
      <c r="A17" s="38" t="s">
        <v>51</v>
      </c>
      <c r="B17" s="38" t="s">
        <v>33</v>
      </c>
      <c r="C17" s="38" t="s">
        <v>14</v>
      </c>
      <c r="D17" s="29" t="s">
        <v>49</v>
      </c>
      <c r="E17" s="29"/>
      <c r="F17" s="29"/>
      <c r="G17" s="29"/>
      <c r="H17" s="38" t="s">
        <v>15</v>
      </c>
      <c r="I17" s="29" t="s">
        <v>16</v>
      </c>
      <c r="J17" s="29" t="s">
        <v>17</v>
      </c>
      <c r="K17" s="29" t="s">
        <v>18</v>
      </c>
      <c r="L17" s="29" t="s">
        <v>42</v>
      </c>
      <c r="M17" s="55"/>
    </row>
    <row r="18" spans="1:13" x14ac:dyDescent="0.35">
      <c r="A18" s="55"/>
      <c r="D18" s="30"/>
      <c r="E18" s="30"/>
      <c r="F18" s="30"/>
      <c r="G18" s="30"/>
      <c r="H18" s="30"/>
      <c r="I18" s="30"/>
      <c r="J18" s="30"/>
      <c r="L18" s="30"/>
      <c r="M18" s="30"/>
    </row>
    <row r="19" spans="1:13" x14ac:dyDescent="0.35">
      <c r="A19" s="55">
        <v>1</v>
      </c>
      <c r="B19" s="25" t="s">
        <v>59</v>
      </c>
      <c r="C19" s="45">
        <f>+D19+H19+L19</f>
        <v>5378908</v>
      </c>
      <c r="D19" s="45">
        <f>+E19+F19+G19</f>
        <v>2308701</v>
      </c>
      <c r="E19" s="45">
        <v>2333824</v>
      </c>
      <c r="F19" s="45">
        <v>-16625</v>
      </c>
      <c r="G19" s="45">
        <v>-8498</v>
      </c>
      <c r="H19" s="23">
        <v>235080</v>
      </c>
      <c r="I19" s="23">
        <v>0</v>
      </c>
      <c r="J19" s="45">
        <f>308140-321+628858</f>
        <v>936677</v>
      </c>
      <c r="K19" s="23">
        <v>1898450</v>
      </c>
      <c r="L19" s="57">
        <f t="shared" ref="L19:L24" si="0">SUM(J19:K19)</f>
        <v>2835127</v>
      </c>
    </row>
    <row r="20" spans="1:13" x14ac:dyDescent="0.35">
      <c r="A20" s="55">
        <v>2</v>
      </c>
      <c r="B20" s="62">
        <v>43466</v>
      </c>
      <c r="C20" s="45">
        <f>+D20+H20+L20</f>
        <v>5434221</v>
      </c>
      <c r="D20" s="45">
        <f>+E20+F20+G20</f>
        <v>2309006</v>
      </c>
      <c r="E20" s="45">
        <v>2333870</v>
      </c>
      <c r="F20" s="45">
        <v>-16412</v>
      </c>
      <c r="G20" s="45">
        <v>-8452</v>
      </c>
      <c r="H20" s="23">
        <v>256718</v>
      </c>
      <c r="I20" s="23">
        <v>0</v>
      </c>
      <c r="J20" s="45">
        <f t="shared" ref="J20:J21" si="1">308140-321+628858</f>
        <v>936677</v>
      </c>
      <c r="K20" s="23">
        <v>1931820</v>
      </c>
      <c r="L20" s="57">
        <f t="shared" si="0"/>
        <v>2868497</v>
      </c>
    </row>
    <row r="21" spans="1:13" x14ac:dyDescent="0.35">
      <c r="A21" s="55">
        <v>3</v>
      </c>
      <c r="B21" s="62">
        <v>43497</v>
      </c>
      <c r="C21" s="45">
        <f t="shared" ref="C21:C31" si="2">+D21+H21+L21</f>
        <v>5455849</v>
      </c>
      <c r="D21" s="45">
        <f t="shared" ref="D21:D29" si="3">+E21+F21+G21</f>
        <v>2309259</v>
      </c>
      <c r="E21" s="45">
        <v>2333911</v>
      </c>
      <c r="F21" s="45">
        <v>-16241</v>
      </c>
      <c r="G21" s="45">
        <v>-8411</v>
      </c>
      <c r="H21" s="23">
        <v>258292</v>
      </c>
      <c r="I21" s="23">
        <v>0</v>
      </c>
      <c r="J21" s="45">
        <f t="shared" si="1"/>
        <v>936677</v>
      </c>
      <c r="K21" s="23">
        <v>1951621</v>
      </c>
      <c r="L21" s="57">
        <f t="shared" si="0"/>
        <v>2888298</v>
      </c>
    </row>
    <row r="22" spans="1:13" x14ac:dyDescent="0.35">
      <c r="A22" s="55">
        <v>4</v>
      </c>
      <c r="B22" s="62">
        <v>43525</v>
      </c>
      <c r="C22" s="45">
        <f t="shared" si="2"/>
        <v>5445937</v>
      </c>
      <c r="D22" s="45">
        <f t="shared" si="3"/>
        <v>2309049</v>
      </c>
      <c r="E22" s="45">
        <v>2333957</v>
      </c>
      <c r="F22" s="45">
        <v>-16543</v>
      </c>
      <c r="G22" s="45">
        <v>-8365</v>
      </c>
      <c r="H22" s="23">
        <v>232889</v>
      </c>
      <c r="I22" s="23">
        <v>0</v>
      </c>
      <c r="J22" s="45">
        <f>308140-321+656858</f>
        <v>964677</v>
      </c>
      <c r="K22" s="23">
        <v>1939322</v>
      </c>
      <c r="L22" s="57">
        <f t="shared" si="0"/>
        <v>2903999</v>
      </c>
    </row>
    <row r="23" spans="1:13" x14ac:dyDescent="0.35">
      <c r="A23" s="55">
        <v>5</v>
      </c>
      <c r="B23" s="62">
        <v>43556</v>
      </c>
      <c r="C23" s="45">
        <f t="shared" si="2"/>
        <v>5524625</v>
      </c>
      <c r="D23" s="45">
        <f t="shared" si="3"/>
        <v>2611808</v>
      </c>
      <c r="E23" s="45">
        <v>2639519</v>
      </c>
      <c r="F23" s="45">
        <v>-19390</v>
      </c>
      <c r="G23" s="45">
        <v>-8321</v>
      </c>
      <c r="H23" s="23">
        <v>0</v>
      </c>
      <c r="I23" s="23">
        <v>0</v>
      </c>
      <c r="J23" s="45">
        <f t="shared" ref="J23:J24" si="4">308140-321+656858</f>
        <v>964677</v>
      </c>
      <c r="K23" s="23">
        <v>1948140</v>
      </c>
      <c r="L23" s="57">
        <f t="shared" si="0"/>
        <v>2912817</v>
      </c>
    </row>
    <row r="24" spans="1:13" x14ac:dyDescent="0.35">
      <c r="A24" s="55">
        <v>6</v>
      </c>
      <c r="B24" s="62">
        <v>43586</v>
      </c>
      <c r="C24" s="45">
        <f t="shared" si="2"/>
        <v>5548900</v>
      </c>
      <c r="D24" s="45">
        <f t="shared" si="3"/>
        <v>2611793</v>
      </c>
      <c r="E24" s="45">
        <v>2639547</v>
      </c>
      <c r="F24" s="45">
        <v>-19479</v>
      </c>
      <c r="G24" s="45">
        <v>-8275</v>
      </c>
      <c r="H24" s="23">
        <v>0</v>
      </c>
      <c r="I24" s="23">
        <v>0</v>
      </c>
      <c r="J24" s="45">
        <f t="shared" si="4"/>
        <v>964677</v>
      </c>
      <c r="K24" s="23">
        <v>1972430</v>
      </c>
      <c r="L24" s="57">
        <f t="shared" si="0"/>
        <v>2937107</v>
      </c>
    </row>
    <row r="25" spans="1:13" x14ac:dyDescent="0.35">
      <c r="A25" s="55">
        <v>7</v>
      </c>
      <c r="B25" s="62">
        <v>43617</v>
      </c>
      <c r="C25" s="45">
        <f t="shared" si="2"/>
        <v>5566008</v>
      </c>
      <c r="D25" s="45">
        <f t="shared" si="3"/>
        <v>2612065</v>
      </c>
      <c r="E25" s="45">
        <v>2639574</v>
      </c>
      <c r="F25" s="45">
        <v>-19278</v>
      </c>
      <c r="G25" s="45">
        <v>-8231</v>
      </c>
      <c r="H25" s="23">
        <v>0</v>
      </c>
      <c r="I25" s="23">
        <v>0</v>
      </c>
      <c r="J25" s="45">
        <f>308140-321+696858</f>
        <v>1004677</v>
      </c>
      <c r="K25" s="23">
        <v>1949266</v>
      </c>
      <c r="L25" s="57">
        <f>SUM(J25:K25)</f>
        <v>2953943</v>
      </c>
    </row>
    <row r="26" spans="1:13" x14ac:dyDescent="0.35">
      <c r="A26" s="55">
        <v>8</v>
      </c>
      <c r="B26" s="62">
        <v>43647</v>
      </c>
      <c r="C26" s="45">
        <f t="shared" si="2"/>
        <v>5599116</v>
      </c>
      <c r="D26" s="45">
        <f t="shared" si="3"/>
        <v>2612343</v>
      </c>
      <c r="E26" s="45">
        <v>2639602</v>
      </c>
      <c r="F26" s="45">
        <v>-19074</v>
      </c>
      <c r="G26" s="45">
        <v>-8185</v>
      </c>
      <c r="H26" s="23">
        <v>0</v>
      </c>
      <c r="I26" s="23">
        <v>0</v>
      </c>
      <c r="J26" s="45">
        <f t="shared" ref="J26:J31" si="5">308140-321+696858</f>
        <v>1004677</v>
      </c>
      <c r="K26" s="23">
        <v>1982096</v>
      </c>
      <c r="L26" s="57">
        <f>SUM(J26:K26)</f>
        <v>2986773</v>
      </c>
    </row>
    <row r="27" spans="1:13" x14ac:dyDescent="0.35">
      <c r="A27" s="55">
        <v>9</v>
      </c>
      <c r="B27" s="62">
        <v>43678</v>
      </c>
      <c r="C27" s="45">
        <f t="shared" si="2"/>
        <v>5630501</v>
      </c>
      <c r="D27" s="45">
        <f t="shared" si="3"/>
        <v>2612624</v>
      </c>
      <c r="E27" s="45">
        <v>2639630</v>
      </c>
      <c r="F27" s="45">
        <v>-18866</v>
      </c>
      <c r="G27" s="45">
        <v>-8140</v>
      </c>
      <c r="H27" s="23">
        <v>0</v>
      </c>
      <c r="I27" s="23">
        <v>0</v>
      </c>
      <c r="J27" s="45">
        <f t="shared" si="5"/>
        <v>1004677</v>
      </c>
      <c r="K27" s="23">
        <v>2013200</v>
      </c>
      <c r="L27" s="57">
        <f>SUM(J27:K27)</f>
        <v>3017877</v>
      </c>
    </row>
    <row r="28" spans="1:13" x14ac:dyDescent="0.35">
      <c r="A28" s="55">
        <v>10</v>
      </c>
      <c r="B28" s="62">
        <v>43709</v>
      </c>
      <c r="C28" s="45">
        <f t="shared" si="2"/>
        <v>5586617</v>
      </c>
      <c r="D28" s="45">
        <f t="shared" si="3"/>
        <v>2611913</v>
      </c>
      <c r="E28" s="45">
        <v>2639658</v>
      </c>
      <c r="F28" s="45">
        <v>-18289</v>
      </c>
      <c r="G28" s="45">
        <v>-9456</v>
      </c>
      <c r="H28" s="23">
        <v>2000</v>
      </c>
      <c r="I28" s="23">
        <v>0</v>
      </c>
      <c r="J28" s="45">
        <f t="shared" si="5"/>
        <v>1004677</v>
      </c>
      <c r="K28" s="23">
        <v>1968027</v>
      </c>
      <c r="L28" s="57">
        <f>SUM(J28:K28)</f>
        <v>2972704</v>
      </c>
    </row>
    <row r="29" spans="1:13" x14ac:dyDescent="0.35">
      <c r="A29" s="55">
        <v>11</v>
      </c>
      <c r="B29" s="62">
        <v>43739</v>
      </c>
      <c r="C29" s="45">
        <f t="shared" si="2"/>
        <v>5598409</v>
      </c>
      <c r="D29" s="45">
        <f t="shared" si="3"/>
        <v>2612097</v>
      </c>
      <c r="E29" s="45">
        <v>2639686</v>
      </c>
      <c r="F29" s="45">
        <v>-18187</v>
      </c>
      <c r="G29" s="45">
        <v>-9402</v>
      </c>
      <c r="H29" s="23">
        <v>0</v>
      </c>
      <c r="I29" s="23">
        <v>0</v>
      </c>
      <c r="J29" s="45">
        <f t="shared" si="5"/>
        <v>1004677</v>
      </c>
      <c r="K29" s="23">
        <v>1981635</v>
      </c>
      <c r="L29" s="57">
        <f>SUM(J29:K29)</f>
        <v>2986312</v>
      </c>
    </row>
    <row r="30" spans="1:13" x14ac:dyDescent="0.35">
      <c r="A30" s="55">
        <v>12</v>
      </c>
      <c r="B30" s="62">
        <v>43770</v>
      </c>
      <c r="C30" s="23">
        <f t="shared" si="2"/>
        <v>5661266</v>
      </c>
      <c r="D30" s="45">
        <f t="shared" ref="D30:D31" si="6">+E30+F30+G30</f>
        <v>2612179</v>
      </c>
      <c r="E30" s="45">
        <v>2639713</v>
      </c>
      <c r="F30" s="45">
        <v>-18185</v>
      </c>
      <c r="G30" s="45">
        <v>-9349</v>
      </c>
      <c r="H30" s="23">
        <v>38997</v>
      </c>
      <c r="I30" s="23">
        <v>0</v>
      </c>
      <c r="J30" s="45">
        <f t="shared" si="5"/>
        <v>1004677</v>
      </c>
      <c r="K30" s="23">
        <v>2005413</v>
      </c>
      <c r="L30" s="57">
        <f t="shared" ref="L30:L31" si="7">SUM(J30:K30)</f>
        <v>3010090</v>
      </c>
    </row>
    <row r="31" spans="1:13" x14ac:dyDescent="0.35">
      <c r="A31" s="55">
        <v>13</v>
      </c>
      <c r="B31" s="62">
        <v>43800</v>
      </c>
      <c r="C31" s="45">
        <f t="shared" si="2"/>
        <v>5729417</v>
      </c>
      <c r="D31" s="45">
        <f t="shared" si="6"/>
        <v>2612320</v>
      </c>
      <c r="E31" s="45">
        <v>2639741</v>
      </c>
      <c r="F31" s="45">
        <v>-18127</v>
      </c>
      <c r="G31" s="45">
        <v>-9294</v>
      </c>
      <c r="H31" s="23">
        <v>149935</v>
      </c>
      <c r="I31" s="23">
        <v>0</v>
      </c>
      <c r="J31" s="45">
        <f t="shared" si="5"/>
        <v>1004677</v>
      </c>
      <c r="K31" s="23">
        <v>1962485</v>
      </c>
      <c r="L31" s="57">
        <f t="shared" si="7"/>
        <v>2967162</v>
      </c>
    </row>
    <row r="32" spans="1:13" x14ac:dyDescent="0.35">
      <c r="A32" s="55">
        <v>14</v>
      </c>
      <c r="B32" s="41" t="s">
        <v>34</v>
      </c>
      <c r="C32" s="42">
        <f>SUM(D32:K32)</f>
        <v>72159774</v>
      </c>
      <c r="D32" s="42">
        <f>SUM(D19:D31)</f>
        <v>32745157</v>
      </c>
      <c r="E32" s="42"/>
      <c r="F32" s="42"/>
      <c r="G32" s="42"/>
      <c r="H32" s="42">
        <f>SUM(H19:H31)</f>
        <v>1173911</v>
      </c>
      <c r="I32" s="42">
        <f>SUM(I19:I31)</f>
        <v>0</v>
      </c>
      <c r="J32" s="42">
        <f>SUM(J19:J31)</f>
        <v>12736801</v>
      </c>
      <c r="K32" s="42">
        <f>SUM(K19:K31)</f>
        <v>25503905</v>
      </c>
      <c r="L32" s="58">
        <f>SUM(J32:K32)</f>
        <v>38240706</v>
      </c>
    </row>
    <row r="33" spans="1:12" x14ac:dyDescent="0.35">
      <c r="A33" s="55">
        <v>15</v>
      </c>
      <c r="B33" s="27" t="s">
        <v>35</v>
      </c>
      <c r="C33" s="23">
        <f>SUM(D33:K33)</f>
        <v>5550752</v>
      </c>
      <c r="D33" s="23">
        <f t="shared" ref="D33:L33" si="8">ROUND(D32/COUNT(D19:D31),0)</f>
        <v>2518858</v>
      </c>
      <c r="E33" s="23"/>
      <c r="F33" s="23"/>
      <c r="G33" s="23"/>
      <c r="H33" s="23">
        <f t="shared" si="8"/>
        <v>90301</v>
      </c>
      <c r="I33" s="23">
        <f t="shared" si="8"/>
        <v>0</v>
      </c>
      <c r="J33" s="23">
        <f t="shared" si="8"/>
        <v>979754</v>
      </c>
      <c r="K33" s="23">
        <f t="shared" si="8"/>
        <v>1961839</v>
      </c>
      <c r="L33" s="23">
        <f t="shared" si="8"/>
        <v>2941593</v>
      </c>
    </row>
    <row r="34" spans="1:12" x14ac:dyDescent="0.35">
      <c r="A34" s="55">
        <v>16</v>
      </c>
      <c r="B34" s="43" t="s">
        <v>36</v>
      </c>
      <c r="C34" s="24"/>
      <c r="D34" s="44">
        <f t="shared" ref="D34:L34" si="9">D33/$C$33</f>
        <v>0.45378680222067208</v>
      </c>
      <c r="E34" s="44"/>
      <c r="F34" s="44"/>
      <c r="G34" s="44"/>
      <c r="H34" s="44">
        <f t="shared" si="9"/>
        <v>1.626824617637394E-2</v>
      </c>
      <c r="I34" s="44">
        <f t="shared" si="9"/>
        <v>0</v>
      </c>
      <c r="J34" s="44">
        <f t="shared" si="9"/>
        <v>0.17650833616778411</v>
      </c>
      <c r="K34" s="44">
        <f t="shared" si="9"/>
        <v>0.35343661543516985</v>
      </c>
      <c r="L34" s="44">
        <f t="shared" si="9"/>
        <v>0.52994495160295396</v>
      </c>
    </row>
    <row r="35" spans="1:12" x14ac:dyDescent="0.35">
      <c r="A35" s="55">
        <v>17</v>
      </c>
      <c r="B35" s="27" t="s">
        <v>37</v>
      </c>
      <c r="C35" s="23"/>
      <c r="D35" s="26">
        <f>D31/$C$31</f>
        <v>0.45594865934876094</v>
      </c>
      <c r="E35" s="26"/>
      <c r="F35" s="26"/>
      <c r="G35" s="26"/>
      <c r="H35" s="26">
        <f>H31/$C$31</f>
        <v>2.6169329270325409E-2</v>
      </c>
      <c r="I35" s="26">
        <f>I31/$C$31</f>
        <v>0</v>
      </c>
      <c r="J35" s="26">
        <f>J31/$C$31</f>
        <v>0.17535414161685212</v>
      </c>
      <c r="K35" s="26">
        <f>K31/$C$31</f>
        <v>0.34252786976406152</v>
      </c>
      <c r="L35" s="26">
        <f>L31/$C$31</f>
        <v>0.51788201138091361</v>
      </c>
    </row>
    <row r="36" spans="1:12" x14ac:dyDescent="0.35">
      <c r="B36" s="27"/>
      <c r="C36" s="23"/>
      <c r="D36" s="26"/>
      <c r="E36" s="26"/>
      <c r="F36" s="26"/>
      <c r="G36" s="26"/>
      <c r="H36" s="26"/>
      <c r="I36" s="26"/>
      <c r="J36" s="26"/>
      <c r="K36" s="26"/>
      <c r="L36" s="28"/>
    </row>
    <row r="37" spans="1:12" x14ac:dyDescent="0.35">
      <c r="L37" s="55"/>
    </row>
    <row r="38" spans="1:12" x14ac:dyDescent="0.35">
      <c r="A38" s="37" t="s">
        <v>57</v>
      </c>
      <c r="B38" s="31" t="s">
        <v>58</v>
      </c>
      <c r="L38" s="55"/>
    </row>
    <row r="39" spans="1:12" ht="15.75" customHeight="1" x14ac:dyDescent="0.35">
      <c r="B39" s="25" t="s">
        <v>56</v>
      </c>
    </row>
  </sheetData>
  <mergeCells count="7">
    <mergeCell ref="A10:L10"/>
    <mergeCell ref="A1:L1"/>
    <mergeCell ref="A2:L2"/>
    <mergeCell ref="A4:L4"/>
    <mergeCell ref="A6:L6"/>
    <mergeCell ref="A8:L8"/>
    <mergeCell ref="A9:L9"/>
  </mergeCells>
  <pageMargins left="1" right="1" top="1" bottom="1.75" header="0.5" footer="0.5"/>
  <pageSetup scale="61" fitToHeight="0" orientation="landscape" r:id="rId1"/>
  <headerFooter scaleWithDoc="0">
    <oddFooter xml:space="preserve">&amp;R&amp;"Times New Roman,Bold"&amp;12 Case No. 2020-00349
Attachment to Response to PSC-1 Question No. 22
Page &amp;P of &amp;N
Arbough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45753A7-C776-4A21-98E1-F97622EA36EA}"/>
</file>

<file path=customXml/itemProps2.xml><?xml version="1.0" encoding="utf-8"?>
<ds:datastoreItem xmlns:ds="http://schemas.openxmlformats.org/officeDocument/2006/customXml" ds:itemID="{ECFF6CDE-E7CC-4C9C-BB6A-CD66C4941AEC}"/>
</file>

<file path=customXml/itemProps3.xml><?xml version="1.0" encoding="utf-8"?>
<ds:datastoreItem xmlns:ds="http://schemas.openxmlformats.org/officeDocument/2006/customXml" ds:itemID="{749D9F91-4C54-485D-B539-7D16F3A04950}"/>
</file>

<file path=customXml/itemProps4.xml><?xml version="1.0" encoding="utf-8"?>
<ds:datastoreItem xmlns:ds="http://schemas.openxmlformats.org/officeDocument/2006/customXml" ds:itemID="{D3D2AA97-935F-4D5F-A362-B824C5887C21}"/>
</file>

<file path=customXml/itemProps5.xml><?xml version="1.0" encoding="utf-8"?>
<ds:datastoreItem xmlns:ds="http://schemas.openxmlformats.org/officeDocument/2006/customXml" ds:itemID="{063B4737-66E9-4D59-9C15-EF16FD49A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22 - KU -Sched E1</vt:lpstr>
      <vt:lpstr>3 - KU - Sched 1 KU Energy</vt:lpstr>
      <vt:lpstr>3 - KU - Sched 1 LEC</vt:lpstr>
      <vt:lpstr>22 - KU - Sched E2</vt:lpstr>
      <vt:lpstr>'22 - KU - Sched E2'!Print_Area</vt:lpstr>
      <vt:lpstr>'22 - KU -Sched E1'!Print_Area</vt:lpstr>
      <vt:lpstr>'3 - KU - Sched 1 KU Energy'!Print_Area</vt:lpstr>
    </vt:vector>
  </TitlesOfParts>
  <Company>LG&amp;E Energy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E009132</dc:creator>
  <cp:lastModifiedBy>temp</cp:lastModifiedBy>
  <cp:lastPrinted>2020-12-03T18:10:41Z</cp:lastPrinted>
  <dcterms:created xsi:type="dcterms:W3CDTF">2003-12-17T21:13:49Z</dcterms:created>
  <dcterms:modified xsi:type="dcterms:W3CDTF">2020-12-04T14:20:08Z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2020-11-04T15:43:07Z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f41728d4-ff48-465b-9d78-0000d833909f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