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ERC Formula Rates\1 - Attachment O\2018 Update\1 - Att O Calcs\"/>
    </mc:Choice>
  </mc:AlternateContent>
  <bookViews>
    <workbookView xWindow="0" yWindow="0" windowWidth="4770" windowHeight="6300" tabRatio="950"/>
  </bookViews>
  <sheets>
    <sheet name="Disclosures" sheetId="28" r:id="rId1"/>
    <sheet name="OATT Input Data" sheetId="20" r:id="rId2"/>
    <sheet name="VA Transmission" sheetId="21" r:id="rId3"/>
    <sheet name="Summary" sheetId="22" r:id="rId4"/>
    <sheet name="NITS Pg 1 of 5" sheetId="1" r:id="rId5"/>
    <sheet name="NITS Pg 2 of 5" sheetId="3" r:id="rId6"/>
    <sheet name="NITS Pg 3 of 5" sheetId="4" r:id="rId7"/>
    <sheet name="NITS Pg 4 of 5" sheetId="5" r:id="rId8"/>
    <sheet name="PTP Pg 1 of 5" sheetId="15" r:id="rId9"/>
    <sheet name="PTP Pg 2 of 5" sheetId="16" r:id="rId10"/>
    <sheet name="PTP Pg 3 of 5" sheetId="17" r:id="rId11"/>
    <sheet name="PTP Pg 4 of 5" sheetId="18" r:id="rId12"/>
    <sheet name="Pg 5 of 5 Notes for both" sheetId="6" r:id="rId13"/>
    <sheet name="Depreciation Rates" sheetId="14" r:id="rId14"/>
    <sheet name="Sch 1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J" localSheetId="0">#REF!</definedName>
    <definedName name="\J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X" localSheetId="0">#REF!</definedName>
    <definedName name="\X">#REF!</definedName>
    <definedName name="\Y" localSheetId="0">#REF!</definedName>
    <definedName name="\Y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12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12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12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localSheetId="11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12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12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1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12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localSheetId="11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12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localSheetId="11" hidden="1">#REF!</definedName>
    <definedName name="__123Graph_X" hidden="1">#REF!</definedName>
    <definedName name="__key3" localSheetId="0" hidden="1">#REF!</definedName>
    <definedName name="__key3" hidden="1">#REF!</definedName>
    <definedName name="_9_97" localSheetId="0">'[1]Parent&amp;SUb Ratios'!#REF!</definedName>
    <definedName name="_9_97">'[1]Parent&amp;SUb Ratios'!#REF!</definedName>
    <definedName name="_9_98" localSheetId="0">'[1]Parent&amp;SUb Ratios'!#REF!</definedName>
    <definedName name="_9_98">'[1]Parent&amp;SUb Ratios'!#REF!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CB1" localSheetId="0">#REF!</definedName>
    <definedName name="_FCB1">#REF!</definedName>
    <definedName name="_FCB2" localSheetId="0">#REF!</definedName>
    <definedName name="_FCB2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2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4" hidden="1">'NITS Pg 1 of 5'!$E$10:$E$45</definedName>
    <definedName name="_xlnm._FilterDatabase" localSheetId="5" hidden="1">'NITS Pg 2 of 5'!#REF!</definedName>
    <definedName name="_xlnm._FilterDatabase" localSheetId="6" hidden="1">'NITS Pg 3 of 5'!#REF!</definedName>
    <definedName name="_xlnm._FilterDatabase" localSheetId="7" hidden="1">'NITS Pg 4 of 5'!#REF!</definedName>
    <definedName name="_xlnm._FilterDatabase" localSheetId="12" hidden="1">'Pg 5 of 5 Notes for both'!#REF!</definedName>
    <definedName name="_xlnm._FilterDatabase" localSheetId="8" hidden="1">'PTP Pg 1 of 5'!$E$10:$E$45</definedName>
    <definedName name="_xlnm._FilterDatabase" localSheetId="9" hidden="1">'PTP Pg 2 of 5'!#REF!</definedName>
    <definedName name="_xlnm._FilterDatabase" localSheetId="10" hidden="1">'PTP Pg 3 of 5'!#REF!</definedName>
    <definedName name="_xlnm._FilterDatabase" localSheetId="11" hidden="1">'PTP Pg 4 of 5'!#REF!</definedName>
    <definedName name="_xlnm._FilterDatabase" localSheetId="14" hidden="1">'Sch 1'!$E$22:$E$51</definedName>
    <definedName name="_JE29" localSheetId="0">#REF!</definedName>
    <definedName name="_JE29">#REF!</definedName>
    <definedName name="_JE30" localSheetId="0">#REF!</definedName>
    <definedName name="_JE30">#REF!</definedName>
    <definedName name="_JE31" localSheetId="0">#REF!</definedName>
    <definedName name="_JE31">#REF!</definedName>
    <definedName name="_JE32" localSheetId="0">#REF!</definedName>
    <definedName name="_JE32">#REF!</definedName>
    <definedName name="_JE33" localSheetId="0">#REF!</definedName>
    <definedName name="_JE33">#REF!</definedName>
    <definedName name="_JE66" localSheetId="0">#REF!</definedName>
    <definedName name="_JE66">#REF!</definedName>
    <definedName name="_JE67" localSheetId="0">#REF!</definedName>
    <definedName name="_JE67">#REF!</definedName>
    <definedName name="_JE68" localSheetId="0">#REF!</definedName>
    <definedName name="_JE68">#REF!</definedName>
    <definedName name="_JE69" localSheetId="0">#REF!</definedName>
    <definedName name="_JE69">#REF!</definedName>
    <definedName name="_JE691" localSheetId="0">#REF!</definedName>
    <definedName name="_JE691">#REF!</definedName>
    <definedName name="_JE70" localSheetId="0">#REF!</definedName>
    <definedName name="_JE70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key4" localSheetId="0" hidden="1">#REF!</definedName>
    <definedName name="_key4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PG1" localSheetId="0">#REF!</definedName>
    <definedName name="_PG1">#REF!</definedName>
    <definedName name="_PG2" localSheetId="0">#REF!</definedName>
    <definedName name="_PG2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_GEXP" localSheetId="0">#REF!</definedName>
    <definedName name="A_GEXP">#REF!</definedName>
    <definedName name="actsum" localSheetId="0">#REF!</definedName>
    <definedName name="actsum">#REF!</definedName>
    <definedName name="ACTUAL">"'Vol_Revs'!R5C3:R5C14"</definedName>
    <definedName name="ADITPP" localSheetId="0">#REF!</definedName>
    <definedName name="ADITPP">#REF!</definedName>
    <definedName name="ADITTP" localSheetId="0">#REF!</definedName>
    <definedName name="ADITTP">#REF!</definedName>
    <definedName name="AFUDC" localSheetId="0">#REF!</definedName>
    <definedName name="AFUDC">#REF!</definedName>
    <definedName name="ALERT2" localSheetId="0">#REF!</definedName>
    <definedName name="ALERT2">#REF!</definedName>
    <definedName name="Annual_Sales_KU" localSheetId="0">'[2]LGE Sales'!#REF!</definedName>
    <definedName name="Annual_Sales_KU">'[2]LGE Sales'!#REF!</definedName>
    <definedName name="apra" localSheetId="0">#REF!</definedName>
    <definedName name="apra">#REF!</definedName>
    <definedName name="auga" localSheetId="0">#REF!</definedName>
    <definedName name="auga">#REF!</definedName>
    <definedName name="AUTO" localSheetId="0">[3]Ins!#REF!</definedName>
    <definedName name="AUTO">[3]Ins!#REF!</definedName>
    <definedName name="BENN" localSheetId="0">#REF!</definedName>
    <definedName name="BENN">#REF!</definedName>
    <definedName name="Billed_Revenues_Dollars" localSheetId="0">#REF!</definedName>
    <definedName name="Billed_Revenues_Dollars">#REF!</definedName>
    <definedName name="Billed_Sales__KWh" localSheetId="0">#REF!</definedName>
    <definedName name="Billed_Sales__KWh">#REF!</definedName>
    <definedName name="BNE_MESSAGES_HIDDEN" localSheetId="0" hidden="1">#REF!</definedName>
    <definedName name="BNE_MESSAGES_HIDDEN" hidden="1">#REF!</definedName>
    <definedName name="CANE423" localSheetId="0">#REF!</definedName>
    <definedName name="CANE423">#REF!</definedName>
    <definedName name="Cap_YTD" localSheetId="0">#REF!</definedName>
    <definedName name="Cap_YTD">#REF!</definedName>
    <definedName name="Cap_YTDPrt" localSheetId="0">#REF!</definedName>
    <definedName name="Cap_YTDPrt">#REF!</definedName>
    <definedName name="Choices_Wrapper">#N/A</definedName>
    <definedName name="COAL" localSheetId="0">#REF!</definedName>
    <definedName name="COAL">#REF!</definedName>
    <definedName name="Coal_Annual_KU" localSheetId="0">'[2]LGE Coal'!#REF!</definedName>
    <definedName name="Coal_Annual_KU">'[2]LGE Coal'!#REF!</definedName>
    <definedName name="coal_hide_ku_01" localSheetId="0">'[2]LGE Coal'!#REF!</definedName>
    <definedName name="coal_hide_ku_01">'[2]LGE Coal'!#REF!</definedName>
    <definedName name="coal_hide_lge_01" localSheetId="0">'[2]LGE Coal'!#REF!</definedName>
    <definedName name="coal_hide_lge_01">'[2]LGE Coal'!#REF!</definedName>
    <definedName name="coal_ku_01" localSheetId="0">'[2]LGE Coal'!#REF!</definedName>
    <definedName name="coal_ku_01">'[2]LGE Coal'!#REF!</definedName>
    <definedName name="COAL1" localSheetId="0">#REF!</definedName>
    <definedName name="COAL1">#REF!</definedName>
    <definedName name="COAL1A" localSheetId="0">#REF!</definedName>
    <definedName name="COAL1A">#REF!</definedName>
    <definedName name="COAL2" localSheetId="0">#REF!</definedName>
    <definedName name="COAL2">#REF!</definedName>
    <definedName name="COAL3" localSheetId="0">#REF!</definedName>
    <definedName name="COAL3">#REF!</definedName>
    <definedName name="coalcost" localSheetId="0">#REF!</definedName>
    <definedName name="coalcost">#REF!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bined" localSheetId="0">[4]Main!#REF!</definedName>
    <definedName name="combined">[4]Main!#REF!</definedName>
    <definedName name="COMMIT" localSheetId="0">#REF!</definedName>
    <definedName name="COMMIT">#REF!</definedName>
    <definedName name="COMMT." localSheetId="0">#REF!</definedName>
    <definedName name="COMMT.">#REF!</definedName>
    <definedName name="Comp">#N/A</definedName>
    <definedName name="COMPNAME">'[5]Info Page'!$E$29</definedName>
    <definedName name="comsum" localSheetId="0">#REF!</definedName>
    <definedName name="comsum">#REF!</definedName>
    <definedName name="Cost_Categories" localSheetId="0">#REF!</definedName>
    <definedName name="Cost_Categories">#REF!</definedName>
    <definedName name="Costs_Bank_Audit_and_Risk_Mgmt_Fees" localSheetId="0">#REF!</definedName>
    <definedName name="Costs_Bank_Audit_and_Risk_Mgmt_Fees">#REF!</definedName>
    <definedName name="Costs_Contractors_and_Consultants" localSheetId="0">#REF!</definedName>
    <definedName name="Costs_Contractors_and_Consultants">#REF!</definedName>
    <definedName name="Costs_Dues_and_Subscriptions" localSheetId="0">#REF!</definedName>
    <definedName name="Costs_Dues_and_Subscriptions">#REF!</definedName>
    <definedName name="Costs_Education_and_Training" localSheetId="0">#REF!</definedName>
    <definedName name="Costs_Education_and_Training">#REF!</definedName>
    <definedName name="Costs_Lease_and_Maintenance" localSheetId="0">#REF!</definedName>
    <definedName name="Costs_Lease_and_Maintenance">#REF!</definedName>
    <definedName name="Costs_Meals_and_Entertainment" localSheetId="0">#REF!</definedName>
    <definedName name="Costs_Meals_and_Entertainment">#REF!</definedName>
    <definedName name="Costs_Other" localSheetId="0">#REF!</definedName>
    <definedName name="Costs_Other">#REF!</definedName>
    <definedName name="Costs_Travel" localSheetId="0">#REF!</definedName>
    <definedName name="Costs_Travel">#REF!</definedName>
    <definedName name="counter" localSheetId="0">#REF!</definedName>
    <definedName name="counter">#REF!</definedName>
    <definedName name="CS_STAFF" localSheetId="0">#REF!</definedName>
    <definedName name="CS_STAFF">#REF!</definedName>
    <definedName name="CS_VAR" localSheetId="0">#REF!</definedName>
    <definedName name="CS_VAR">#REF!</definedName>
    <definedName name="CSS_BORD" localSheetId="0">#REF!</definedName>
    <definedName name="CSS_BORD">#REF!</definedName>
    <definedName name="CSV_BORD" localSheetId="0">#REF!</definedName>
    <definedName name="CSV_BORD">#REF!</definedName>
    <definedName name="CURRENT" localSheetId="0">#REF!</definedName>
    <definedName name="CURRENT">#REF!</definedName>
    <definedName name="currMonth">[6]Inputs!$C$4</definedName>
    <definedName name="currYear">[6]Inputs!$C$5</definedName>
    <definedName name="CUST369K" localSheetId="0">#REF!</definedName>
    <definedName name="CUST369K">#REF!</definedName>
    <definedName name="CUST369T" localSheetId="0">#REF!</definedName>
    <definedName name="CUST369T">#REF!</definedName>
    <definedName name="CUST369V" localSheetId="0">#REF!</definedName>
    <definedName name="CUST369V">#REF!</definedName>
    <definedName name="CUST370K" localSheetId="0">#REF!</definedName>
    <definedName name="CUST370K">#REF!</definedName>
    <definedName name="CUST370T" localSheetId="0">#REF!</definedName>
    <definedName name="CUST370T">#REF!</definedName>
    <definedName name="CUST370V" localSheetId="0">#REF!</definedName>
    <definedName name="CUST370V">#REF!</definedName>
    <definedName name="CUST371K" localSheetId="0">#REF!</definedName>
    <definedName name="CUST371K">#REF!</definedName>
    <definedName name="CUST371T" localSheetId="0">#REF!</definedName>
    <definedName name="CUST371T">#REF!</definedName>
    <definedName name="CUST371V" localSheetId="0">#REF!</definedName>
    <definedName name="CUST371V">#REF!</definedName>
    <definedName name="CUST373K" localSheetId="0">#REF!</definedName>
    <definedName name="CUST373K">#REF!</definedName>
    <definedName name="CUST373V" localSheetId="0">#REF!</definedName>
    <definedName name="CUST373V">#REF!</definedName>
    <definedName name="CUST902" localSheetId="0">#REF!</definedName>
    <definedName name="CUST902">#REF!</definedName>
    <definedName name="CUST903" localSheetId="0">#REF!</definedName>
    <definedName name="CUST903">#REF!</definedName>
    <definedName name="CUST904" localSheetId="0">#REF!</definedName>
    <definedName name="CUST904">#REF!</definedName>
    <definedName name="CUST908" localSheetId="0">#REF!</definedName>
    <definedName name="CUST908">#REF!</definedName>
    <definedName name="CUST909" localSheetId="0">#REF!</definedName>
    <definedName name="CUST909">#REF!</definedName>
    <definedName name="CUST912" localSheetId="0">#REF!</definedName>
    <definedName name="CUST912">#REF!</definedName>
    <definedName name="CUST913" localSheetId="0">#REF!</definedName>
    <definedName name="CUST913">#REF!</definedName>
    <definedName name="CUSTADV" localSheetId="0">#REF!</definedName>
    <definedName name="CUSTADV">#REF!</definedName>
    <definedName name="CUSTANN" localSheetId="0">#REF!</definedName>
    <definedName name="CUSTANN">#REF!</definedName>
    <definedName name="CUSTDEP" localSheetId="0">#REF!</definedName>
    <definedName name="CUSTDEP">#REF!</definedName>
    <definedName name="CUSTDEPI" localSheetId="0">#REF!</definedName>
    <definedName name="CUSTDEPI">#REF!</definedName>
    <definedName name="CUSTSER" localSheetId="0">#REF!</definedName>
    <definedName name="CUSTSER">#REF!</definedName>
    <definedName name="CWIPPP" localSheetId="0">#REF!</definedName>
    <definedName name="CWIPPP">#REF!</definedName>
    <definedName name="CWIPTP" localSheetId="0">#REF!</definedName>
    <definedName name="CWIPTP">#REF!</definedName>
    <definedName name="DATA" localSheetId="0">#REF!</definedName>
    <definedName name="DATA">#REF!</definedName>
    <definedName name="data8" localSheetId="0">#REF!</definedName>
    <definedName name="data8">#REF!</definedName>
    <definedName name="dataone" localSheetId="0">[7]Main!#REF!</definedName>
    <definedName name="dataone">[7]Main!#REF!</definedName>
    <definedName name="DATE_TIME">'[5]Info Page'!$E$2</definedName>
    <definedName name="deca" localSheetId="0">#REF!</definedName>
    <definedName name="deca">#REF!</definedName>
    <definedName name="DEFTAX" localSheetId="0">#REF!</definedName>
    <definedName name="DEFTAX">#REF!</definedName>
    <definedName name="DEM3602V" localSheetId="0">#REF!</definedName>
    <definedName name="DEM3602V">#REF!</definedName>
    <definedName name="DEM360K" localSheetId="0">#REF!</definedName>
    <definedName name="DEM360K">#REF!</definedName>
    <definedName name="DEM360T" localSheetId="0">#REF!</definedName>
    <definedName name="DEM360T">#REF!</definedName>
    <definedName name="DEM360V" localSheetId="0">#REF!</definedName>
    <definedName name="DEM360V">#REF!</definedName>
    <definedName name="DEM361K" localSheetId="0">#REF!</definedName>
    <definedName name="DEM361K">#REF!</definedName>
    <definedName name="DEM361T" localSheetId="0">#REF!</definedName>
    <definedName name="DEM361T">#REF!</definedName>
    <definedName name="DEM361V" localSheetId="0">#REF!</definedName>
    <definedName name="DEM361V">#REF!</definedName>
    <definedName name="DEM362K" localSheetId="0">#REF!</definedName>
    <definedName name="DEM362K">#REF!</definedName>
    <definedName name="DEM362T" localSheetId="0">#REF!</definedName>
    <definedName name="DEM362T">#REF!</definedName>
    <definedName name="DEM362V" localSheetId="0">#REF!</definedName>
    <definedName name="DEM362V">#REF!</definedName>
    <definedName name="DEM3645K" localSheetId="0">#REF!</definedName>
    <definedName name="DEM3645K">#REF!</definedName>
    <definedName name="DEM3645V" localSheetId="0">#REF!</definedName>
    <definedName name="DEM3645V">#REF!</definedName>
    <definedName name="DEM364K" localSheetId="0">#REF!</definedName>
    <definedName name="DEM364K">#REF!</definedName>
    <definedName name="DEM364T" localSheetId="0">#REF!</definedName>
    <definedName name="DEM364T">#REF!</definedName>
    <definedName name="DEM364V" localSheetId="0">#REF!</definedName>
    <definedName name="DEM364V">#REF!</definedName>
    <definedName name="DEM365K" localSheetId="0">#REF!</definedName>
    <definedName name="DEM365K">#REF!</definedName>
    <definedName name="DEM365T" localSheetId="0">#REF!</definedName>
    <definedName name="DEM365T">#REF!</definedName>
    <definedName name="DEM365V" localSheetId="0">#REF!</definedName>
    <definedName name="DEM365V">#REF!</definedName>
    <definedName name="DEM3667K" localSheetId="0">#REF!</definedName>
    <definedName name="DEM3667K">#REF!</definedName>
    <definedName name="DEM3667V" localSheetId="0">#REF!</definedName>
    <definedName name="DEM3667V">#REF!</definedName>
    <definedName name="DEM366K" localSheetId="0">#REF!</definedName>
    <definedName name="DEM366K">#REF!</definedName>
    <definedName name="DEM367K" localSheetId="0">#REF!</definedName>
    <definedName name="DEM367K">#REF!</definedName>
    <definedName name="DEM367V" localSheetId="0">#REF!</definedName>
    <definedName name="DEM367V">#REF!</definedName>
    <definedName name="DEM368K" localSheetId="0">#REF!</definedName>
    <definedName name="DEM368K">#REF!</definedName>
    <definedName name="DEM368T" localSheetId="0">#REF!</definedName>
    <definedName name="DEM368T">#REF!</definedName>
    <definedName name="DEM368V" localSheetId="0">#REF!</definedName>
    <definedName name="DEM368V">#REF!</definedName>
    <definedName name="DEM374K" localSheetId="0">#REF!</definedName>
    <definedName name="DEM374K">#REF!</definedName>
    <definedName name="DEMFERC" localSheetId="0">#REF!</definedName>
    <definedName name="DEMFERC">#REF!</definedName>
    <definedName name="DEMFERCP" localSheetId="0">#REF!</definedName>
    <definedName name="DEMFERCP">#REF!</definedName>
    <definedName name="DEMFERCT" localSheetId="0">#REF!</definedName>
    <definedName name="DEMFERCT">#REF!</definedName>
    <definedName name="DEMPROD" localSheetId="0">#REF!</definedName>
    <definedName name="DEMPROD">#REF!</definedName>
    <definedName name="DEMPRODNV" localSheetId="0">#REF!</definedName>
    <definedName name="DEMPRODNV">#REF!</definedName>
    <definedName name="DEMTENND" localSheetId="0">#REF!</definedName>
    <definedName name="DEMTENND">#REF!</definedName>
    <definedName name="DEMTRAN" localSheetId="0">#REF!</definedName>
    <definedName name="DEMTRAN">#REF!</definedName>
    <definedName name="DEMTRANNF" localSheetId="0">#REF!</definedName>
    <definedName name="DEMTRANNF">#REF!</definedName>
    <definedName name="DEMTRANNVF" localSheetId="0">#REF!</definedName>
    <definedName name="DEMTRANNVF">#REF!</definedName>
    <definedName name="DEMVA" localSheetId="0">#REF!</definedName>
    <definedName name="DEMVA">#REF!</definedName>
    <definedName name="Departments">'[8]Allocation %s'!$C$7:$C$40</definedName>
    <definedName name="dflt4">'[9]Customize Your Invoice'!$E$26</definedName>
    <definedName name="dflt5">'[9]Customize Your Invoice'!$E$27</definedName>
    <definedName name="dflt6">'[9]Customize Your Invoice'!$D$28</definedName>
    <definedName name="DFUELVA" localSheetId="0">#REF!</definedName>
    <definedName name="DFUELVA">#REF!</definedName>
    <definedName name="DIR203E" localSheetId="0">#REF!</definedName>
    <definedName name="DIR203E">#REF!</definedName>
    <definedName name="DIR3602V" localSheetId="0">#REF!</definedName>
    <definedName name="DIR3602V">#REF!</definedName>
    <definedName name="DIR361K" localSheetId="0">#REF!</definedName>
    <definedName name="DIR361K">#REF!</definedName>
    <definedName name="DIR362K" localSheetId="0">#REF!</definedName>
    <definedName name="DIR362K">#REF!</definedName>
    <definedName name="DIR364K" localSheetId="0">#REF!</definedName>
    <definedName name="DIR364K">#REF!</definedName>
    <definedName name="DIR365K" localSheetId="0">#REF!</definedName>
    <definedName name="DIR365K">#REF!</definedName>
    <definedName name="DIR366K" localSheetId="0">#REF!</definedName>
    <definedName name="DIR366K">#REF!</definedName>
    <definedName name="DIR367K" localSheetId="0">#REF!</definedName>
    <definedName name="DIR367K">#REF!</definedName>
    <definedName name="DIR368K" localSheetId="0">#REF!</definedName>
    <definedName name="DIR368K">#REF!</definedName>
    <definedName name="DIR450REV" localSheetId="0">#REF!</definedName>
    <definedName name="DIR450REV">#REF!</definedName>
    <definedName name="DIR451OTH" localSheetId="0">#REF!</definedName>
    <definedName name="DIR451OTH">#REF!</definedName>
    <definedName name="DIR451REC" localSheetId="0">#REF!</definedName>
    <definedName name="DIR451REC">#REF!</definedName>
    <definedName name="DIR454REV" localSheetId="0">#REF!</definedName>
    <definedName name="DIR454REV">#REF!</definedName>
    <definedName name="DIR456CHK" localSheetId="0">#REF!</definedName>
    <definedName name="DIR456CHK">#REF!</definedName>
    <definedName name="DIR456FAC" localSheetId="0">#REF!</definedName>
    <definedName name="DIR456FAC">#REF!</definedName>
    <definedName name="DIR456OTH" localSheetId="0">#REF!</definedName>
    <definedName name="DIR456OTH">#REF!</definedName>
    <definedName name="DIRACDEP" localSheetId="0">#REF!</definedName>
    <definedName name="DIRACDEP">#REF!</definedName>
    <definedName name="DIRACDEPF" localSheetId="0">#REF!</definedName>
    <definedName name="DIRACDEPF">#REF!</definedName>
    <definedName name="DIRACDFTX" localSheetId="0">#REF!</definedName>
    <definedName name="DIRACDFTX">#REF!</definedName>
    <definedName name="DIRACITC" localSheetId="0">#REF!</definedName>
    <definedName name="DIRACITC">#REF!</definedName>
    <definedName name="DIRCWIP" localSheetId="0">#REF!</definedName>
    <definedName name="DIRCWIP">#REF!</definedName>
    <definedName name="DIRITCADJ" localSheetId="0">#REF!</definedName>
    <definedName name="DIRITCADJ">#REF!</definedName>
    <definedName name="DIRLATEPAY" localSheetId="0">#REF!</definedName>
    <definedName name="DIRLATEPAY">#REF!</definedName>
    <definedName name="DIRSE" localSheetId="0">#REF!</definedName>
    <definedName name="DIRSE">#REF!</definedName>
    <definedName name="DISTOTHPLTKF" localSheetId="0">#REF!</definedName>
    <definedName name="DISTOTHPLTKF">#REF!</definedName>
    <definedName name="DISTPLT" localSheetId="0">#REF!</definedName>
    <definedName name="DISTPLT">#REF!</definedName>
    <definedName name="DISTPLTKF" localSheetId="0">#REF!</definedName>
    <definedName name="DISTPLTKF">#REF!</definedName>
    <definedName name="DISTSUBPLTKF" localSheetId="0">#REF!</definedName>
    <definedName name="DISTSUBPLTKF">#REF!</definedName>
    <definedName name="DPLTXVA" localSheetId="0">#REF!</definedName>
    <definedName name="DPLTXVA">#REF!</definedName>
    <definedName name="DPRODKY" localSheetId="0">#REF!</definedName>
    <definedName name="DPRODKY">#REF!</definedName>
    <definedName name="DPRODVA" localSheetId="0">#REF!</definedName>
    <definedName name="DPRODVA">#REF!</definedName>
    <definedName name="emiuie" localSheetId="0">#REF!</definedName>
    <definedName name="emiuie">#REF!</definedName>
    <definedName name="End_Date_Planned">'[10]Outages by Unit'!$C$1:$C$65536</definedName>
    <definedName name="ENERGY" localSheetId="0">#REF!</definedName>
    <definedName name="ENERGY">#REF!</definedName>
    <definedName name="ENERGY1" localSheetId="0">#REF!</definedName>
    <definedName name="ENERGY1">#REF!</definedName>
    <definedName name="ENTRY" localSheetId="0">#REF!</definedName>
    <definedName name="ENTRY">#REF!</definedName>
    <definedName name="entry1" localSheetId="0">#REF!</definedName>
    <definedName name="entry1">#REF!</definedName>
    <definedName name="entry12" localSheetId="0">#REF!</definedName>
    <definedName name="entry12">#REF!</definedName>
    <definedName name="entry2" localSheetId="0">#REF!</definedName>
    <definedName name="entry2">#REF!</definedName>
    <definedName name="entry3" localSheetId="0">#REF!</definedName>
    <definedName name="entry3">#REF!</definedName>
    <definedName name="entry4" localSheetId="0">#REF!</definedName>
    <definedName name="entry4">#REF!</definedName>
    <definedName name="entry5" localSheetId="0">#REF!</definedName>
    <definedName name="entry5">#REF!</definedName>
    <definedName name="entry6" localSheetId="0">#REF!</definedName>
    <definedName name="entry6">#REF!</definedName>
    <definedName name="entry7" localSheetId="0">#REF!</definedName>
    <definedName name="entry7">#REF!</definedName>
    <definedName name="ENTRYN" localSheetId="0">[11]SupportN!#REF!</definedName>
    <definedName name="ENTRYN">[11]SupportN!#REF!</definedName>
    <definedName name="ENTRYQ" localSheetId="0">[11]SupportN!#REF!</definedName>
    <definedName name="ENTRYQ">[11]SupportN!#REF!</definedName>
    <definedName name="ESB_STAFF" localSheetId="0">#REF!</definedName>
    <definedName name="ESB_STAFF">#REF!</definedName>
    <definedName name="ESB_VAR" localSheetId="0">#REF!</definedName>
    <definedName name="ESB_VAR">#REF!</definedName>
    <definedName name="ESS_BORD" localSheetId="0">#REF!</definedName>
    <definedName name="ESS_BORD">#REF!</definedName>
    <definedName name="ESV_BORD" localSheetId="0">#REF!</definedName>
    <definedName name="ESV_BORD">#REF!</definedName>
    <definedName name="EXP5017STM" localSheetId="0">#REF!</definedName>
    <definedName name="EXP5017STM">#REF!</definedName>
    <definedName name="EXP5114STM" localSheetId="0">#REF!</definedName>
    <definedName name="EXP5114STM">#REF!</definedName>
    <definedName name="EXP5360HYD" localSheetId="0">#REF!</definedName>
    <definedName name="EXP5360HYD">#REF!</definedName>
    <definedName name="EXP5425HYD" localSheetId="0">#REF!</definedName>
    <definedName name="EXP5425HYD">#REF!</definedName>
    <definedName name="EXP5479OTH" localSheetId="0">#REF!</definedName>
    <definedName name="EXP5479OTH">#REF!</definedName>
    <definedName name="EXP5524OTH" localSheetId="0">#REF!</definedName>
    <definedName name="EXP5524OTH">#REF!</definedName>
    <definedName name="EXP5627TX" localSheetId="0">#REF!</definedName>
    <definedName name="EXP5627TX">#REF!</definedName>
    <definedName name="EXP5693TX" localSheetId="0">#REF!</definedName>
    <definedName name="EXP5693TX">#REF!</definedName>
    <definedName name="EXP5829DIS" localSheetId="0">#REF!</definedName>
    <definedName name="EXP5829DIS">#REF!</definedName>
    <definedName name="EXP5918DIS" localSheetId="0">#REF!</definedName>
    <definedName name="EXP5918DIS">#REF!</definedName>
    <definedName name="EXP9024CA" localSheetId="0">#REF!</definedName>
    <definedName name="EXP9024CA">#REF!</definedName>
    <definedName name="EXP9025CA" localSheetId="0">#REF!</definedName>
    <definedName name="EXP9025CA">#REF!</definedName>
    <definedName name="EXP9080CS" localSheetId="0">#REF!</definedName>
    <definedName name="EXP9080CS">#REF!</definedName>
    <definedName name="EXP9089CS" localSheetId="0">#REF!</definedName>
    <definedName name="EXP9089CS">#REF!</definedName>
    <definedName name="EXP9123SA" localSheetId="0">#REF!</definedName>
    <definedName name="EXP9123SA">#REF!</definedName>
    <definedName name="EXP9126SA" localSheetId="0">#REF!</definedName>
    <definedName name="EXP9126SA">#REF!</definedName>
    <definedName name="EXP9245TOT" localSheetId="0">#REF!</definedName>
    <definedName name="EXP9245TOT">#REF!</definedName>
    <definedName name="EXP930A" localSheetId="0">#REF!</definedName>
    <definedName name="EXP930A">#REF!</definedName>
    <definedName name="Expenditure_Types" localSheetId="0">#REF!</definedName>
    <definedName name="Expenditure_Types">#REF!</definedName>
    <definedName name="EXPLAIN" localSheetId="0">#REF!</definedName>
    <definedName name="EXPLAIN">#REF!</definedName>
    <definedName name="Fac_2000" localSheetId="0">'[2]LGE Base Fuel &amp; FAC'!#REF!</definedName>
    <definedName name="Fac_2000">'[2]LGE Base Fuel &amp; FAC'!#REF!</definedName>
    <definedName name="fac_annual_ku" localSheetId="0">'[2]LGE Base Fuel &amp; FAC'!#REF!</definedName>
    <definedName name="fac_annual_ku">'[2]LGE Base Fuel &amp; FAC'!#REF!</definedName>
    <definedName name="fac_hide_ku_01" localSheetId="0">'[2]LGE Base Fuel &amp; FAC'!#REF!</definedName>
    <definedName name="fac_hide_ku_01">'[2]LGE Base Fuel &amp; FAC'!#REF!</definedName>
    <definedName name="fac_hide_lge_01" localSheetId="0">'[2]LGE Base Fuel &amp; FAC'!#REF!</definedName>
    <definedName name="fac_hide_lge_01">'[2]LGE Base Fuel &amp; FAC'!#REF!</definedName>
    <definedName name="fac_ku_01" localSheetId="0">'[2]LGE Base Fuel &amp; FAC'!#REF!</definedName>
    <definedName name="fac_ku_01">'[2]LGE Base Fuel &amp; FAC'!#REF!</definedName>
    <definedName name="faf" localSheetId="0" hidden="1">#REF!</definedName>
    <definedName name="faf" hidden="1">#REF!</definedName>
    <definedName name="feba" localSheetId="0">#REF!</definedName>
    <definedName name="feba">#REF!</definedName>
    <definedName name="February" localSheetId="0">#REF!</definedName>
    <definedName name="February">#REF!</definedName>
    <definedName name="FEIN">'[5]Info Page'!$E$36</definedName>
    <definedName name="FINAL" localSheetId="0">#REF!</definedName>
    <definedName name="FINAL">#REF!</definedName>
    <definedName name="fl" hidden="1">[12]PopCache!$A$1:$A$2</definedName>
    <definedName name="flash" localSheetId="0">#REF!</definedName>
    <definedName name="flash">#REF!</definedName>
    <definedName name="FOOT" localSheetId="0">#REF!</definedName>
    <definedName name="FOOT">#REF!</definedName>
    <definedName name="FOOTER" localSheetId="0">#REF!</definedName>
    <definedName name="FOOTER">#REF!</definedName>
    <definedName name="FORECAST">"'IFPSReport'!R5C3:R5C14"</definedName>
    <definedName name="FRED" localSheetId="0">#REF!</definedName>
    <definedName name="FRED">#REF!</definedName>
    <definedName name="FUELCLAU" localSheetId="0">#REF!</definedName>
    <definedName name="FUELCLAU">#REF!</definedName>
    <definedName name="FULLYR" localSheetId="0">#REF!</definedName>
    <definedName name="FULLYR">#REF!</definedName>
    <definedName name="GAS" localSheetId="0">#REF!</definedName>
    <definedName name="GAS">#REF!</definedName>
    <definedName name="Gas_Annual_NetRev" localSheetId="0">#REF!</definedName>
    <definedName name="Gas_Annual_NetRev">#REF!</definedName>
    <definedName name="Gas_Annual_Revenue" localSheetId="0">#REF!</definedName>
    <definedName name="Gas_Annual_Revenue">#REF!</definedName>
    <definedName name="gas_data" localSheetId="0">#REF!</definedName>
    <definedName name="gas_data">#REF!</definedName>
    <definedName name="Gas_Monthly_NetRevenue" localSheetId="0">#REF!</definedName>
    <definedName name="Gas_Monthly_NetRevenue">#REF!</definedName>
    <definedName name="Gas_Sales_Revenues" localSheetId="0">#REF!</definedName>
    <definedName name="Gas_Sales_Revenues">#REF!</definedName>
    <definedName name="GenEx_Annual_KU" localSheetId="0">'[2]LGE Cost of Sales'!#REF!</definedName>
    <definedName name="GenEx_Annual_KU">'[2]LGE Cost of Sales'!#REF!</definedName>
    <definedName name="genex_hide_ku_01" localSheetId="0">'[2]LGE Cost of Sales'!#REF!</definedName>
    <definedName name="genex_hide_ku_01">'[2]LGE Cost of Sales'!#REF!</definedName>
    <definedName name="genex_hide_lge_01" localSheetId="0">'[2]LGE Cost of Sales'!#REF!</definedName>
    <definedName name="genex_hide_lge_01">'[2]LGE Cost of Sales'!#REF!</definedName>
    <definedName name="genex_ku_01" localSheetId="0">'[2]LGE Cost of Sales'!#REF!</definedName>
    <definedName name="genex_ku_01">'[2]LGE Cost of Sales'!#REF!</definedName>
    <definedName name="GENPLT" localSheetId="0">#REF!</definedName>
    <definedName name="GENPLT">#REF!</definedName>
    <definedName name="Home_KU" localSheetId="0">#REF!</definedName>
    <definedName name="Home_KU">#REF!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HYDPLT" localSheetId="0">#REF!</definedName>
    <definedName name="HYDPLT">#REF!</definedName>
    <definedName name="HYDSYS" localSheetId="0">#REF!</definedName>
    <definedName name="HYDSYS">#REF!</definedName>
    <definedName name="INPUT1" localSheetId="0">#REF!</definedName>
    <definedName name="INPUT1">#REF!</definedName>
    <definedName name="INPUT2" localSheetId="0">#REF!</definedName>
    <definedName name="INPUT2">#REF!</definedName>
    <definedName name="INPUTCOL" localSheetId="0">#REF!</definedName>
    <definedName name="INPUTCOL">#REF!</definedName>
    <definedName name="INPUTROW" localSheetId="0">#REF!</definedName>
    <definedName name="INPUTROW">#REF!</definedName>
    <definedName name="Inputs">'[13]data import'!$B$6:$C$50</definedName>
    <definedName name="Instruct" localSheetId="0">#REF!</definedName>
    <definedName name="Instruct">#REF!</definedName>
    <definedName name="Intranet" localSheetId="0">#REF!</definedName>
    <definedName name="Intranet">#REF!</definedName>
    <definedName name="IntRate">[14]Inputs!$D$10:$H$10</definedName>
    <definedName name="INTTOTCO" localSheetId="0">#REF!</definedName>
    <definedName name="INTTOTCO">#REF!</definedName>
    <definedName name="jana" localSheetId="0">#REF!</definedName>
    <definedName name="jana">#REF!</definedName>
    <definedName name="January" localSheetId="0">#REF!</definedName>
    <definedName name="January">#REF!</definedName>
    <definedName name="JE" localSheetId="0">#REF!</definedName>
    <definedName name="JE">#REF!</definedName>
    <definedName name="JE_Name_1">'[15]J019-0119'!$J$14</definedName>
    <definedName name="JE_Name_2" localSheetId="0">'[16]Journal 1'!$J$14</definedName>
    <definedName name="JE_Name_2">'[17]Journal 1'!$J$14</definedName>
    <definedName name="JE_Name_3" localSheetId="0">#REF!</definedName>
    <definedName name="JE_Name_3">#REF!</definedName>
    <definedName name="JE_Name_4" localSheetId="0">#REF!</definedName>
    <definedName name="JE_Name_4">#REF!</definedName>
    <definedName name="JE_Name_5" localSheetId="0">#REF!</definedName>
    <definedName name="JE_Name_5">#REF!</definedName>
    <definedName name="JE_Name_6" localSheetId="0">#REF!</definedName>
    <definedName name="JE_Name_6">#REF!</definedName>
    <definedName name="JEDATA" localSheetId="0">#REF!</definedName>
    <definedName name="JEDATA">#REF!</definedName>
    <definedName name="jijul" localSheetId="0" hidden="1">#REF!</definedName>
    <definedName name="jijul" hidden="1">#REF!</definedName>
    <definedName name="jula" localSheetId="0">#REF!</definedName>
    <definedName name="jula">#REF!</definedName>
    <definedName name="juna" localSheetId="0">#REF!</definedName>
    <definedName name="juna">#REF!</definedName>
    <definedName name="KU_OMExplPrt" localSheetId="0">#REF!</definedName>
    <definedName name="KU_OMExplPrt">#REF!</definedName>
    <definedName name="KU_Recov" localSheetId="0">#REF!</definedName>
    <definedName name="KU_Recov">#REF!</definedName>
    <definedName name="KUCapExplPrt" localSheetId="0">#REF!</definedName>
    <definedName name="KUCapExplPrt">#REF!</definedName>
    <definedName name="KURETPLT" localSheetId="0">#REF!</definedName>
    <definedName name="KURETPLT">#REF!</definedName>
    <definedName name="KYDIST" localSheetId="0">#REF!</definedName>
    <definedName name="KYDIST">#REF!</definedName>
    <definedName name="KYTRPLT" localSheetId="0">#REF!</definedName>
    <definedName name="KYTRPLT">#REF!</definedName>
    <definedName name="KYTRPLTXF" localSheetId="0">#REF!</definedName>
    <definedName name="KYTRPLTXF">#REF!</definedName>
    <definedName name="LABCA" localSheetId="0">#REF!</definedName>
    <definedName name="LABCA">#REF!</definedName>
    <definedName name="LABCS" localSheetId="0">#REF!</definedName>
    <definedName name="LABCS">#REF!</definedName>
    <definedName name="LABDISMN" localSheetId="0">#REF!</definedName>
    <definedName name="LABDISMN">#REF!</definedName>
    <definedName name="LABDISOP" localSheetId="0">#REF!</definedName>
    <definedName name="LABDISOP">#REF!</definedName>
    <definedName name="LABHYDMN" localSheetId="0">#REF!</definedName>
    <definedName name="LABHYDMN">#REF!</definedName>
    <definedName name="LABHYDOP" localSheetId="0">#REF!</definedName>
    <definedName name="LABHYDOP">#REF!</definedName>
    <definedName name="LABOR" localSheetId="0">#REF!</definedName>
    <definedName name="LABOR">#REF!</definedName>
    <definedName name="LABORXF" localSheetId="0">#REF!</definedName>
    <definedName name="LABORXF">#REF!</definedName>
    <definedName name="LABOTHMN" localSheetId="0">#REF!</definedName>
    <definedName name="LABOTHMN">#REF!</definedName>
    <definedName name="LABOTHOP" localSheetId="0">#REF!</definedName>
    <definedName name="LABOTHOP">#REF!</definedName>
    <definedName name="LABPTDFER" localSheetId="0">#REF!</definedName>
    <definedName name="LABPTDFER">#REF!</definedName>
    <definedName name="LABPTDKY" localSheetId="0">#REF!</definedName>
    <definedName name="LABPTDKY">#REF!</definedName>
    <definedName name="LABPTDVAJ" localSheetId="0">#REF!</definedName>
    <definedName name="LABPTDVAJ">#REF!</definedName>
    <definedName name="LABPTDVNJ" localSheetId="0">#REF!</definedName>
    <definedName name="LABPTDVNJ">#REF!</definedName>
    <definedName name="LABSA" localSheetId="0">#REF!</definedName>
    <definedName name="LABSA">#REF!</definedName>
    <definedName name="LABSTMMN" localSheetId="0">#REF!</definedName>
    <definedName name="LABSTMMN">#REF!</definedName>
    <definedName name="LABSTMOP" localSheetId="0">#REF!</definedName>
    <definedName name="LABSTMOP">#REF!</definedName>
    <definedName name="LABTRMN" localSheetId="0">#REF!</definedName>
    <definedName name="LABTRMN">#REF!</definedName>
    <definedName name="LABTROP" localSheetId="0">#REF!</definedName>
    <definedName name="LABTROP">#REF!</definedName>
    <definedName name="LEASED" localSheetId="0">#REF!</definedName>
    <definedName name="LEASED">#REF!</definedName>
    <definedName name="LFMAR" localSheetId="0">#REF!</definedName>
    <definedName name="LFMAR">#REF!</definedName>
    <definedName name="LGE_OMCMExplPrt" localSheetId="0">#REF!</definedName>
    <definedName name="LGE_OMCMExplPrt">#REF!</definedName>
    <definedName name="LGE_OMYTDExplPrt" localSheetId="0">#REF!</definedName>
    <definedName name="LGE_OMYTDExplPrt">#REF!</definedName>
    <definedName name="LGE_Recov" localSheetId="0">#REF!</definedName>
    <definedName name="LGE_Recov">#REF!</definedName>
    <definedName name="LGECapExplPrt" localSheetId="0">#REF!</definedName>
    <definedName name="LGECapExplPrt">#REF!</definedName>
    <definedName name="LOBFLASH" localSheetId="0">#REF!</definedName>
    <definedName name="LOBFLASH">#REF!</definedName>
    <definedName name="LOCINPUT" localSheetId="0">#REF!</definedName>
    <definedName name="LOCINPUT">#REF!</definedName>
    <definedName name="Losses_by_State" localSheetId="0">#REF!</definedName>
    <definedName name="Losses_by_State">#REF!</definedName>
    <definedName name="lpforecast" localSheetId="0">'[18]99 Budget'!#REF!</definedName>
    <definedName name="lpforecast">'[18]99 Budget'!#REF!</definedName>
    <definedName name="lpshares" localSheetId="0">'[18]99 Budget'!#REF!</definedName>
    <definedName name="lpshares">'[18]99 Budget'!#REF!</definedName>
    <definedName name="LY" localSheetId="0">#REF!</definedName>
    <definedName name="LY">#REF!</definedName>
    <definedName name="M_S" localSheetId="0">#REF!</definedName>
    <definedName name="M_S">#REF!</definedName>
    <definedName name="MAIN" localSheetId="0">#REF!</definedName>
    <definedName name="MAIN">#REF!</definedName>
    <definedName name="mara" localSheetId="0">#REF!</definedName>
    <definedName name="mara">#REF!</definedName>
    <definedName name="maya" localSheetId="0">#REF!</definedName>
    <definedName name="maya">#REF!</definedName>
    <definedName name="MESG1" localSheetId="0">#REF!</definedName>
    <definedName name="MESG1">#REF!</definedName>
    <definedName name="MESG2" localSheetId="0">#REF!</definedName>
    <definedName name="MESG2">#REF!</definedName>
    <definedName name="MILL423" localSheetId="0">#REF!</definedName>
    <definedName name="MILL423">#REF!</definedName>
    <definedName name="MISC" localSheetId="0">#REF!</definedName>
    <definedName name="MISC">#REF!</definedName>
    <definedName name="mmbtu1" localSheetId="0">#REF!</definedName>
    <definedName name="mmbtu1">#REF!</definedName>
    <definedName name="mmbtu2" localSheetId="0">#REF!</definedName>
    <definedName name="mmbtu2">#REF!</definedName>
    <definedName name="MONTH" localSheetId="0">#REF!</definedName>
    <definedName name="MONTH">#REF!</definedName>
    <definedName name="MONTH_NAME" localSheetId="0">#REF!</definedName>
    <definedName name="MONTH_NAME">#REF!</definedName>
    <definedName name="MONTHCOUNT" localSheetId="0">#REF!</definedName>
    <definedName name="MONTHCOUNT">#REF!</definedName>
    <definedName name="Net_Revenues" localSheetId="0">#REF!</definedName>
    <definedName name="Net_Revenues">#REF!</definedName>
    <definedName name="Net_Unbilled_KWh" localSheetId="0">#REF!</definedName>
    <definedName name="Net_Unbilled_KWh">#REF!</definedName>
    <definedName name="Net_Unbilled_Revenue_Dollars" localSheetId="0">#REF!</definedName>
    <definedName name="Net_Unbilled_Revenue_Dollars">#REF!</definedName>
    <definedName name="NETPLANT" localSheetId="0">#REF!</definedName>
    <definedName name="NETPLANT">#REF!</definedName>
    <definedName name="netrev_hide_ku_01" localSheetId="0">'[2]LGE Gross Margin-Inc.Stmt'!#REF!</definedName>
    <definedName name="netrev_hide_ku_01">'[2]LGE Gross Margin-Inc.Stmt'!#REF!</definedName>
    <definedName name="netrev_hide_lge_01" localSheetId="0">'[2]LGE Gross Margin-Inc.Stmt'!#REF!</definedName>
    <definedName name="netrev_hide_lge_01">'[2]LGE Gross Margin-Inc.Stmt'!#REF!</definedName>
    <definedName name="netrev_ku_01" localSheetId="0">'[2]LGE Gross Margin-Inc.Stmt'!#REF!</definedName>
    <definedName name="netrev_ku_01">'[2]LGE Gross Margin-Inc.Stmt'!#REF!</definedName>
    <definedName name="NetRevenue_Annual_KU" localSheetId="0">'[2]LGE Gross Margin-Inc.Stmt'!#REF!</definedName>
    <definedName name="NetRevenue_Annual_KU">'[2]LGE Gross Margin-Inc.Stmt'!#REF!</definedName>
    <definedName name="nova" localSheetId="0">#REF!</definedName>
    <definedName name="nova">#REF!</definedName>
    <definedName name="NvsValTbl.BUSINESS_UNIT">"BUS_UNIT_TBL_GL"</definedName>
    <definedName name="NvsValTbl.PRODUCT">"PROD_ALL_VW"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cta" localSheetId="0">#REF!</definedName>
    <definedName name="octa">#REF!</definedName>
    <definedName name="OIL" localSheetId="0">#REF!</definedName>
    <definedName name="OIL">#REF!</definedName>
    <definedName name="OM_CM" localSheetId="0">#REF!</definedName>
    <definedName name="OM_CM">#REF!</definedName>
    <definedName name="OM_CMPrt" localSheetId="0">#REF!</definedName>
    <definedName name="OM_CMPrt">#REF!</definedName>
    <definedName name="OM_NL_CM" localSheetId="0">#REF!</definedName>
    <definedName name="OM_NL_CM">#REF!</definedName>
    <definedName name="OM_NL_YTD" localSheetId="0">#REF!</definedName>
    <definedName name="OM_NL_YTD">#REF!</definedName>
    <definedName name="OM_YTD" localSheetId="0">#REF!</definedName>
    <definedName name="OM_YTD">#REF!</definedName>
    <definedName name="OM_YTDPrt" localSheetId="0">#REF!</definedName>
    <definedName name="OM_YTDPrt">#REF!</definedName>
    <definedName name="On_or_Off" localSheetId="0">[19]database!#REF!</definedName>
    <definedName name="On_or_Off">[19]database!#REF!</definedName>
    <definedName name="Operating_Revenue_Dollars" localSheetId="0">#REF!</definedName>
    <definedName name="Operating_Revenue_Dollars">#REF!</definedName>
    <definedName name="Operating_Sales__KWh" localSheetId="0">#REF!</definedName>
    <definedName name="Operating_Sales__KWh">#REF!</definedName>
    <definedName name="OTHPLT" localSheetId="0">#REF!</definedName>
    <definedName name="OTHPLT">#REF!</definedName>
    <definedName name="OTHSYS" localSheetId="0">#REF!</definedName>
    <definedName name="OTHSYS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ERCENT" localSheetId="0">[3]Ins!#REF!</definedName>
    <definedName name="PERCENT">[3]Ins!#REF!</definedName>
    <definedName name="perfor2223" localSheetId="0">#REF!</definedName>
    <definedName name="perfor2223">#REF!</definedName>
    <definedName name="PERIOD" localSheetId="0">#REF!</definedName>
    <definedName name="PERIOD">#REF!</definedName>
    <definedName name="PETCOKE" localSheetId="0">#REF!</definedName>
    <definedName name="PETCOKE">#REF!</definedName>
    <definedName name="PLANT" localSheetId="0">#REF!</definedName>
    <definedName name="PLANT">#REF!</definedName>
    <definedName name="PLANTKF" localSheetId="0">#REF!</definedName>
    <definedName name="PLANTKF">#REF!</definedName>
    <definedName name="PLANTKY" localSheetId="0">#REF!</definedName>
    <definedName name="PLANTKY">#REF!</definedName>
    <definedName name="PLANTVA" localSheetId="0">#REF!</definedName>
    <definedName name="PLANTVA">#REF!</definedName>
    <definedName name="PLT302TOT" localSheetId="0">#REF!</definedName>
    <definedName name="PLT302TOT">#REF!</definedName>
    <definedName name="PLT303TOT" localSheetId="0">#REF!</definedName>
    <definedName name="PLT303TOT">#REF!</definedName>
    <definedName name="PLT3602TOT" localSheetId="0">#REF!</definedName>
    <definedName name="PLT3602TOT">#REF!</definedName>
    <definedName name="PLT3645TOT" localSheetId="0">#REF!</definedName>
    <definedName name="PLT3645TOT">#REF!</definedName>
    <definedName name="PLT3667TOT" localSheetId="0">#REF!</definedName>
    <definedName name="PLT3667TOT">#REF!</definedName>
    <definedName name="PLT368TOT" localSheetId="0">#REF!</definedName>
    <definedName name="PLT368TOT">#REF!</definedName>
    <definedName name="PLT370TOT" localSheetId="0">#REF!</definedName>
    <definedName name="PLT370TOT">#REF!</definedName>
    <definedName name="PLT371TOT" localSheetId="0">#REF!</definedName>
    <definedName name="PLT371TOT">#REF!</definedName>
    <definedName name="PLT373TOT" localSheetId="0">#REF!</definedName>
    <definedName name="PLT373TOT">#REF!</definedName>
    <definedName name="PopCache_GL_INTERFACE_REFERENCE7" localSheetId="0" hidden="1">[20]PopCache!$A$1:$A$2</definedName>
    <definedName name="PopCache_GL_INTERFACE_REFERENCE7" hidden="1">[21]PopCache!$A$1:$A$2</definedName>
    <definedName name="PRELIM" localSheetId="0">#REF!</definedName>
    <definedName name="PRELIM">#REF!</definedName>
    <definedName name="PRICE" localSheetId="0">#REF!</definedName>
    <definedName name="PRICE">#REF!</definedName>
    <definedName name="PRICETC" localSheetId="0">#REF!</definedName>
    <definedName name="PRICETC">#REF!</definedName>
    <definedName name="_xlnm.Print_Area" localSheetId="4">'NITS Pg 1 of 5'!$A$1:$K$41</definedName>
    <definedName name="_xlnm.Print_Area" localSheetId="5">'NITS Pg 2 of 5'!$A$1:$J$57</definedName>
    <definedName name="_xlnm.Print_Area" localSheetId="6">'NITS Pg 3 of 5'!$A$1:$J$56</definedName>
    <definedName name="_xlnm.Print_Area" localSheetId="7">'NITS Pg 4 of 5'!$A$1:$K$68</definedName>
    <definedName name="_xlnm.Print_Area" localSheetId="12">'Pg 5 of 5 Notes for both'!$A$1:$L$66</definedName>
    <definedName name="_xlnm.Print_Area" localSheetId="8">'PTP Pg 1 of 5'!$A$1:$K$42</definedName>
    <definedName name="_xlnm.Print_Area" localSheetId="9">'PTP Pg 2 of 5'!$A$1:$J$57</definedName>
    <definedName name="_xlnm.Print_Area" localSheetId="10">'PTP Pg 3 of 5'!$A$1:$J$56</definedName>
    <definedName name="_xlnm.Print_Area" localSheetId="11">'PTP Pg 4 of 5'!$A$1:$K$68</definedName>
    <definedName name="_xlnm.Print_Area" localSheetId="14">'Sch 1'!$A$3:$D$33</definedName>
    <definedName name="_xlnm.Print_Area" localSheetId="2">'VA Transmission'!$A$1:$J$63</definedName>
    <definedName name="Print_Area_MI" localSheetId="0">#REF!</definedName>
    <definedName name="Print_Area_MI">#REF!</definedName>
    <definedName name="_xlnm.Print_Titles" localSheetId="4">'NITS Pg 1 of 5'!$1:$7</definedName>
    <definedName name="_xlnm.Print_Titles" localSheetId="5">'NITS Pg 2 of 5'!#REF!</definedName>
    <definedName name="_xlnm.Print_Titles" localSheetId="7">'NITS Pg 4 of 5'!#REF!</definedName>
    <definedName name="_xlnm.Print_Titles" localSheetId="12">'Pg 5 of 5 Notes for both'!#REF!</definedName>
    <definedName name="_xlnm.Print_Titles" localSheetId="8">'PTP Pg 1 of 5'!$1:$7</definedName>
    <definedName name="_xlnm.Print_Titles" localSheetId="9">'PTP Pg 2 of 5'!#REF!</definedName>
    <definedName name="_xlnm.Print_Titles" localSheetId="11">'PTP Pg 4 of 5'!#REF!</definedName>
    <definedName name="PRINT1" localSheetId="0">#REF!</definedName>
    <definedName name="PRINT1">#REF!</definedName>
    <definedName name="Printing" localSheetId="0">[22]!Printing</definedName>
    <definedName name="Printing">[22]!Printing</definedName>
    <definedName name="PRODPLT" localSheetId="0">#REF!</definedName>
    <definedName name="PRODPLT">#REF!</definedName>
    <definedName name="PRODSYS" localSheetId="0">#REF!</definedName>
    <definedName name="PRODSYS">#REF!</definedName>
    <definedName name="PTDCUSTLABOR" localSheetId="0">#REF!</definedName>
    <definedName name="PTDCUSTLABOR">#REF!</definedName>
    <definedName name="PTDGPLT" localSheetId="0">#REF!</definedName>
    <definedName name="PTDGPLT">#REF!</definedName>
    <definedName name="PUBLIC" localSheetId="0">[3]Ins!#REF!</definedName>
    <definedName name="PUBLIC">[3]Ins!#REF!</definedName>
    <definedName name="RangeRptgMo">[23]Main!$K$11</definedName>
    <definedName name="RangeRptgYr">[24]Main!$G$5</definedName>
    <definedName name="rate" localSheetId="0">#REF!</definedName>
    <definedName name="rate">#REF!</definedName>
    <definedName name="RATEBASE" localSheetId="0">#REF!</definedName>
    <definedName name="RATEBASE">#REF!</definedName>
    <definedName name="Reconciliation" localSheetId="0">[7]Main!#REF!</definedName>
    <definedName name="Reconciliation">[7]Main!#REF!</definedName>
    <definedName name="Recover">[25]Macro1!$A$180</definedName>
    <definedName name="REPDATA" localSheetId="0">#REF!</definedName>
    <definedName name="REPDATA">#REF!</definedName>
    <definedName name="REPORT" localSheetId="0">[3]Ins!#REF!</definedName>
    <definedName name="REPORT">[3]Ins!#REF!</definedName>
    <definedName name="Reports" localSheetId="0">#REF!</definedName>
    <definedName name="Reports">#REF!</definedName>
    <definedName name="ReportTitle1" localSheetId="0">#REF!</definedName>
    <definedName name="ReportTitle1">#REF!</definedName>
    <definedName name="require_hide_ku_01" localSheetId="0">'[2]LGE Require &amp; Source'!#REF!</definedName>
    <definedName name="require_hide_ku_01">'[2]LGE Require &amp; Source'!#REF!</definedName>
    <definedName name="require_hide_lge_01" localSheetId="0">'[2]LGE Require &amp; Source'!#REF!</definedName>
    <definedName name="require_hide_lge_01">'[2]LGE Require &amp; Source'!#REF!</definedName>
    <definedName name="require_ku_01" localSheetId="0">'[2]LGE Require &amp; Source'!#REF!</definedName>
    <definedName name="require_ku_01">'[2]LGE Require &amp; Source'!#REF!</definedName>
    <definedName name="Requirements_Annual_KU" localSheetId="0">'[2]LGE Require &amp; Source'!#REF!</definedName>
    <definedName name="Requirements_Annual_KU">'[2]LGE Require &amp; Source'!#REF!</definedName>
    <definedName name="Requirements_Data" localSheetId="0">'[2]LGE Require &amp; Source'!#REF!</definedName>
    <definedName name="Requirements_Data">'[2]LGE Require &amp; Source'!#REF!</definedName>
    <definedName name="Requirements_KU" localSheetId="0">'[2]LGE Require &amp; Source'!#REF!</definedName>
    <definedName name="Requirements_KU">'[2]LGE Require &amp; Source'!#REF!</definedName>
    <definedName name="REVENUE" localSheetId="0">#REF!</definedName>
    <definedName name="REVENUE">#REF!</definedName>
    <definedName name="Revenues" localSheetId="0">#REF!</definedName>
    <definedName name="Revenues">#REF!</definedName>
    <definedName name="revenues_hide_ku_01" localSheetId="0">'[2]KU Other Electric Revenues'!#REF!</definedName>
    <definedName name="revenues_hide_ku_01">'[2]KU Other Electric Revenues'!#REF!</definedName>
    <definedName name="revenues_ku_01" localSheetId="0">'[2]KU Other Electric Revenues'!#REF!</definedName>
    <definedName name="revenues_ku_01">'[2]KU Other Electric Revenues'!#REF!</definedName>
    <definedName name="REVENUEX" localSheetId="0">#REF!</definedName>
    <definedName name="REVENUEX">#REF!</definedName>
    <definedName name="REVFERC" localSheetId="0">#REF!</definedName>
    <definedName name="REVFERC">#REF!</definedName>
    <definedName name="REVKU" localSheetId="0">#REF!</definedName>
    <definedName name="REVKU">#REF!</definedName>
    <definedName name="REVKY" localSheetId="0">#REF!</definedName>
    <definedName name="REVKY">#REF!</definedName>
    <definedName name="REVNJVA" localSheetId="0">#REF!</definedName>
    <definedName name="REVNJVA">#REF!</definedName>
    <definedName name="REVVA" localSheetId="0">#REF!</definedName>
    <definedName name="REVV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wDetails1" localSheetId="0">#REF!</definedName>
    <definedName name="RowDetails1">#REF!</definedName>
    <definedName name="RPTCOL" localSheetId="0">#REF!</definedName>
    <definedName name="RPTCOL">#REF!</definedName>
    <definedName name="RPTROW" localSheetId="0">#REF!</definedName>
    <definedName name="RPTROW">#REF!</definedName>
    <definedName name="Sales" localSheetId="0">'[2]LGE Sales'!#REF!</definedName>
    <definedName name="Sales">'[2]LGE Sales'!#REF!</definedName>
    <definedName name="Sales_Data" localSheetId="0">#REF!</definedName>
    <definedName name="Sales_Data">#REF!</definedName>
    <definedName name="sales_hide_ku_01" localSheetId="0">'[2]LGE Sales'!#REF!</definedName>
    <definedName name="sales_hide_ku_01">'[2]LGE Sales'!#REF!</definedName>
    <definedName name="sales_ku_01" localSheetId="0">'[2]LGE Sales'!#REF!</definedName>
    <definedName name="sales_ku_01">'[2]LGE Sales'!#REF!</definedName>
    <definedName name="sales_title_ku" localSheetId="0">'[2]LGE Sales'!#REF!</definedName>
    <definedName name="sales_title_ku">'[2]LGE Sales'!#REF!</definedName>
    <definedName name="SEMIYTM" localSheetId="0">#REF!</definedName>
    <definedName name="SEMIYTM">#REF!</definedName>
    <definedName name="sepa" localSheetId="0">#REF!</definedName>
    <definedName name="sepa">#REF!</definedName>
    <definedName name="September__1996" localSheetId="0">#REF!</definedName>
    <definedName name="September__1996">#REF!</definedName>
    <definedName name="SEREV" localSheetId="0">#REF!</definedName>
    <definedName name="SEREV">#REF!</definedName>
    <definedName name="SNYDER1" localSheetId="0">#REF!</definedName>
    <definedName name="SNYDER1">#REF!</definedName>
    <definedName name="SNYDER2" localSheetId="0">#REF!</definedName>
    <definedName name="SNYDER2">#REF!</definedName>
    <definedName name="START" localSheetId="0">#REF!</definedName>
    <definedName name="START">#REF!</definedName>
    <definedName name="Start_Date_Planned">'[10]Outages by Unit'!$B$1:$B$65536</definedName>
    <definedName name="START2" localSheetId="0">#REF!</definedName>
    <definedName name="START2">#REF!</definedName>
    <definedName name="START3" localSheetId="0">#REF!</definedName>
    <definedName name="START3">#REF!</definedName>
    <definedName name="STATE203E" localSheetId="0">#REF!</definedName>
    <definedName name="STATE203E">#REF!</definedName>
    <definedName name="STMPLT" localSheetId="0">#REF!</definedName>
    <definedName name="STMPLT">#REF!</definedName>
    <definedName name="STMSYS" localSheetId="0">#REF!</definedName>
    <definedName name="STMSYS">#REF!</definedName>
    <definedName name="SUPP1" localSheetId="0">#REF!</definedName>
    <definedName name="SUPP1">#REF!</definedName>
    <definedName name="SUPP17" localSheetId="0">#REF!</definedName>
    <definedName name="SUPP17">#REF!</definedName>
    <definedName name="SUPP18" localSheetId="0">#REF!</definedName>
    <definedName name="SUPP18">#REF!</definedName>
    <definedName name="SUPP2" localSheetId="0">#REF!</definedName>
    <definedName name="SUPP2">#REF!</definedName>
    <definedName name="SUPP3" localSheetId="0">#REF!</definedName>
    <definedName name="SUPP3">#REF!</definedName>
    <definedName name="SUPPORT" localSheetId="0">#REF!</definedName>
    <definedName name="SUPPORT">#REF!</definedName>
    <definedName name="support1" localSheetId="0">#REF!</definedName>
    <definedName name="support1">#REF!</definedName>
    <definedName name="SUPPORTQ" localSheetId="0">[11]SupportN!#REF!</definedName>
    <definedName name="SUPPORTQ">[11]SupportN!#REF!</definedName>
    <definedName name="TableName">"Dummy"</definedName>
    <definedName name="TAX203E" localSheetId="0">#REF!</definedName>
    <definedName name="TAX203E">#REF!</definedName>
    <definedName name="TaxRate">[14]Inputs!$D$8:$H$8</definedName>
    <definedName name="test">#N/A</definedName>
    <definedName name="Title" localSheetId="0">#REF!</definedName>
    <definedName name="Title">#REF!</definedName>
    <definedName name="Title_Choice" localSheetId="0">#REF!</definedName>
    <definedName name="Title_Choice">#REF!</definedName>
    <definedName name="Titles" localSheetId="0">#REF!</definedName>
    <definedName name="Titles">#REF!</definedName>
    <definedName name="Titles_KU" localSheetId="0">#REF!</definedName>
    <definedName name="Titles_KU">#REF!</definedName>
    <definedName name="TNDIST" localSheetId="0">#REF!</definedName>
    <definedName name="TNDIST">#REF!</definedName>
    <definedName name="TONS" localSheetId="0">#REF!</definedName>
    <definedName name="TONS">#REF!</definedName>
    <definedName name="TOTAL_EXEC_VP___CAO___Wood" localSheetId="0">#REF!</definedName>
    <definedName name="TOTAL_EXEC_VP___CAO___Wood">#REF!</definedName>
    <definedName name="TRANPLT" localSheetId="0">#REF!</definedName>
    <definedName name="TRANPLT">#REF!</definedName>
    <definedName name="TRANPLTX" localSheetId="0">#REF!</definedName>
    <definedName name="TRANPLTX">#REF!</definedName>
    <definedName name="TRANPLTXF" localSheetId="0">#REF!</definedName>
    <definedName name="TRANPLTXF">#REF!</definedName>
    <definedName name="TRANSFERS" localSheetId="0">#REF!</definedName>
    <definedName name="TRANSFERS">#REF!</definedName>
    <definedName name="TRDSPLT" localSheetId="0">#REF!</definedName>
    <definedName name="TRDSPLT">#REF!</definedName>
    <definedName name="Trend2" localSheetId="0" hidden="1">#REF!</definedName>
    <definedName name="Trend2" hidden="1">#REF!</definedName>
    <definedName name="TRIMB423" localSheetId="0">#REF!</definedName>
    <definedName name="TRIMB423">#REF!</definedName>
    <definedName name="TRPLTVA" localSheetId="0">#REF!</definedName>
    <definedName name="TRPLTVA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">'[26]PP Data Dump NEEDS UPDATING'!$A$63:$A$77</definedName>
    <definedName name="Updtmnth" localSheetId="0">#REF!</definedName>
    <definedName name="Updtmnth">#REF!</definedName>
    <definedName name="Updtmnth2" localSheetId="0">#REF!</definedName>
    <definedName name="Updtmnth2">#REF!</definedName>
    <definedName name="UPLOAD" localSheetId="0">#REF!</definedName>
    <definedName name="UPLOAD">#REF!</definedName>
    <definedName name="VADIST" localSheetId="0">#REF!</definedName>
    <definedName name="VADIST">#REF!</definedName>
    <definedName name="VALLEY" localSheetId="0">[3]Ins!#REF!</definedName>
    <definedName name="VALLEY">[3]Ins!#REF!</definedName>
    <definedName name="VATRPLT" localSheetId="0">#REF!</definedName>
    <definedName name="VATRPLT">#REF!</definedName>
    <definedName name="VATRPLTN" localSheetId="0">#REF!</definedName>
    <definedName name="VATRPLTN">#REF!</definedName>
    <definedName name="VATRPLTT" localSheetId="0">#REF!</definedName>
    <definedName name="VATRPLTT">#REF!</definedName>
    <definedName name="VIEW1" localSheetId="0">#REF!</definedName>
    <definedName name="VIEW1">#REF!</definedName>
    <definedName name="vital5">'[9]Customize Your Invoice'!$E$15</definedName>
    <definedName name="vol_rev_annual_ku" localSheetId="0">'[2]LGE Retail Margin'!#REF!</definedName>
    <definedName name="vol_rev_annual_ku">'[2]LGE Retail Margin'!#REF!</definedName>
    <definedName name="vol_rev_hide_ku_monthly" localSheetId="0">'[2]LGE Retail Margin'!#REF!</definedName>
    <definedName name="vol_rev_hide_ku_monthly">'[2]LGE Retail Margin'!#REF!</definedName>
    <definedName name="vol_rev_hide_lge_01" localSheetId="0">'[2]LGE Retail Margin'!#REF!</definedName>
    <definedName name="vol_rev_hide_lge_01">'[2]LGE Retail Margin'!#REF!</definedName>
    <definedName name="vol_rev_ku_monthly" localSheetId="0">'[2]LGE Retail Margin'!#REF!</definedName>
    <definedName name="vol_rev_ku_monthly">'[2]LGE Retail Margin'!#REF!</definedName>
    <definedName name="volrev_data" localSheetId="0">'[2]LGE Retail Margin'!#REF!</definedName>
    <definedName name="volrev_data">'[2]LGE Retail Margin'!#REF!</definedName>
    <definedName name="Volumes" localSheetId="0">#REF!</definedName>
    <definedName name="Volumes">#REF!</definedName>
    <definedName name="wholesale" localSheetId="0">#REF!</definedName>
    <definedName name="wholesale">#REF!</definedName>
    <definedName name="WORKERS" localSheetId="0">[3]Ins!#REF!</definedName>
    <definedName name="WORKERS">[3]Ins!#REF!</definedName>
    <definedName name="wrn.ECR." localSheetId="0" hidden="1">{#N/A,#N/A,FALSE,"schA"}</definedName>
    <definedName name="wrn.ECR." hidden="1">{#N/A,#N/A,FALSE,"schA"}</definedName>
    <definedName name="X" localSheetId="0">#REF!</definedName>
    <definedName name="X">#REF!</definedName>
    <definedName name="XALLDOMESTIC">'[27]Info Page'!$I$7</definedName>
    <definedName name="xxx" localSheetId="0">[28]SupportN!#REF!</definedName>
    <definedName name="xxx">[28]SupportN!#REF!</definedName>
    <definedName name="YTD" localSheetId="0">#REF!</definedName>
    <definedName name="YTD">#REF!</definedName>
    <definedName name="YTDYTG" localSheetId="0">#REF!</definedName>
    <definedName name="YTDYTG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D399" i="20" l="1"/>
  <c r="C399" i="20"/>
  <c r="C400" i="20" s="1"/>
  <c r="E399" i="20" l="1"/>
  <c r="H9" i="28" l="1"/>
  <c r="H30" i="28"/>
  <c r="E138" i="20" l="1"/>
  <c r="C120" i="20"/>
  <c r="I202" i="20" l="1"/>
  <c r="I30" i="28" l="1"/>
  <c r="B3" i="28" l="1"/>
  <c r="B5" i="28" l="1"/>
  <c r="H27" i="28"/>
  <c r="I27" i="28"/>
  <c r="F29" i="28"/>
  <c r="D146" i="20" l="1"/>
  <c r="C146" i="20"/>
  <c r="D141" i="20"/>
  <c r="C141" i="20"/>
  <c r="D136" i="20"/>
  <c r="C136" i="20"/>
  <c r="E136" i="20" l="1"/>
  <c r="D244" i="20"/>
  <c r="C244" i="20"/>
  <c r="D200" i="20"/>
  <c r="C200" i="20"/>
  <c r="E200" i="20" l="1"/>
  <c r="E16" i="4" l="1"/>
  <c r="E16" i="17"/>
  <c r="C235" i="20" l="1"/>
  <c r="E408" i="20" l="1"/>
  <c r="D220" i="20" l="1"/>
  <c r="L5" i="6" l="1"/>
  <c r="K4" i="18"/>
  <c r="J4" i="17"/>
  <c r="J4" i="16"/>
  <c r="J4" i="15"/>
  <c r="K4" i="5"/>
  <c r="J4" i="4"/>
  <c r="J4" i="3"/>
  <c r="J4" i="1"/>
  <c r="E12" i="20" l="1"/>
  <c r="D127" i="20" l="1"/>
  <c r="A4" i="21" l="1"/>
  <c r="B59" i="21" l="1"/>
  <c r="B58" i="21"/>
  <c r="B57" i="21"/>
  <c r="B56" i="21"/>
  <c r="B55" i="21"/>
  <c r="B54" i="21"/>
  <c r="B53" i="21"/>
  <c r="B52" i="21"/>
  <c r="B51" i="2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20" i="21"/>
  <c r="F19" i="21"/>
  <c r="F18" i="21"/>
  <c r="F17" i="21"/>
  <c r="F16" i="21"/>
  <c r="F15" i="21"/>
  <c r="F14" i="21"/>
  <c r="F13" i="21"/>
  <c r="F12" i="21"/>
  <c r="E316" i="20"/>
  <c r="E317" i="20"/>
  <c r="E318" i="20"/>
  <c r="E319" i="20"/>
  <c r="E320" i="20"/>
  <c r="E321" i="20"/>
  <c r="E322" i="20"/>
  <c r="E292" i="20"/>
  <c r="E291" i="20"/>
  <c r="E290" i="20"/>
  <c r="E280" i="20"/>
  <c r="E279" i="20"/>
  <c r="E267" i="20"/>
  <c r="E268" i="20"/>
  <c r="E269" i="20"/>
  <c r="E270" i="20"/>
  <c r="E271" i="20"/>
  <c r="E272" i="20"/>
  <c r="E273" i="20"/>
  <c r="E133" i="20"/>
  <c r="E111" i="20"/>
  <c r="E112" i="20"/>
  <c r="E113" i="20"/>
  <c r="E114" i="20"/>
  <c r="E85" i="20"/>
  <c r="E86" i="20"/>
  <c r="E87" i="20"/>
  <c r="E88" i="20"/>
  <c r="E89" i="20"/>
  <c r="E90" i="20"/>
  <c r="E91" i="20"/>
  <c r="E92" i="20"/>
  <c r="E93" i="20"/>
  <c r="E94" i="20"/>
  <c r="E95" i="20"/>
  <c r="E67" i="20"/>
  <c r="E68" i="20"/>
  <c r="E69" i="20"/>
  <c r="E70" i="20"/>
  <c r="E71" i="20"/>
  <c r="E72" i="20"/>
  <c r="E73" i="20"/>
  <c r="E74" i="20"/>
  <c r="E75" i="20"/>
  <c r="E76" i="20"/>
  <c r="E77" i="20"/>
  <c r="D79" i="20"/>
  <c r="C79" i="20"/>
  <c r="F49" i="20"/>
  <c r="F50" i="20"/>
  <c r="F51" i="20"/>
  <c r="F52" i="20"/>
  <c r="F53" i="20"/>
  <c r="F54" i="20"/>
  <c r="F55" i="20"/>
  <c r="F56" i="20"/>
  <c r="F57" i="20"/>
  <c r="F58" i="20"/>
  <c r="F59" i="20"/>
  <c r="E31" i="20"/>
  <c r="E32" i="20"/>
  <c r="E33" i="20"/>
  <c r="E34" i="20"/>
  <c r="E35" i="20"/>
  <c r="E36" i="20"/>
  <c r="E37" i="20"/>
  <c r="E38" i="20"/>
  <c r="E39" i="20"/>
  <c r="E40" i="20"/>
  <c r="E41" i="20"/>
  <c r="E13" i="20"/>
  <c r="E14" i="20"/>
  <c r="E15" i="20"/>
  <c r="E16" i="20"/>
  <c r="E17" i="20"/>
  <c r="E18" i="20"/>
  <c r="E19" i="20"/>
  <c r="E20" i="20"/>
  <c r="E21" i="20"/>
  <c r="E22" i="20"/>
  <c r="E23" i="20"/>
  <c r="E25" i="20" l="1"/>
  <c r="B60" i="21"/>
  <c r="F21" i="21"/>
  <c r="D1" i="22"/>
  <c r="C1" i="22"/>
  <c r="J61" i="18" l="1"/>
  <c r="J62" i="18" s="1"/>
  <c r="E48" i="18"/>
  <c r="E42" i="17"/>
  <c r="E47" i="17" s="1"/>
  <c r="E51" i="17" s="1"/>
  <c r="J29" i="15"/>
  <c r="D105" i="20" s="1"/>
  <c r="J29" i="1" l="1"/>
  <c r="E315" i="20" l="1"/>
  <c r="H54" i="18" l="1"/>
  <c r="H54" i="5"/>
  <c r="E313" i="20"/>
  <c r="E42" i="4"/>
  <c r="E47" i="4" s="1"/>
  <c r="E51" i="4" s="1"/>
  <c r="J28" i="15" l="1"/>
  <c r="D104" i="20" s="1"/>
  <c r="C43" i="20"/>
  <c r="E59" i="21" l="1"/>
  <c r="D59" i="21"/>
  <c r="C59" i="21"/>
  <c r="E58" i="21"/>
  <c r="D58" i="21"/>
  <c r="C58" i="21"/>
  <c r="E57" i="21"/>
  <c r="D57" i="21"/>
  <c r="C57" i="21"/>
  <c r="E56" i="21"/>
  <c r="D56" i="21"/>
  <c r="C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42" i="21"/>
  <c r="D42" i="21"/>
  <c r="C42" i="21"/>
  <c r="B42" i="21"/>
  <c r="E21" i="21"/>
  <c r="D21" i="21"/>
  <c r="C21" i="21"/>
  <c r="B21" i="21"/>
  <c r="G19" i="21"/>
  <c r="J19" i="21" s="1"/>
  <c r="G17" i="21"/>
  <c r="J17" i="21" s="1"/>
  <c r="G15" i="21"/>
  <c r="J15" i="21" s="1"/>
  <c r="F53" i="21"/>
  <c r="G53" i="21" s="1"/>
  <c r="G13" i="21"/>
  <c r="J13" i="21" s="1"/>
  <c r="D411" i="20"/>
  <c r="C411" i="20"/>
  <c r="E409" i="20"/>
  <c r="D23" i="23"/>
  <c r="G408" i="20" s="1"/>
  <c r="D400" i="20"/>
  <c r="E400" i="20" s="1"/>
  <c r="E350" i="20"/>
  <c r="D342" i="20"/>
  <c r="C342" i="20"/>
  <c r="D333" i="20"/>
  <c r="C333" i="20"/>
  <c r="D332" i="20"/>
  <c r="C332" i="20"/>
  <c r="D331" i="20"/>
  <c r="C331" i="20"/>
  <c r="D328" i="20"/>
  <c r="C328" i="20"/>
  <c r="D327" i="20"/>
  <c r="C327" i="20"/>
  <c r="D323" i="20"/>
  <c r="C323" i="20"/>
  <c r="E311" i="20"/>
  <c r="D307" i="20"/>
  <c r="C307" i="20"/>
  <c r="D285" i="20"/>
  <c r="C285" i="20"/>
  <c r="E278" i="20"/>
  <c r="D274" i="20"/>
  <c r="C274" i="20"/>
  <c r="D19" i="23"/>
  <c r="D18" i="23"/>
  <c r="D17" i="23"/>
  <c r="D16" i="23"/>
  <c r="D15" i="23"/>
  <c r="D14" i="23"/>
  <c r="D13" i="23"/>
  <c r="E266" i="20"/>
  <c r="D12" i="23" s="1"/>
  <c r="E259" i="20"/>
  <c r="B240" i="20"/>
  <c r="E238" i="20"/>
  <c r="E236" i="20"/>
  <c r="D235" i="20"/>
  <c r="E223" i="20"/>
  <c r="E222" i="20"/>
  <c r="E220" i="20"/>
  <c r="D218" i="20"/>
  <c r="C218" i="20"/>
  <c r="D217" i="20"/>
  <c r="C217" i="20"/>
  <c r="D216" i="20"/>
  <c r="C216" i="20"/>
  <c r="M164" i="20" s="1"/>
  <c r="E211" i="20"/>
  <c r="E210" i="20"/>
  <c r="E209" i="20"/>
  <c r="D203" i="20"/>
  <c r="D208" i="20" s="1"/>
  <c r="C203" i="20"/>
  <c r="C208" i="20" s="1"/>
  <c r="E202" i="20"/>
  <c r="E194" i="20"/>
  <c r="D193" i="20"/>
  <c r="C193" i="20"/>
  <c r="E182" i="20"/>
  <c r="D180" i="20"/>
  <c r="D175" i="20" s="1"/>
  <c r="D176" i="20" s="1"/>
  <c r="C180" i="20"/>
  <c r="C175" i="20" s="1"/>
  <c r="C176" i="20" s="1"/>
  <c r="E179" i="20"/>
  <c r="E169" i="20"/>
  <c r="E153" i="20"/>
  <c r="E152" i="20"/>
  <c r="E150" i="20"/>
  <c r="E149" i="20"/>
  <c r="E147" i="20"/>
  <c r="E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20" i="20"/>
  <c r="I115" i="20"/>
  <c r="D115" i="20" s="1"/>
  <c r="E110" i="20"/>
  <c r="D97" i="20"/>
  <c r="C97" i="20"/>
  <c r="E84" i="20"/>
  <c r="E66" i="20"/>
  <c r="E61" i="20"/>
  <c r="D61" i="20"/>
  <c r="C61" i="20"/>
  <c r="F48" i="20"/>
  <c r="D43" i="20"/>
  <c r="E30" i="20"/>
  <c r="D25" i="20"/>
  <c r="C25" i="20"/>
  <c r="E8" i="20"/>
  <c r="E7" i="20"/>
  <c r="E411" i="20" l="1"/>
  <c r="D24" i="23"/>
  <c r="D26" i="23" s="1"/>
  <c r="E125" i="20"/>
  <c r="E123" i="20"/>
  <c r="E121" i="20"/>
  <c r="E98" i="20"/>
  <c r="E122" i="20"/>
  <c r="M163" i="20"/>
  <c r="E124" i="20"/>
  <c r="E126" i="20"/>
  <c r="E274" i="20"/>
  <c r="D60" i="21"/>
  <c r="C60" i="21"/>
  <c r="E293" i="20"/>
  <c r="F57" i="21"/>
  <c r="G57" i="21" s="1"/>
  <c r="E154" i="20"/>
  <c r="E46" i="3" s="1"/>
  <c r="E17" i="17"/>
  <c r="E17" i="4"/>
  <c r="E20" i="17"/>
  <c r="E20" i="4"/>
  <c r="E33" i="17"/>
  <c r="E33" i="4"/>
  <c r="E29" i="18"/>
  <c r="E29" i="5"/>
  <c r="J66" i="18"/>
  <c r="E353" i="20" s="1"/>
  <c r="J66" i="5"/>
  <c r="E352" i="20" s="1"/>
  <c r="E27" i="17"/>
  <c r="E27" i="4"/>
  <c r="D21" i="23"/>
  <c r="E39" i="18"/>
  <c r="E39" i="5"/>
  <c r="E21" i="17"/>
  <c r="J21" i="17" s="1"/>
  <c r="E21" i="4"/>
  <c r="J21" i="4" s="1"/>
  <c r="E42" i="16"/>
  <c r="E42" i="3"/>
  <c r="E15" i="17"/>
  <c r="J15" i="17" s="1"/>
  <c r="E15" i="4"/>
  <c r="J15" i="4" s="1"/>
  <c r="E35" i="4"/>
  <c r="E35" i="17"/>
  <c r="E30" i="18"/>
  <c r="E30" i="5"/>
  <c r="E37" i="5"/>
  <c r="E37" i="18"/>
  <c r="E26" i="16"/>
  <c r="E26" i="3"/>
  <c r="E49" i="16"/>
  <c r="E49" i="3"/>
  <c r="E54" i="16"/>
  <c r="E184" i="20" s="1"/>
  <c r="E54" i="3"/>
  <c r="E183" i="20" s="1"/>
  <c r="E19" i="17"/>
  <c r="E19" i="4"/>
  <c r="C256" i="20"/>
  <c r="E31" i="18"/>
  <c r="H31" i="18" s="1"/>
  <c r="E31" i="5"/>
  <c r="H31" i="5" s="1"/>
  <c r="E38" i="5"/>
  <c r="E38" i="18"/>
  <c r="E17" i="16"/>
  <c r="E17" i="3"/>
  <c r="E15" i="16"/>
  <c r="E15" i="3"/>
  <c r="E38" i="16"/>
  <c r="E38" i="3"/>
  <c r="E16" i="16"/>
  <c r="E16" i="3"/>
  <c r="E39" i="16"/>
  <c r="E39" i="3"/>
  <c r="E14" i="16"/>
  <c r="E14" i="3"/>
  <c r="E323" i="20"/>
  <c r="D256" i="20"/>
  <c r="E151" i="20"/>
  <c r="E146" i="20"/>
  <c r="E115" i="20"/>
  <c r="E116" i="20" s="1"/>
  <c r="E193" i="20"/>
  <c r="F51" i="21"/>
  <c r="G51" i="21" s="1"/>
  <c r="F55" i="21"/>
  <c r="G55" i="21" s="1"/>
  <c r="F59" i="21"/>
  <c r="G59" i="21" s="1"/>
  <c r="F61" i="20"/>
  <c r="E176" i="20"/>
  <c r="E60" i="21"/>
  <c r="G16" i="21"/>
  <c r="J16" i="21" s="1"/>
  <c r="G14" i="21"/>
  <c r="J14" i="21" s="1"/>
  <c r="G12" i="21"/>
  <c r="J12" i="21" s="1"/>
  <c r="G20" i="21"/>
  <c r="J20" i="21" s="1"/>
  <c r="G18" i="21"/>
  <c r="J18" i="21" s="1"/>
  <c r="N163" i="20"/>
  <c r="E43" i="20"/>
  <c r="E216" i="20"/>
  <c r="E141" i="20"/>
  <c r="E79" i="20"/>
  <c r="E244" i="20"/>
  <c r="E307" i="20"/>
  <c r="E342" i="20"/>
  <c r="E285" i="20"/>
  <c r="E286" i="20" s="1"/>
  <c r="E120" i="20"/>
  <c r="D219" i="20"/>
  <c r="C219" i="20"/>
  <c r="E208" i="20"/>
  <c r="G42" i="21"/>
  <c r="J42" i="21" s="1"/>
  <c r="N164" i="20"/>
  <c r="O164" i="20" s="1"/>
  <c r="F42" i="21"/>
  <c r="F52" i="21"/>
  <c r="G52" i="21" s="1"/>
  <c r="F54" i="21"/>
  <c r="G54" i="21" s="1"/>
  <c r="F56" i="21"/>
  <c r="G56" i="21" s="1"/>
  <c r="F58" i="21"/>
  <c r="G58" i="21" s="1"/>
  <c r="E235" i="20"/>
  <c r="C330" i="20"/>
  <c r="C334" i="20" s="1"/>
  <c r="D330" i="20"/>
  <c r="D334" i="20" s="1"/>
  <c r="E212" i="20" l="1"/>
  <c r="G411" i="20"/>
  <c r="E245" i="20"/>
  <c r="G409" i="20"/>
  <c r="O163" i="20"/>
  <c r="I165" i="20" s="1"/>
  <c r="E164" i="20" s="1"/>
  <c r="G60" i="21"/>
  <c r="E128" i="20"/>
  <c r="D28" i="23"/>
  <c r="J20" i="18"/>
  <c r="E276" i="20" s="1"/>
  <c r="E46" i="16"/>
  <c r="E40" i="5"/>
  <c r="E294" i="20" s="1"/>
  <c r="E32" i="4"/>
  <c r="E32" i="17"/>
  <c r="E32" i="18"/>
  <c r="H32" i="18" s="1"/>
  <c r="E32" i="5"/>
  <c r="H32" i="5" s="1"/>
  <c r="E18" i="17"/>
  <c r="E18" i="4"/>
  <c r="E53" i="18"/>
  <c r="E344" i="20" s="1"/>
  <c r="E53" i="5"/>
  <c r="E343" i="20" s="1"/>
  <c r="J67" i="18"/>
  <c r="J67" i="5"/>
  <c r="E401" i="20" s="1"/>
  <c r="E44" i="18"/>
  <c r="E309" i="20" s="1"/>
  <c r="E44" i="5"/>
  <c r="E308" i="20" s="1"/>
  <c r="E40" i="16"/>
  <c r="E40" i="3"/>
  <c r="E53" i="16"/>
  <c r="E53" i="3"/>
  <c r="E14" i="17"/>
  <c r="E14" i="4"/>
  <c r="J20" i="5"/>
  <c r="E275" i="20" s="1"/>
  <c r="J27" i="15"/>
  <c r="E100" i="20" s="1"/>
  <c r="J27" i="1"/>
  <c r="E99" i="20" s="1"/>
  <c r="E18" i="16"/>
  <c r="E34" i="16" s="1"/>
  <c r="E18" i="3"/>
  <c r="E34" i="3" s="1"/>
  <c r="E47" i="5"/>
  <c r="E324" i="20" s="1"/>
  <c r="E47" i="18"/>
  <c r="E325" i="20" s="1"/>
  <c r="H29" i="5"/>
  <c r="E36" i="4"/>
  <c r="E36" i="17"/>
  <c r="E41" i="16"/>
  <c r="E41" i="3"/>
  <c r="E40" i="18"/>
  <c r="H29" i="18"/>
  <c r="E25" i="4"/>
  <c r="E25" i="17"/>
  <c r="J23" i="15"/>
  <c r="E27" i="20" s="1"/>
  <c r="J23" i="1"/>
  <c r="E26" i="20" s="1"/>
  <c r="E25" i="16"/>
  <c r="E33" i="16" s="1"/>
  <c r="E25" i="3"/>
  <c r="E33" i="3" s="1"/>
  <c r="J24" i="15"/>
  <c r="E45" i="20" s="1"/>
  <c r="J24" i="1"/>
  <c r="E44" i="20" s="1"/>
  <c r="E45" i="16"/>
  <c r="E45" i="3"/>
  <c r="E22" i="16"/>
  <c r="E30" i="16" s="1"/>
  <c r="E22" i="3"/>
  <c r="E23" i="16"/>
  <c r="E31" i="16" s="1"/>
  <c r="E23" i="3"/>
  <c r="E31" i="3" s="1"/>
  <c r="J26" i="15"/>
  <c r="E81" i="20" s="1"/>
  <c r="J26" i="1"/>
  <c r="E80" i="20" s="1"/>
  <c r="J25" i="15"/>
  <c r="F63" i="20" s="1"/>
  <c r="J25" i="1"/>
  <c r="F62" i="20" s="1"/>
  <c r="E24" i="16"/>
  <c r="E32" i="16" s="1"/>
  <c r="E24" i="3"/>
  <c r="E32" i="3" s="1"/>
  <c r="E219" i="20"/>
  <c r="E225" i="20" s="1"/>
  <c r="G21" i="21"/>
  <c r="J21" i="21" s="1"/>
  <c r="F60" i="21"/>
  <c r="E334" i="20"/>
  <c r="E33" i="5" l="1"/>
  <c r="E287" i="20" s="1"/>
  <c r="J12" i="5"/>
  <c r="G61" i="21" s="1"/>
  <c r="J12" i="18"/>
  <c r="G62" i="21" s="1"/>
  <c r="J68" i="18"/>
  <c r="E402" i="20"/>
  <c r="J68" i="5"/>
  <c r="F401" i="20" s="1"/>
  <c r="F41" i="18"/>
  <c r="E295" i="20"/>
  <c r="E178" i="20"/>
  <c r="E177" i="20"/>
  <c r="E19" i="16"/>
  <c r="E118" i="20" s="1"/>
  <c r="E33" i="18"/>
  <c r="E288" i="20" s="1"/>
  <c r="E22" i="4"/>
  <c r="E52" i="16" s="1"/>
  <c r="E55" i="16" s="1"/>
  <c r="H53" i="18"/>
  <c r="E22" i="17"/>
  <c r="E214" i="20" s="1"/>
  <c r="J19" i="18"/>
  <c r="J21" i="18" s="1"/>
  <c r="J23" i="18" s="1"/>
  <c r="E38" i="17"/>
  <c r="E247" i="20" s="1"/>
  <c r="E49" i="5"/>
  <c r="E335" i="20" s="1"/>
  <c r="E49" i="18"/>
  <c r="E19" i="3"/>
  <c r="E117" i="20" s="1"/>
  <c r="E38" i="4"/>
  <c r="E246" i="20" s="1"/>
  <c r="E26" i="17"/>
  <c r="E28" i="17" s="1"/>
  <c r="E227" i="20" s="1"/>
  <c r="E26" i="4"/>
  <c r="E28" i="4" s="1"/>
  <c r="E226" i="20" s="1"/>
  <c r="H165" i="20"/>
  <c r="E157" i="20"/>
  <c r="E158" i="20" s="1"/>
  <c r="E160" i="20" s="1"/>
  <c r="E27" i="3"/>
  <c r="E129" i="20" s="1"/>
  <c r="E30" i="3"/>
  <c r="E35" i="3" s="1"/>
  <c r="E35" i="16"/>
  <c r="E27" i="16"/>
  <c r="E130" i="20" s="1"/>
  <c r="J30" i="1"/>
  <c r="D30" i="23" s="1"/>
  <c r="D32" i="23" s="1"/>
  <c r="J30" i="15"/>
  <c r="E165" i="20"/>
  <c r="E167" i="20" s="1"/>
  <c r="H53" i="5"/>
  <c r="D34" i="23" l="1"/>
  <c r="D35" i="23" s="1"/>
  <c r="D36" i="23" s="1"/>
  <c r="D33" i="23"/>
  <c r="E15" i="15"/>
  <c r="F402" i="20"/>
  <c r="E50" i="18"/>
  <c r="E55" i="18" s="1"/>
  <c r="E56" i="18" s="1"/>
  <c r="F55" i="18" s="1"/>
  <c r="J55" i="18" s="1"/>
  <c r="E336" i="20"/>
  <c r="E170" i="20"/>
  <c r="E213" i="20"/>
  <c r="E52" i="3"/>
  <c r="E55" i="3" s="1"/>
  <c r="E43" i="3"/>
  <c r="E43" i="16"/>
  <c r="E44" i="16"/>
  <c r="E44" i="3"/>
  <c r="C8" i="22"/>
  <c r="D8" i="22" s="1"/>
  <c r="F54" i="18" l="1"/>
  <c r="J54" i="18" s="1"/>
  <c r="F53" i="18"/>
  <c r="J53" i="18" s="1"/>
  <c r="J44" i="3"/>
  <c r="E47" i="3"/>
  <c r="E57" i="3" s="1"/>
  <c r="J44" i="16"/>
  <c r="E47" i="16"/>
  <c r="E57" i="16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E171" i="20" l="1"/>
  <c r="E172" i="20"/>
  <c r="J56" i="18"/>
  <c r="E44" i="17"/>
  <c r="G46" i="16"/>
  <c r="G45" i="16"/>
  <c r="E45" i="17" l="1"/>
  <c r="E43" i="17"/>
  <c r="E54" i="17"/>
  <c r="G46" i="3"/>
  <c r="G45" i="3"/>
  <c r="E50" i="17" l="1"/>
  <c r="E52" i="17" s="1"/>
  <c r="E56" i="17" s="1"/>
  <c r="E14" i="15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G15" i="15"/>
  <c r="G16" i="15" s="1"/>
  <c r="G17" i="15" s="1"/>
  <c r="D55" i="16" l="1"/>
  <c r="E14" i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J24" i="5" l="1"/>
  <c r="J25" i="5" s="1"/>
  <c r="H15" i="1"/>
  <c r="J15" i="1" s="1"/>
  <c r="H16" i="1"/>
  <c r="J16" i="1" s="1"/>
  <c r="H17" i="1"/>
  <c r="J17" i="1" s="1"/>
  <c r="H30" i="18"/>
  <c r="H33" i="18" s="1"/>
  <c r="J33" i="18" s="1"/>
  <c r="H41" i="18" s="1"/>
  <c r="J41" i="18" s="1"/>
  <c r="H45" i="16"/>
  <c r="J45" i="16" s="1"/>
  <c r="J18" i="15"/>
  <c r="J56" i="5"/>
  <c r="E43" i="4" s="1"/>
  <c r="E44" i="4"/>
  <c r="H25" i="17"/>
  <c r="J25" i="17" s="1"/>
  <c r="H15" i="3"/>
  <c r="J15" i="3" s="1"/>
  <c r="H14" i="1"/>
  <c r="J14" i="1" s="1"/>
  <c r="F30" i="5"/>
  <c r="H30" i="5" l="1"/>
  <c r="H33" i="5" s="1"/>
  <c r="J33" i="5" s="1"/>
  <c r="E54" i="4"/>
  <c r="E50" i="4" s="1"/>
  <c r="H45" i="3"/>
  <c r="J45" i="3" s="1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31" i="3" s="1"/>
  <c r="J28" i="17" l="1"/>
  <c r="J22" i="17"/>
  <c r="J19" i="16"/>
  <c r="H19" i="16" s="1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51" i="17" s="1"/>
  <c r="J38" i="4" l="1"/>
  <c r="H35" i="3"/>
  <c r="H40" i="16"/>
  <c r="J40" i="16" s="1"/>
  <c r="H42" i="16" l="1"/>
  <c r="J42" i="16" s="1"/>
  <c r="H51" i="4"/>
  <c r="J51" i="4" s="1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J11" i="1"/>
  <c r="J20" i="1" s="1"/>
  <c r="F30" i="28" s="1"/>
  <c r="E32" i="1" l="1"/>
  <c r="E33" i="1" s="1"/>
  <c r="E32" i="15"/>
  <c r="D7" i="22" l="1"/>
  <c r="E33" i="15"/>
  <c r="E36" i="15"/>
  <c r="C6" i="22" s="1"/>
  <c r="J36" i="15"/>
  <c r="J37" i="15" s="1"/>
  <c r="C7" i="22" l="1"/>
  <c r="E37" i="15"/>
  <c r="E38" i="15" s="1"/>
  <c r="J38" i="15"/>
  <c r="C5" i="22"/>
  <c r="C4" i="22" l="1"/>
  <c r="C2" i="22"/>
  <c r="C3" i="22"/>
</calcChain>
</file>

<file path=xl/sharedStrings.xml><?xml version="1.0" encoding="utf-8"?>
<sst xmlns="http://schemas.openxmlformats.org/spreadsheetml/2006/main" count="1846" uniqueCount="1022">
  <si>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</si>
  <si>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</si>
  <si>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</si>
  <si>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</si>
  <si>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</si>
  <si>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</si>
  <si>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</si>
  <si>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</si>
  <si>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</si>
  <si>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</si>
  <si>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</si>
  <si>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</si>
  <si>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</si>
  <si>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</si>
  <si>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</si>
  <si>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</si>
  <si>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</si>
  <si>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</si>
  <si>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</si>
  <si>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</si>
  <si>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</si>
  <si>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</si>
  <si>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</si>
  <si>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</si>
  <si>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</si>
  <si>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</si>
  <si>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</si>
  <si>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</si>
  <si>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</si>
  <si>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</si>
  <si>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</si>
  <si>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</si>
  <si>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</si>
  <si>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</si>
  <si>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</si>
  <si>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</si>
  <si>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</si>
  <si>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</si>
  <si>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</si>
  <si>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</si>
  <si>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</si>
  <si>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</si>
  <si>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</si>
  <si>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</si>
  <si>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</si>
  <si>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</si>
  <si>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</si>
  <si>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</si>
  <si>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</si>
  <si>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</si>
  <si>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</si>
  <si>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</si>
  <si>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</si>
  <si>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</si>
  <si>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</si>
  <si>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</si>
  <si>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</si>
  <si>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</si>
  <si>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</si>
  <si>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</si>
  <si>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</si>
  <si>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</si>
  <si>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</si>
  <si>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</si>
  <si>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</si>
  <si>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</si>
  <si>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</si>
  <si>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</si>
  <si>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</si>
  <si>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</si>
  <si>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</si>
  <si>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</si>
  <si>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</si>
  <si>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</si>
  <si>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</si>
  <si>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</si>
  <si>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</si>
  <si>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</si>
  <si>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</si>
  <si>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</si>
  <si>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</si>
  <si>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</si>
  <si>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</si>
  <si>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</si>
  <si>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</si>
  <si>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</si>
  <si>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</si>
  <si>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</si>
  <si>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</si>
  <si>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</si>
  <si>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</si>
  <si>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</si>
  <si>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</si>
  <si>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</si>
  <si>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</si>
  <si>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</si>
  <si>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</si>
  <si>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</si>
  <si>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</si>
  <si>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</si>
  <si>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</si>
  <si>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</si>
  <si>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</si>
  <si>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</si>
  <si>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</si>
  <si>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</si>
  <si>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</si>
  <si>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</si>
  <si>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</si>
  <si>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</si>
  <si>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</si>
  <si>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</si>
  <si>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</si>
  <si>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</si>
  <si>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</si>
  <si>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</si>
  <si>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</si>
  <si>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</si>
  <si>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</si>
  <si>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</si>
  <si>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</si>
  <si>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</si>
  <si>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</si>
  <si>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</si>
  <si>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</si>
  <si>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</si>
  <si>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</si>
  <si>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</si>
  <si>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</si>
  <si>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</si>
  <si>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</si>
  <si>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</si>
  <si>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</si>
  <si>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</si>
  <si>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</si>
  <si>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</si>
  <si>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</si>
  <si>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</si>
  <si>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</si>
  <si>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</si>
  <si>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</si>
  <si>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</si>
  <si>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</si>
  <si>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</si>
  <si>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</si>
  <si>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</si>
  <si>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</si>
  <si>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</si>
  <si>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</si>
  <si>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</si>
  <si>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</si>
  <si>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</si>
  <si>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</si>
  <si>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</si>
  <si>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</si>
  <si>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</si>
  <si>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</si>
  <si>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</si>
  <si>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</si>
  <si>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</si>
  <si>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</si>
  <si>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</si>
  <si>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</si>
  <si>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</si>
  <si>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</si>
  <si>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</si>
  <si>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</si>
  <si>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</si>
  <si>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</si>
  <si>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</si>
  <si>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</si>
  <si>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</si>
  <si>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</si>
  <si>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</si>
  <si>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</si>
  <si>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</si>
  <si>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</si>
  <si>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</si>
  <si>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</si>
  <si>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</si>
  <si>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</si>
  <si>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</si>
  <si>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</si>
  <si>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</si>
  <si>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</si>
  <si>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</si>
  <si>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</si>
  <si>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</si>
  <si>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</si>
  <si>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</si>
  <si>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</si>
  <si>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</si>
  <si>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</si>
  <si>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</si>
  <si>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</si>
  <si>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</si>
  <si>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</si>
  <si>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</si>
  <si>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</si>
  <si>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</si>
  <si>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</si>
  <si>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</si>
  <si>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</si>
  <si>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</si>
  <si>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</si>
  <si>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</si>
  <si>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</si>
  <si>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</si>
  <si>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</si>
  <si>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</si>
  <si>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</si>
  <si>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</si>
  <si>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</si>
  <si>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</si>
  <si>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</si>
  <si>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</si>
  <si>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</si>
  <si>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</si>
  <si>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</si>
  <si>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</si>
  <si>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</si>
  <si>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</si>
  <si>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</si>
  <si>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</si>
  <si>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</si>
  <si>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</si>
  <si>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</si>
  <si>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</si>
  <si>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</si>
  <si>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</si>
  <si>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</si>
  <si>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</si>
  <si>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</si>
  <si>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</si>
  <si>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</si>
  <si>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</si>
  <si>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</si>
  <si>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</si>
  <si>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</si>
  <si>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</si>
  <si>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</si>
  <si>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</si>
  <si>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</si>
  <si>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</si>
  <si>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</si>
  <si>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</si>
  <si>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</si>
  <si>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</si>
  <si>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</si>
  <si>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</si>
  <si>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</si>
  <si>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</si>
  <si>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</si>
  <si>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</si>
  <si>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</si>
  <si>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</si>
  <si>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</si>
  <si>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</si>
  <si>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</si>
  <si>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</si>
  <si>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</si>
  <si>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</si>
  <si>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</si>
  <si>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</si>
  <si>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</si>
  <si>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</si>
  <si>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</si>
  <si>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</si>
  <si>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</si>
  <si>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</si>
  <si>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</si>
  <si>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</si>
  <si>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</si>
  <si>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</si>
  <si>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</si>
  <si>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</si>
  <si>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</si>
  <si>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</si>
  <si>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</si>
  <si>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</si>
  <si>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</si>
  <si>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</si>
  <si>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</si>
  <si>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</si>
  <si>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</si>
  <si>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</si>
  <si>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</si>
  <si>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</si>
  <si>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</si>
  <si>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</si>
  <si>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</si>
  <si>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</si>
  <si>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</si>
  <si>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</si>
  <si>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</si>
  <si>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</si>
  <si>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</si>
  <si>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</si>
  <si>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</si>
  <si>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</si>
  <si>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</si>
  <si>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</si>
  <si>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</si>
  <si>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</si>
  <si>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</si>
  <si>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</si>
  <si>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</si>
  <si>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</si>
  <si>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</si>
  <si>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</si>
  <si>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</si>
  <si>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</si>
  <si>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</si>
  <si>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</si>
  <si>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</si>
  <si>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</si>
  <si>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</si>
  <si>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</si>
  <si>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</si>
  <si>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</si>
  <si>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</si>
  <si>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</si>
  <si>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</si>
  <si>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</si>
  <si>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</si>
  <si>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</si>
  <si>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</si>
  <si>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</si>
  <si>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</si>
  <si>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</si>
  <si>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</si>
  <si>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</si>
  <si>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</si>
  <si>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</si>
  <si>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</si>
  <si>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</si>
  <si>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</si>
  <si>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</si>
  <si>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</si>
  <si>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</si>
  <si>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</si>
  <si>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</si>
  <si>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</si>
  <si>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</si>
  <si>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</si>
  <si>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</si>
  <si>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</si>
  <si>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</si>
  <si>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</si>
  <si>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</si>
  <si>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</si>
  <si>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</si>
  <si>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</si>
  <si>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</si>
  <si>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</si>
  <si>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</si>
  <si>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</si>
  <si>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</si>
  <si>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</si>
  <si>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</si>
  <si>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</si>
  <si>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</si>
  <si>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</si>
  <si>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</si>
  <si>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</si>
  <si>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</si>
  <si>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</si>
  <si>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</si>
  <si>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</si>
  <si>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</si>
  <si>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</si>
  <si>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</si>
  <si>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</si>
  <si>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</si>
  <si>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</si>
  <si>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</si>
  <si>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</si>
  <si>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</si>
  <si>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</si>
  <si>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</si>
  <si>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</si>
  <si>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</si>
  <si>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</si>
  <si>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</si>
  <si>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</si>
  <si>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</si>
  <si>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</si>
  <si>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</si>
  <si>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</si>
  <si>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</si>
  <si>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</si>
  <si>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</si>
  <si>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</si>
  <si>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</si>
  <si>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</si>
  <si>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</si>
  <si>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</si>
  <si>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</si>
  <si>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</si>
  <si>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</si>
  <si>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</si>
  <si>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</si>
  <si>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</si>
  <si>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</si>
  <si>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</si>
  <si>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</si>
  <si>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</si>
  <si>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</si>
  <si>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</si>
  <si>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</si>
  <si>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</si>
  <si>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</si>
  <si>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</si>
  <si>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</si>
  <si>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</si>
  <si>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</si>
  <si>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</si>
  <si>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</si>
  <si>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</si>
  <si>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</si>
  <si>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</si>
  <si>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</si>
  <si>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</si>
  <si>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</si>
  <si>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</si>
  <si>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</si>
  <si>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</si>
  <si>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</si>
  <si>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</si>
  <si>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</si>
  <si>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</si>
  <si>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</si>
  <si>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</si>
  <si>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</si>
  <si>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</si>
  <si>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</si>
  <si>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</si>
  <si>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</si>
  <si>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</si>
  <si>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</si>
  <si>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</si>
  <si>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</si>
  <si>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</si>
  <si>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</si>
  <si>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</si>
  <si>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</si>
  <si>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</si>
  <si>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</si>
  <si>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</si>
  <si>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</si>
  <si>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</si>
  <si>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</si>
  <si>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</si>
  <si>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</si>
  <si>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</si>
  <si>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</si>
  <si>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</si>
  <si>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</si>
  <si>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</si>
  <si>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</si>
  <si>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</si>
  <si>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</si>
  <si>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</si>
  <si>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</si>
  <si>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</si>
  <si>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</si>
  <si>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</si>
  <si>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</si>
  <si>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</si>
  <si>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</si>
  <si>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</si>
  <si>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</si>
  <si>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</si>
  <si>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</si>
  <si>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</si>
  <si>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</si>
  <si>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</si>
  <si>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</si>
  <si>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</si>
  <si>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</si>
  <si>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</si>
  <si>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</si>
  <si>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</si>
  <si>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</si>
  <si>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</si>
  <si>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</si>
  <si>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</si>
  <si>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</si>
  <si>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</si>
  <si>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</si>
  <si>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</si>
  <si>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</si>
  <si>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</si>
  <si>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</si>
  <si>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</si>
  <si>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</si>
  <si>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</si>
  <si>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</si>
  <si>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</si>
  <si>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</si>
  <si>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</si>
  <si>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</si>
  <si>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</si>
  <si>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</si>
  <si>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</si>
  <si>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</si>
  <si>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</si>
  <si>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</si>
  <si>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</si>
  <si>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</si>
  <si>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</si>
  <si>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</si>
  <si>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</si>
  <si>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</si>
  <si>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</si>
  <si>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</si>
  <si>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</si>
  <si>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</si>
  <si>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</si>
  <si>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</si>
  <si>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</si>
  <si>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</si>
  <si>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</si>
  <si>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</si>
  <si>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</si>
  <si>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</si>
  <si>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</si>
  <si>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</si>
  <si>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</si>
  <si>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</si>
  <si>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</si>
  <si>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</si>
  <si>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</si>
  <si>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</si>
  <si>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</si>
  <si>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</si>
  <si>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</si>
  <si>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</si>
  <si>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</si>
  <si>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</si>
  <si>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</si>
  <si>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</si>
  <si>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</si>
  <si>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</si>
  <si>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</si>
  <si>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</si>
  <si>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</si>
  <si>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</si>
  <si>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</si>
  <si>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</si>
  <si>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</si>
  <si>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</si>
  <si>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</si>
  <si>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</si>
  <si>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</si>
  <si>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</si>
  <si>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</si>
  <si>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</si>
  <si>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</si>
  <si>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to Page 2 of 5, L. 26, col.3 (enter negative)</t>
  </si>
  <si>
    <t>multiply the total balance in account 399 times the electric only allocation ratio</t>
  </si>
  <si>
    <t>Common Reserve</t>
  </si>
  <si>
    <t>Provided by Transmission if applicable.  Represents costs for required network upgrades required in response to a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</si>
  <si>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</si>
  <si>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</si>
  <si>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</si>
  <si>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</si>
  <si>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</si>
  <si>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</si>
  <si>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</si>
  <si>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</si>
  <si>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</si>
  <si>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</si>
  <si>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</si>
  <si>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</si>
  <si>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</si>
  <si>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P.227, L.8, Col.(c)</t>
  </si>
  <si>
    <t>Stores Expense Undistributed</t>
  </si>
  <si>
    <t>P.227, L.16, Col.(c)</t>
  </si>
  <si>
    <t>Total Account 154</t>
  </si>
  <si>
    <t>P.227, L.12, Col.(c)</t>
  </si>
  <si>
    <t>Transmission Ratio</t>
  </si>
  <si>
    <t>Prepayments (acct. 165)</t>
  </si>
  <si>
    <t>P.111, L.57, Col.(c)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</si>
  <si>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</si>
  <si>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</si>
  <si>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</si>
  <si>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</si>
  <si>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</si>
  <si>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</si>
  <si>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</si>
  <si>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</si>
  <si>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</si>
  <si>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</si>
  <si>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</si>
  <si>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</si>
  <si>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</si>
  <si>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</si>
  <si>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</si>
  <si>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</si>
  <si>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</si>
  <si>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</si>
  <si>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</si>
  <si>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</si>
  <si>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</si>
  <si>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</si>
  <si>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</si>
  <si>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</si>
  <si>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</si>
  <si>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</si>
  <si>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</si>
  <si>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</si>
  <si>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</si>
  <si>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</si>
  <si>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</si>
  <si>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</si>
  <si>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</si>
  <si>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</si>
  <si>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</si>
  <si>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</si>
  <si>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</si>
  <si>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</si>
  <si>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</si>
  <si>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</si>
  <si>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</si>
  <si>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</t>
  </si>
  <si>
    <t>Page 336, L.7, Col.(f)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</si>
  <si>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</si>
  <si>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</si>
  <si>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</si>
  <si>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</si>
  <si>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</si>
  <si>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</si>
  <si>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</si>
  <si>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Common ARO</t>
  </si>
  <si>
    <t>Page 336, L.11, Col.(c)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</si>
  <si>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</si>
  <si>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</si>
  <si>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</si>
  <si>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</si>
  <si>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</si>
  <si>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</si>
  <si>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</si>
  <si>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</si>
  <si>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</si>
  <si>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</si>
  <si>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</si>
  <si>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</si>
  <si>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 xml:space="preserve">          Highway and vehicle</t>
  </si>
  <si>
    <t>Page 262-3, Col.(i)</t>
  </si>
  <si>
    <t>to Page 3 of 5, L. 14, col.3</t>
  </si>
  <si>
    <t>See note above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</si>
  <si>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</si>
  <si>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</si>
  <si>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</si>
  <si>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</si>
  <si>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</si>
  <si>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</si>
  <si>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</si>
  <si>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</si>
  <si>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</si>
  <si>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</si>
  <si>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</si>
  <si>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</si>
  <si>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</si>
  <si>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</si>
  <si>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</si>
  <si>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</si>
  <si>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</si>
  <si>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</si>
  <si>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</si>
  <si>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</si>
  <si>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</si>
  <si>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</si>
  <si>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</si>
  <si>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</si>
  <si>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</si>
  <si>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</si>
  <si>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</si>
  <si>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</si>
  <si>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</si>
  <si>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</si>
  <si>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</si>
  <si>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</si>
  <si>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</si>
  <si>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</si>
  <si>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</si>
  <si>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</si>
  <si>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</si>
  <si>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</si>
  <si>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</si>
  <si>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</si>
  <si>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</si>
  <si>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</si>
  <si>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</si>
  <si>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</si>
  <si>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</si>
  <si>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</si>
  <si>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</si>
  <si>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</si>
  <si>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</si>
  <si>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</si>
  <si>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</si>
  <si>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</si>
  <si>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</si>
  <si>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</si>
  <si>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</si>
  <si>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</si>
  <si>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</si>
  <si>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</si>
  <si>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</si>
  <si>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</si>
  <si>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</si>
  <si>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</si>
  <si>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</si>
  <si>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</si>
  <si>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</si>
  <si>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</si>
  <si>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</si>
  <si>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</si>
  <si>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</si>
  <si>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</si>
  <si>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</si>
  <si>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</si>
  <si>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</si>
  <si>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</si>
  <si>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</si>
  <si>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</si>
  <si>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</si>
  <si>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</si>
  <si>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</si>
  <si>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</si>
  <si>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</si>
  <si>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</si>
  <si>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</si>
  <si>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</si>
  <si>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</si>
  <si>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</si>
  <si>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</si>
  <si>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</si>
  <si>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</si>
  <si>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</si>
  <si>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</si>
  <si>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</si>
  <si>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</si>
  <si>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</si>
  <si>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</si>
  <si>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</si>
  <si>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</si>
  <si>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</si>
  <si>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</si>
  <si>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</si>
  <si>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</si>
  <si>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</si>
  <si>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</si>
  <si>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</si>
  <si>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</si>
  <si>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</si>
  <si>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</si>
  <si>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</si>
  <si>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</si>
  <si>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</si>
  <si>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</si>
  <si>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</si>
  <si>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</si>
  <si>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</si>
  <si>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</si>
  <si>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</si>
  <si>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</si>
  <si>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Return on Equity</t>
  </si>
  <si>
    <t>Set by FERC Order; only change with authorization to do so.</t>
  </si>
  <si>
    <t>Account 456 -- Other Electric Revenues</t>
  </si>
  <si>
    <t>Total Transmission Charges</t>
  </si>
  <si>
    <t>Page 330, Col.(n)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</si>
  <si>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</si>
  <si>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</si>
  <si>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</si>
  <si>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</si>
  <si>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</si>
  <si>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</si>
  <si>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</si>
  <si>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</si>
  <si>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</si>
  <si>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</si>
  <si>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</si>
  <si>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</si>
  <si>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</si>
  <si>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</si>
  <si>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</si>
  <si>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</si>
  <si>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</si>
  <si>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</si>
  <si>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</si>
  <si>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</si>
  <si>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L.14,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</si>
  <si>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</si>
  <si>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</si>
  <si>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</si>
  <si>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</si>
  <si>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</si>
  <si>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</si>
  <si>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</si>
  <si>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</si>
  <si>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</si>
  <si>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</si>
  <si>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</si>
  <si>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</si>
  <si>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</si>
  <si>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</si>
  <si>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</si>
  <si>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</si>
  <si>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</si>
  <si>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</si>
  <si>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</si>
  <si>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</si>
  <si>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</si>
  <si>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</si>
  <si>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</si>
  <si>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</si>
  <si>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</si>
  <si>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</si>
  <si>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</si>
  <si>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</si>
  <si>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</si>
  <si>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</si>
  <si>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</si>
  <si>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</si>
  <si>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</si>
  <si>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</si>
  <si>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</si>
  <si>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</si>
  <si>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</si>
  <si>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</si>
  <si>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Electric Transmission -- 500kV Transmission Line Located in Virginia, serving Kentucky</t>
  </si>
  <si>
    <t>Electric Transmission -- Virginia Balances excluded from OATT formula rate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</si>
  <si>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</si>
  <si>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</si>
  <si>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</si>
  <si>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</si>
  <si>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</si>
  <si>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</si>
  <si>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</si>
  <si>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</si>
  <si>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</si>
  <si>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</si>
  <si>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</si>
  <si>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</si>
  <si>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</si>
  <si>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</si>
  <si>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</si>
  <si>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LGE balance, per Form 1 page 356.1 (excludes all 107)</t>
  </si>
  <si>
    <t>101 &amp; 106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</si>
  <si>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</si>
  <si>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</si>
  <si>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</si>
  <si>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</si>
  <si>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</si>
  <si>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</si>
  <si>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</si>
  <si>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</si>
  <si>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Reg Comm Expenses</t>
  </si>
  <si>
    <t>Page 262-3, L.8, Col.(i)</t>
  </si>
  <si>
    <t>T = L. 21</t>
  </si>
  <si>
    <t>Page 330, L.19, Col.(n)</t>
  </si>
  <si>
    <t>Page 330, L.23, Col.(n)</t>
  </si>
  <si>
    <t>Page 330, L.25, Col.(n)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</si>
  <si>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</si>
  <si>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</si>
  <si>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</si>
  <si>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</si>
  <si>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</si>
  <si>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</si>
  <si>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</si>
  <si>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</si>
  <si>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</si>
  <si>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</si>
  <si>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</si>
  <si>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</si>
  <si>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</si>
  <si>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</si>
  <si>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</si>
  <si>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</si>
  <si>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</si>
  <si>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</si>
  <si>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</si>
  <si>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</si>
  <si>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</si>
  <si>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</si>
  <si>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</si>
  <si>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</si>
  <si>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</si>
  <si>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</si>
  <si>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</si>
  <si>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</si>
  <si>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</si>
  <si>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</si>
  <si>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</si>
  <si>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</si>
  <si>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line 16 / 12</t>
  </si>
  <si>
    <t>to page 4 of 5, L. 30</t>
  </si>
  <si>
    <t>to Page 2 of 5, L. 31, col.3</t>
  </si>
  <si>
    <t>Total Includable O&amp;M</t>
  </si>
  <si>
    <t>Net Includable Depreciation Expense</t>
  </si>
  <si>
    <t>Total Adjustments</t>
  </si>
  <si>
    <t>LSE Direct Assign assets-rate base adjustment</t>
  </si>
  <si>
    <t>Network Upgrade assets-rate base adjustment</t>
  </si>
  <si>
    <t>check total-NITS</t>
  </si>
  <si>
    <t>check total-PTP</t>
  </si>
  <si>
    <t>total Gross Plant</t>
  </si>
  <si>
    <t>Total Accumulated Reserve</t>
  </si>
  <si>
    <t>Total Wages and Salaries</t>
  </si>
  <si>
    <t>Input Data for Annual Update of the LG&amp;E/KU Attachment O Formula Rate</t>
  </si>
  <si>
    <t>12 CP Data, firm Point to Point:</t>
  </si>
  <si>
    <t>Error checks</t>
  </si>
  <si>
    <t>Line 35a-Transmission Charges for all transmission transactions:</t>
  </si>
  <si>
    <t>year, include dollar amounts on appropriate acct row in the Additions column; otherwise, check for change in balance due to retirements.  Previous</t>
  </si>
  <si>
    <t>year ending balance is transferred to current year beginning balance, additions and retirements are entered as appropriate in columns, and ending</t>
  </si>
  <si>
    <t>balance is updated automatically.</t>
  </si>
  <si>
    <t>remove from all formula rate components any costs related to VA transmission facilities from total transmission on Page 2 of 5, line 8.</t>
  </si>
  <si>
    <t>Kentucky Utilities Company</t>
  </si>
  <si>
    <t>Per Plant Report</t>
  </si>
  <si>
    <t>Ending Balance</t>
  </si>
  <si>
    <t>Check</t>
  </si>
  <si>
    <t>Notes: Source spreadsheet provided by Property Accounting for the annual cost separation study.  If any entries in the Date column are for current</t>
  </si>
  <si>
    <t xml:space="preserve">Notes:  VA transmission plant total from row 59 below is linked to Page 4 of 5, line 2, and a transmission plant allocator is calculated to appropriately </t>
  </si>
  <si>
    <t>Tab:  VA_PIS NBV P9 (REG) -- Electric Transmission only starting on row 46 of support file</t>
  </si>
  <si>
    <t>If any, see "Power Transaction Schedule(s)" in applicable Form B</t>
  </si>
  <si>
    <t>Plant reports, P2 REG (KU), P11 (LGE)</t>
  </si>
  <si>
    <t>Plant reports, P5 REG (LGE only)</t>
  </si>
  <si>
    <t>copy prev yr end bal to beg, multiply by calculated depreciation rate in I153</t>
  </si>
  <si>
    <t>Depreciation Expense Adjustment</t>
  </si>
  <si>
    <t>Page 351, L.46, Col.(h)</t>
  </si>
  <si>
    <t>Page 262-3, L.14 (K), L.17 (L), Col.(i)</t>
  </si>
  <si>
    <t>Page 330, L.3, Col.(n)</t>
  </si>
  <si>
    <t>Page 330, L.20, Col.(n)</t>
  </si>
  <si>
    <t>request for transmission service that are deemed beneficial to entire network system.</t>
  </si>
  <si>
    <t>reviewing Plant Report Pg 26 REG (LGE) and Pg 13 REG (KU)</t>
  </si>
  <si>
    <t>Page 262-3, L.15 (K), L.14 (L), Col.(i)</t>
  </si>
  <si>
    <t>Page 262-3, L.11 (K), L.12 (L), Col.(i)</t>
  </si>
  <si>
    <t>to Page 5 of 5, Note K</t>
  </si>
  <si>
    <t>Net Book Network Upgrade Assets</t>
  </si>
  <si>
    <t>to Page 3 of 5, L. 8, col.3</t>
  </si>
  <si>
    <t>to Page 3 of 5, L. 12, col.3</t>
  </si>
  <si>
    <t>to Page 3 of 5, L. 15, col.3</t>
  </si>
  <si>
    <t>Page 351, L.3, Col.(h) LGE only</t>
  </si>
  <si>
    <t>Reference: Depreciation Expense per Form 1, Page 336, Col.(f)</t>
  </si>
  <si>
    <t>Accumulated Reserve per Form 1, Pages 200 col. (c), 219 col. (c), &amp; 356.1</t>
  </si>
  <si>
    <t>All Sch. 1 charges except the cost of depancaking for OMU and KMPA; provided by F. Rubio, Transmission</t>
  </si>
  <si>
    <t>Page 262-3, L.15 (K), Col.(i)</t>
  </si>
  <si>
    <t>* Asset retirement obligations do not have specific depreciation</t>
  </si>
  <si>
    <t>Exclude gas amounts</t>
  </si>
  <si>
    <t>check totals-Sch1</t>
  </si>
  <si>
    <t>Electric Allocation Ratio, per Form 1 page 356.1</t>
  </si>
  <si>
    <t>Page 351, L.XX KU,L.XX LGE, Col.(h)</t>
  </si>
  <si>
    <t>Page 330.1, L.1, Col.(n)</t>
  </si>
  <si>
    <t>Form 1, p. 311, col. (f)</t>
  </si>
  <si>
    <t>Electric portion obtained from LG&amp;E Electric Gas Split Report</t>
  </si>
  <si>
    <t>Note: The following disclosures relate to accounting errors that impact the current year rates.</t>
  </si>
  <si>
    <t>Individual Error Impact</t>
  </si>
  <si>
    <t>1)</t>
  </si>
  <si>
    <t>2)</t>
  </si>
  <si>
    <t>4)</t>
  </si>
  <si>
    <t>5)</t>
  </si>
  <si>
    <t>Actual Cumulative Error Impact</t>
  </si>
  <si>
    <t>As Originally Filed</t>
  </si>
  <si>
    <t>Transmission Formula Disclosures</t>
  </si>
  <si>
    <t>NITS Monthly Rate ($/kW)</t>
  </si>
  <si>
    <t>PTP Monthly Rate ($/kW)</t>
  </si>
  <si>
    <t>Note: Beginning in Q3 2017, LG&amp;E and KU notified FERC of a change to their FERC Form 1 reporting to exclude purchase accounting activity, which is not included in the determination of the transmission rates.  With this reporting change, the purchase accounting adjustments to Form 1 amounts previously shown on this tab are no longer required to determine the amounts used in the formula rates.   A reconciliation of Form 1 amounts to GAAP amounts, which include purchase accounting activity, is disclosed in the Notes on Page 123 of the Form 1 for each company.</t>
  </si>
  <si>
    <t>Monthly Firm and Non-Firm Rate ((line 16) / 12)</t>
  </si>
  <si>
    <t>Weekly Firm and Non-Firm Rate ((line 16) / 52)</t>
  </si>
  <si>
    <t>Daily Firm and Non-Firm Rate ((line 18) / 7)</t>
  </si>
  <si>
    <t>Hourly Non-Firm Rate ((line 19) / 24)</t>
  </si>
  <si>
    <t>line 16 / 52</t>
  </si>
  <si>
    <t>line 18 / 7</t>
  </si>
  <si>
    <t>line 19 / 24</t>
  </si>
  <si>
    <t>$/kw-year</t>
  </si>
  <si>
    <t>$/kw-mo.</t>
  </si>
  <si>
    <t>$/kw-week</t>
  </si>
  <si>
    <t>$/kw-day</t>
  </si>
  <si>
    <t>$/kw-hour</t>
  </si>
  <si>
    <t>Page 330, L.18, Col.(n)</t>
  </si>
  <si>
    <t>Page 330, L.12, Col.(n)</t>
  </si>
  <si>
    <t>Pensions</t>
  </si>
  <si>
    <t>Green River plant retirement</t>
  </si>
  <si>
    <t>2009 Ice storm transmission portion only</t>
  </si>
  <si>
    <t>Kentucky Utilities Company/Louisville Gas and Electric Company</t>
  </si>
  <si>
    <t>6)</t>
  </si>
  <si>
    <t>7)</t>
  </si>
  <si>
    <t>8)</t>
  </si>
  <si>
    <t>9)</t>
  </si>
  <si>
    <t>ASC 740 Adjustment</t>
  </si>
  <si>
    <t xml:space="preserve">Green River Retirement Tax amortization </t>
  </si>
  <si>
    <t>Regulatory Asset Adjustments:</t>
  </si>
  <si>
    <t>KU amount minus amount on row 232 and LGE amount agree to total on page 263, column i</t>
  </si>
  <si>
    <t>11)</t>
  </si>
  <si>
    <t>10)</t>
  </si>
  <si>
    <t>If Excluded from Current Year Results</t>
  </si>
  <si>
    <t>Cumulative Error Impacts (1)</t>
  </si>
  <si>
    <t>(1) May not tie to the sum of the individual error impacts above due to rounding.</t>
  </si>
  <si>
    <t xml:space="preserve">Resulted in Increase (Decrease) to 2018 Revenue Requirement </t>
  </si>
  <si>
    <t>2018 Net Revenue Requirement</t>
  </si>
  <si>
    <t>2018 Rates</t>
  </si>
  <si>
    <t>Page 330, L.24, Col.(n)</t>
  </si>
  <si>
    <t>Page 330, L.10, Col.(n)</t>
  </si>
  <si>
    <t>Page 330, L.2, Col.(n)</t>
  </si>
  <si>
    <t>Page 330, L.21, Col.(n)</t>
  </si>
  <si>
    <t>Page 330, L.22, Col.(n)</t>
  </si>
  <si>
    <r>
      <t xml:space="preserve">LG&amp;E col (h) = </t>
    </r>
    <r>
      <rPr>
        <sz val="10"/>
        <color rgb="FF0070C0"/>
        <rFont val="Calibri"/>
        <family val="2"/>
        <scheme val="minor"/>
      </rPr>
      <t>0 for 2018</t>
    </r>
  </si>
  <si>
    <t>confirm links to transmission plant and book depreciation expense in O163:O164</t>
  </si>
  <si>
    <t>copy prev yr end bal to beg, multiply by calculated depreciation rate in I165</t>
  </si>
  <si>
    <t>Source:  December 2018 Kentucky Utilities Company Monthly Plant Report prepared by Property Accounting</t>
  </si>
  <si>
    <t>Source:  VA 500 KV Line - Dec 2018.xlsx prepared by Property Accounting</t>
  </si>
  <si>
    <t>to Page 2 of 5, L. 32, col.3</t>
  </si>
  <si>
    <t>to page 4 of 5, L. 28</t>
  </si>
  <si>
    <t>to page 4 of 5, L. 36</t>
  </si>
  <si>
    <t>agree to page 4 of 5, L. 38</t>
  </si>
  <si>
    <t>to Page 4 of 5, L. 37</t>
  </si>
  <si>
    <t>3)</t>
  </si>
  <si>
    <t>KU J283-0020-1218 Reclass capital to O&amp;M</t>
  </si>
  <si>
    <t>LGE/KU J261-0100-0718 Move transmission line charges</t>
  </si>
  <si>
    <t>LGE J296-0100-1218 Move transmission line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</si>
</sst>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9" formatCode="0.00000%"/>
    <numFmt numFmtId="190" formatCode="#,##0.0000_);\(#,##0.0000\)"/>
    <numFmt numFmtId="191" formatCode="mmmm\ d\,\ yyyy\ &quot;Rate&quot;"/>
    <numFmt numFmtId="192" formatCode="&quot;$&quot;#,##0.000_);[Red]\(&quot;$&quot;#,##0.000\)"/>
    <numFmt numFmtId="193" formatCode="_(&quot;$&quot;* #,##0_)"/>
    <numFmt numFmtId="194" formatCode="_(* #,##0_)"/>
    <numFmt numFmtId="195" formatCode="_(&quot;$&quot;* #,##0.000_)"/>
    <numFmt numFmtId="196" formatCode="_(&quot;$&quot;* #,##0_);_(&quot;$&quot;* \(#,##0\)_)"/>
    <numFmt numFmtId="197" formatCode="_(* #,##0_);_(* \(#,##0\)_)"/>
    <numFmt numFmtId="198" formatCode="0.000000000"/>
    <numFmt numFmtId="199" formatCode="_(&quot;$&quot;* #,##0.000_);_(&quot;$&quot;* \(#,##0.000\);_(&quot;$&quot;* &quot;-&quot;???_);_(@_)"/>
  </numFmts>
  <fonts count="104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9"/>
      <name val="Arial Narrow"/>
      <family val="2"/>
    </font>
    <font>
      <b/>
      <u val="singleAccounting"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color rgb="FF000099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b/>
      <sz val="14"/>
      <color rgb="FF0070C0"/>
      <name val="Calibri"/>
      <family val="2"/>
      <scheme val="minor"/>
    </font>
    <font>
      <sz val="10"/>
      <color rgb="FF000099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thin">
        <color indexed="23"/>
      </left>
      <right style="medium">
        <color indexed="9"/>
      </right>
      <top style="thin">
        <color indexed="23"/>
      </top>
      <bottom style="medium">
        <color indexed="9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60">
    <xf numFmtId="37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7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3" fillId="18" borderId="5" applyNumberFormat="0" applyAlignment="0" applyProtection="0"/>
    <xf numFmtId="177" fontId="14" fillId="0" borderId="2" applyBorder="0">
      <alignment horizontal="center" vertical="center"/>
    </xf>
    <xf numFmtId="178" fontId="15" fillId="19" borderId="0">
      <alignment horizontal="left"/>
    </xf>
    <xf numFmtId="178" fontId="16" fillId="19" borderId="0">
      <alignment horizontal="right"/>
    </xf>
    <xf numFmtId="178" fontId="17" fillId="17" borderId="0">
      <alignment horizontal="center"/>
    </xf>
    <xf numFmtId="178" fontId="16" fillId="19" borderId="0">
      <alignment horizontal="right"/>
    </xf>
    <xf numFmtId="178" fontId="18" fillId="17" borderId="0">
      <alignment horizontal="left"/>
    </xf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20" borderId="6" applyNumberFormat="0" applyFont="0" applyAlignment="0">
      <protection locked="0"/>
    </xf>
    <xf numFmtId="176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6" fontId="23" fillId="0" borderId="0" applyProtection="0"/>
    <xf numFmtId="176" fontId="5" fillId="0" borderId="0" applyProtection="0"/>
    <xf numFmtId="176" fontId="24" fillId="0" borderId="0" applyProtection="0"/>
    <xf numFmtId="176" fontId="25" fillId="0" borderId="0" applyProtection="0"/>
    <xf numFmtId="176" fontId="7" fillId="0" borderId="0" applyProtection="0"/>
    <xf numFmtId="176" fontId="23" fillId="0" borderId="0" applyProtection="0"/>
    <xf numFmtId="176" fontId="26" fillId="0" borderId="0" applyProtection="0"/>
    <xf numFmtId="2" fontId="7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4" applyNumberFormat="0" applyAlignment="0" applyProtection="0"/>
    <xf numFmtId="178" fontId="15" fillId="19" borderId="0">
      <alignment horizontal="left"/>
    </xf>
    <xf numFmtId="178" fontId="32" fillId="17" borderId="0">
      <alignment horizontal="left"/>
    </xf>
    <xf numFmtId="0" fontId="33" fillId="0" borderId="10" applyNumberFormat="0" applyFill="0" applyAlignment="0" applyProtection="0"/>
    <xf numFmtId="0" fontId="34" fillId="8" borderId="0" applyNumberFormat="0" applyBorder="0" applyAlignment="0" applyProtection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5" fillId="5" borderId="11" applyNumberFormat="0" applyFont="0" applyAlignment="0" applyProtection="0"/>
    <xf numFmtId="0" fontId="36" fillId="17" borderId="12" applyNumberFormat="0" applyAlignment="0" applyProtection="0"/>
    <xf numFmtId="180" fontId="37" fillId="17" borderId="0">
      <alignment horizontal="right"/>
    </xf>
    <xf numFmtId="40" fontId="38" fillId="21" borderId="0">
      <alignment horizontal="right"/>
    </xf>
    <xf numFmtId="178" fontId="39" fillId="22" borderId="0">
      <alignment horizontal="center"/>
    </xf>
    <xf numFmtId="178" fontId="15" fillId="23" borderId="0"/>
    <xf numFmtId="178" fontId="40" fillId="17" borderId="0" applyBorder="0">
      <alignment horizontal="centerContinuous"/>
    </xf>
    <xf numFmtId="178" fontId="41" fillId="23" borderId="0" applyBorder="0">
      <alignment horizontal="centerContinuous"/>
    </xf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8" fillId="24" borderId="13">
      <alignment horizontal="left"/>
    </xf>
    <xf numFmtId="176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76" fontId="43" fillId="0" borderId="1">
      <alignment horizontal="center"/>
    </xf>
    <xf numFmtId="3" fontId="42" fillId="0" borderId="0" applyFont="0" applyFill="0" applyBorder="0" applyAlignment="0" applyProtection="0"/>
    <xf numFmtId="176" fontId="42" fillId="25" borderId="0" applyNumberFormat="0" applyFont="0" applyBorder="0" applyAlignment="0" applyProtection="0"/>
    <xf numFmtId="178" fontId="32" fillId="8" borderId="0">
      <alignment horizontal="center"/>
    </xf>
    <xf numFmtId="49" fontId="44" fillId="17" borderId="0">
      <alignment horizontal="center"/>
    </xf>
    <xf numFmtId="178" fontId="16" fillId="19" borderId="0">
      <alignment horizontal="center"/>
    </xf>
    <xf numFmtId="178" fontId="16" fillId="19" borderId="0">
      <alignment horizontal="centerContinuous"/>
    </xf>
    <xf numFmtId="178" fontId="45" fillId="17" borderId="0">
      <alignment horizontal="left"/>
    </xf>
    <xf numFmtId="49" fontId="45" fillId="17" borderId="0">
      <alignment horizontal="center"/>
    </xf>
    <xf numFmtId="178" fontId="15" fillId="19" borderId="0">
      <alignment horizontal="left"/>
    </xf>
    <xf numFmtId="49" fontId="45" fillId="17" borderId="0">
      <alignment horizontal="left"/>
    </xf>
    <xf numFmtId="178" fontId="15" fillId="19" borderId="0">
      <alignment horizontal="centerContinuous"/>
    </xf>
    <xf numFmtId="178" fontId="15" fillId="19" borderId="0">
      <alignment horizontal="right"/>
    </xf>
    <xf numFmtId="49" fontId="32" fillId="17" borderId="0">
      <alignment horizontal="left"/>
    </xf>
    <xf numFmtId="178" fontId="16" fillId="19" borderId="0">
      <alignment horizontal="right"/>
    </xf>
    <xf numFmtId="178" fontId="45" fillId="6" borderId="0">
      <alignment horizontal="center"/>
    </xf>
    <xf numFmtId="178" fontId="46" fillId="6" borderId="0">
      <alignment horizontal="center"/>
    </xf>
    <xf numFmtId="4" fontId="23" fillId="26" borderId="14" applyNumberFormat="0" applyProtection="0">
      <alignment vertical="center"/>
    </xf>
    <xf numFmtId="4" fontId="47" fillId="26" borderId="15" applyNumberFormat="0" applyProtection="0">
      <alignment vertical="center"/>
    </xf>
    <xf numFmtId="4" fontId="23" fillId="26" borderId="14" applyNumberFormat="0" applyProtection="0">
      <alignment horizontal="left" vertical="center" indent="1"/>
    </xf>
    <xf numFmtId="176" fontId="23" fillId="27" borderId="15" applyNumberFormat="0" applyProtection="0">
      <alignment horizontal="left" vertical="top" indent="1"/>
    </xf>
    <xf numFmtId="4" fontId="23" fillId="23" borderId="0" applyNumberFormat="0" applyProtection="0">
      <alignment horizontal="left" vertical="center" indent="1"/>
    </xf>
    <xf numFmtId="4" fontId="7" fillId="26" borderId="15" applyNumberFormat="0" applyProtection="0">
      <alignment horizontal="right" vertical="center"/>
    </xf>
    <xf numFmtId="4" fontId="48" fillId="28" borderId="15" applyNumberFormat="0" applyProtection="0">
      <alignment horizontal="right" vertical="center"/>
    </xf>
    <xf numFmtId="4" fontId="48" fillId="29" borderId="15" applyNumberFormat="0" applyProtection="0">
      <alignment horizontal="right" vertical="center"/>
    </xf>
    <xf numFmtId="4" fontId="7" fillId="8" borderId="15" applyNumberFormat="0" applyProtection="0">
      <alignment horizontal="right" vertical="center"/>
    </xf>
    <xf numFmtId="4" fontId="7" fillId="3" borderId="15" applyNumberFormat="0" applyProtection="0">
      <alignment horizontal="right" vertical="center"/>
    </xf>
    <xf numFmtId="4" fontId="7" fillId="9" borderId="15" applyNumberFormat="0" applyProtection="0">
      <alignment horizontal="right" vertical="center"/>
    </xf>
    <xf numFmtId="4" fontId="48" fillId="15" borderId="15" applyNumberFormat="0" applyProtection="0">
      <alignment horizontal="right" vertical="center"/>
    </xf>
    <xf numFmtId="4" fontId="48" fillId="30" borderId="15" applyNumberFormat="0" applyProtection="0">
      <alignment horizontal="right" vertical="center"/>
    </xf>
    <xf numFmtId="4" fontId="7" fillId="14" borderId="15" applyNumberFormat="0" applyProtection="0">
      <alignment horizontal="right" vertical="center"/>
    </xf>
    <xf numFmtId="4" fontId="23" fillId="31" borderId="0" applyNumberFormat="0" applyProtection="0">
      <alignment horizontal="left" vertical="center" indent="1"/>
    </xf>
    <xf numFmtId="4" fontId="7" fillId="10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7" fillId="10" borderId="14" applyNumberFormat="0" applyProtection="0">
      <alignment horizontal="right" vertical="center"/>
    </xf>
    <xf numFmtId="4" fontId="7" fillId="10" borderId="0" applyNumberFormat="0" applyProtection="0">
      <alignment horizontal="left" vertical="center" indent="1"/>
    </xf>
    <xf numFmtId="4" fontId="7" fillId="27" borderId="0" applyNumberFormat="0" applyProtection="0">
      <alignment horizontal="left" vertical="center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176" fontId="7" fillId="10" borderId="14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4" fontId="37" fillId="33" borderId="15" applyNumberFormat="0" applyProtection="0">
      <alignment vertical="center"/>
    </xf>
    <xf numFmtId="4" fontId="49" fillId="33" borderId="15" applyNumberFormat="0" applyProtection="0">
      <alignment vertical="center"/>
    </xf>
    <xf numFmtId="4" fontId="7" fillId="10" borderId="15" applyNumberFormat="0" applyProtection="0">
      <alignment horizontal="left" vertical="center" indent="1"/>
    </xf>
    <xf numFmtId="176" fontId="7" fillId="10" borderId="15" applyNumberFormat="0" applyProtection="0">
      <alignment horizontal="left" vertical="top" indent="1"/>
    </xf>
    <xf numFmtId="4" fontId="7" fillId="34" borderId="14" applyNumberFormat="0" applyProtection="0">
      <alignment horizontal="right" vertical="center"/>
    </xf>
    <xf numFmtId="4" fontId="23" fillId="34" borderId="14" applyNumberFormat="0" applyProtection="0">
      <alignment horizontal="right" vertical="center"/>
    </xf>
    <xf numFmtId="4" fontId="7" fillId="10" borderId="14" applyNumberFormat="0" applyProtection="0">
      <alignment horizontal="left" vertical="center" indent="1"/>
    </xf>
    <xf numFmtId="176" fontId="7" fillId="10" borderId="14" applyNumberFormat="0" applyProtection="0">
      <alignment horizontal="left" vertical="top" indent="1"/>
    </xf>
    <xf numFmtId="4" fontId="50" fillId="0" borderId="0" applyNumberFormat="0" applyProtection="0">
      <alignment horizontal="left" vertical="center" indent="1"/>
    </xf>
    <xf numFmtId="4" fontId="7" fillId="0" borderId="15" applyNumberFormat="0" applyProtection="0">
      <alignment horizontal="right" vertical="center"/>
    </xf>
    <xf numFmtId="176" fontId="7" fillId="0" borderId="16" applyNumberFormat="0" applyFont="0" applyFill="0" applyBorder="0" applyAlignment="0" applyProtection="0"/>
    <xf numFmtId="176" fontId="7" fillId="0" borderId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176" fontId="35" fillId="0" borderId="0"/>
    <xf numFmtId="178" fontId="53" fillId="17" borderId="0">
      <alignment horizontal="center"/>
    </xf>
    <xf numFmtId="0" fontId="3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37" fontId="5" fillId="0" borderId="0"/>
    <xf numFmtId="0" fontId="3" fillId="0" borderId="0"/>
    <xf numFmtId="0" fontId="2" fillId="0" borderId="0"/>
    <xf numFmtId="0" fontId="1" fillId="0" borderId="0"/>
  </cellStyleXfs>
  <cellXfs count="678">
    <xf numFmtId="37" fontId="0" fillId="0" borderId="0" xfId="0"/>
    <xf numFmtId="164" fontId="54" fillId="0" borderId="0" xfId="0" applyNumberFormat="1" applyFont="1" applyFill="1" applyAlignment="1" applyProtection="1"/>
    <xf numFmtId="0" fontId="54" fillId="0" borderId="0" xfId="0" applyNumberFormat="1" applyFont="1" applyFill="1" applyAlignment="1" applyProtection="1"/>
    <xf numFmtId="0" fontId="54" fillId="0" borderId="0" xfId="0" applyNumberFormat="1" applyFont="1" applyFill="1" applyAlignment="1" applyProtection="1">
      <alignment horizontal="left"/>
    </xf>
    <xf numFmtId="0" fontId="54" fillId="0" borderId="0" xfId="0" applyNumberFormat="1" applyFont="1" applyFill="1" applyProtection="1"/>
    <xf numFmtId="0" fontId="54" fillId="0" borderId="0" xfId="0" applyNumberFormat="1" applyFont="1" applyFill="1" applyAlignment="1" applyProtection="1">
      <alignment horizontal="center"/>
    </xf>
    <xf numFmtId="0" fontId="54" fillId="0" borderId="0" xfId="0" applyNumberFormat="1" applyFont="1" applyFill="1" applyAlignment="1" applyProtection="1">
      <alignment horizontal="right"/>
    </xf>
    <xf numFmtId="0" fontId="55" fillId="0" borderId="0" xfId="0" quotePrefix="1" applyNumberFormat="1" applyFont="1" applyFill="1" applyAlignment="1" applyProtection="1">
      <alignment horizontal="left"/>
    </xf>
    <xf numFmtId="0" fontId="54" fillId="0" borderId="0" xfId="0" quotePrefix="1" applyNumberFormat="1" applyFont="1" applyFill="1" applyAlignment="1" applyProtection="1">
      <alignment horizontal="left"/>
    </xf>
    <xf numFmtId="3" fontId="54" fillId="0" borderId="0" xfId="0" applyNumberFormat="1" applyFont="1" applyFill="1" applyAlignment="1" applyProtection="1"/>
    <xf numFmtId="49" fontId="54" fillId="0" borderId="0" xfId="0" applyNumberFormat="1" applyFont="1" applyFill="1" applyProtection="1"/>
    <xf numFmtId="0" fontId="54" fillId="0" borderId="1" xfId="0" applyNumberFormat="1" applyFont="1" applyFill="1" applyBorder="1" applyAlignment="1" applyProtection="1">
      <alignment horizontal="center"/>
    </xf>
    <xf numFmtId="3" fontId="54" fillId="0" borderId="0" xfId="0" applyNumberFormat="1" applyFont="1" applyFill="1" applyProtection="1"/>
    <xf numFmtId="0" fontId="54" fillId="0" borderId="1" xfId="0" applyNumberFormat="1" applyFont="1" applyFill="1" applyBorder="1" applyAlignment="1" applyProtection="1">
      <alignment horizontal="centerContinuous"/>
    </xf>
    <xf numFmtId="165" fontId="54" fillId="0" borderId="0" xfId="0" applyNumberFormat="1" applyFont="1" applyFill="1" applyAlignment="1" applyProtection="1"/>
    <xf numFmtId="3" fontId="54" fillId="0" borderId="0" xfId="0" applyNumberFormat="1" applyFont="1" applyFill="1" applyBorder="1" applyProtection="1"/>
    <xf numFmtId="0" fontId="56" fillId="0" borderId="0" xfId="0" applyNumberFormat="1" applyFont="1" applyFill="1" applyProtection="1"/>
    <xf numFmtId="37" fontId="58" fillId="0" borderId="0" xfId="0" applyFont="1" applyProtection="1"/>
    <xf numFmtId="3" fontId="54" fillId="0" borderId="0" xfId="0" applyNumberFormat="1" applyFont="1" applyFill="1" applyAlignment="1" applyProtection="1">
      <alignment horizontal="fill"/>
    </xf>
    <xf numFmtId="164" fontId="56" fillId="0" borderId="0" xfId="0" applyNumberFormat="1" applyFont="1" applyFill="1" applyAlignment="1" applyProtection="1"/>
    <xf numFmtId="0" fontId="54" fillId="0" borderId="0" xfId="0" applyNumberFormat="1" applyFont="1" applyFill="1" applyBorder="1" applyAlignment="1" applyProtection="1"/>
    <xf numFmtId="0" fontId="54" fillId="0" borderId="0" xfId="0" applyNumberFormat="1" applyFont="1" applyFill="1" applyBorder="1" applyProtection="1"/>
    <xf numFmtId="166" fontId="54" fillId="0" borderId="0" xfId="0" applyNumberFormat="1" applyFont="1" applyFill="1" applyBorder="1" applyProtection="1"/>
    <xf numFmtId="166" fontId="59" fillId="0" borderId="0" xfId="0" applyNumberFormat="1" applyFont="1" applyFill="1" applyProtection="1"/>
    <xf numFmtId="10" fontId="54" fillId="0" borderId="0" xfId="0" applyNumberFormat="1" applyFont="1" applyFill="1" applyProtection="1"/>
    <xf numFmtId="166" fontId="54" fillId="0" borderId="0" xfId="0" applyNumberFormat="1" applyFont="1" applyFill="1" applyProtection="1"/>
    <xf numFmtId="166" fontId="54" fillId="0" borderId="0" xfId="0" applyNumberFormat="1" applyFont="1" applyFill="1" applyBorder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left"/>
    </xf>
    <xf numFmtId="184" fontId="54" fillId="0" borderId="0" xfId="1" applyNumberFormat="1" applyFont="1" applyFill="1" applyAlignment="1" applyProtection="1"/>
    <xf numFmtId="0" fontId="54" fillId="0" borderId="0" xfId="0" applyNumberFormat="1" applyFont="1" applyFill="1" applyBorder="1" applyAlignment="1" applyProtection="1">
      <alignment horizontal="center"/>
    </xf>
    <xf numFmtId="164" fontId="54" fillId="0" borderId="0" xfId="0" applyNumberFormat="1" applyFont="1" applyFill="1" applyBorder="1" applyAlignment="1" applyProtection="1"/>
    <xf numFmtId="0" fontId="54" fillId="0" borderId="0" xfId="0" quotePrefix="1" applyNumberFormat="1" applyFont="1" applyFill="1" applyBorder="1" applyAlignment="1" applyProtection="1">
      <alignment horizontal="left"/>
    </xf>
    <xf numFmtId="170" fontId="54" fillId="0" borderId="0" xfId="2" applyNumberFormat="1" applyFont="1" applyFill="1" applyBorder="1" applyProtection="1"/>
    <xf numFmtId="175" fontId="54" fillId="0" borderId="0" xfId="1" applyNumberFormat="1" applyFont="1" applyFill="1" applyBorder="1" applyProtection="1"/>
    <xf numFmtId="3" fontId="60" fillId="0" borderId="0" xfId="0" applyNumberFormat="1" applyFont="1" applyFill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Fill="1" applyBorder="1" applyProtection="1"/>
    <xf numFmtId="3" fontId="60" fillId="0" borderId="0" xfId="0" applyNumberFormat="1" applyFont="1" applyFill="1" applyBorder="1" applyProtection="1"/>
    <xf numFmtId="3" fontId="61" fillId="0" borderId="0" xfId="0" applyNumberFormat="1" applyFont="1" applyFill="1" applyBorder="1" applyProtection="1"/>
    <xf numFmtId="175" fontId="54" fillId="0" borderId="0" xfId="0" applyNumberFormat="1" applyFont="1" applyFill="1" applyBorder="1" applyProtection="1"/>
    <xf numFmtId="10" fontId="54" fillId="0" borderId="0" xfId="3" applyNumberFormat="1" applyFont="1" applyFill="1" applyBorder="1" applyProtection="1"/>
    <xf numFmtId="170" fontId="54" fillId="0" borderId="0" xfId="0" applyNumberFormat="1" applyFont="1" applyFill="1" applyBorder="1" applyProtection="1"/>
    <xf numFmtId="166" fontId="59" fillId="0" borderId="0" xfId="0" applyNumberFormat="1" applyFont="1" applyFill="1" applyBorder="1" applyProtection="1"/>
    <xf numFmtId="10" fontId="54" fillId="0" borderId="0" xfId="0" applyNumberFormat="1" applyFont="1" applyFill="1" applyBorder="1" applyProtection="1"/>
    <xf numFmtId="3" fontId="54" fillId="0" borderId="0" xfId="0" quotePrefix="1" applyNumberFormat="1" applyFont="1" applyFill="1" applyBorder="1" applyAlignment="1" applyProtection="1"/>
    <xf numFmtId="3" fontId="54" fillId="0" borderId="0" xfId="0" applyNumberFormat="1" applyFont="1" applyFill="1" applyBorder="1" applyAlignment="1" applyProtection="1"/>
    <xf numFmtId="164" fontId="54" fillId="0" borderId="0" xfId="0" applyNumberFormat="1" applyFont="1" applyFill="1" applyBorder="1" applyAlignment="1" applyProtection="1">
      <alignment horizontal="center"/>
    </xf>
    <xf numFmtId="175" fontId="54" fillId="0" borderId="0" xfId="1" applyNumberFormat="1" applyFont="1" applyFill="1" applyBorder="1" applyAlignment="1" applyProtection="1"/>
    <xf numFmtId="3" fontId="62" fillId="0" borderId="0" xfId="0" applyNumberFormat="1" applyFont="1" applyFill="1" applyBorder="1" applyAlignment="1" applyProtection="1"/>
    <xf numFmtId="167" fontId="54" fillId="0" borderId="0" xfId="0" applyNumberFormat="1" applyFont="1" applyFill="1" applyBorder="1" applyAlignment="1" applyProtection="1"/>
    <xf numFmtId="175" fontId="62" fillId="0" borderId="0" xfId="1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center"/>
    </xf>
    <xf numFmtId="172" fontId="62" fillId="0" borderId="0" xfId="0" applyNumberFormat="1" applyFont="1" applyFill="1" applyBorder="1" applyAlignment="1" applyProtection="1"/>
    <xf numFmtId="0" fontId="63" fillId="0" borderId="0" xfId="0" applyNumberFormat="1" applyFont="1" applyFill="1" applyBorder="1" applyProtection="1"/>
    <xf numFmtId="164" fontId="63" fillId="0" borderId="0" xfId="0" applyNumberFormat="1" applyFont="1" applyFill="1" applyBorder="1" applyAlignment="1" applyProtection="1"/>
    <xf numFmtId="3" fontId="55" fillId="0" borderId="0" xfId="0" applyNumberFormat="1" applyFont="1" applyFill="1" applyBorder="1" applyAlignment="1" applyProtection="1">
      <alignment horizontal="center"/>
    </xf>
    <xf numFmtId="38" fontId="54" fillId="0" borderId="0" xfId="0" applyNumberFormat="1" applyFont="1" applyFill="1" applyBorder="1" applyProtection="1"/>
    <xf numFmtId="38" fontId="54" fillId="0" borderId="0" xfId="0" applyNumberFormat="1" applyFont="1" applyFill="1" applyBorder="1" applyAlignment="1" applyProtection="1"/>
    <xf numFmtId="167" fontId="54" fillId="0" borderId="0" xfId="0" applyNumberFormat="1" applyFont="1" applyFill="1" applyBorder="1" applyProtection="1"/>
    <xf numFmtId="172" fontId="54" fillId="0" borderId="0" xfId="0" applyNumberFormat="1" applyFont="1" applyFill="1" applyBorder="1" applyProtection="1"/>
    <xf numFmtId="1" fontId="54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>
      <alignment horizontal="left"/>
    </xf>
    <xf numFmtId="1" fontId="54" fillId="0" borderId="0" xfId="0" applyNumberFormat="1" applyFont="1" applyFill="1" applyBorder="1" applyAlignment="1" applyProtection="1"/>
    <xf numFmtId="172" fontId="54" fillId="0" borderId="0" xfId="0" applyNumberFormat="1" applyFont="1" applyFill="1" applyBorder="1" applyAlignment="1" applyProtection="1"/>
    <xf numFmtId="164" fontId="62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right"/>
    </xf>
    <xf numFmtId="0" fontId="64" fillId="0" borderId="0" xfId="0" applyNumberFormat="1" applyFont="1" applyFill="1" applyBorder="1" applyAlignment="1" applyProtection="1">
      <alignment horizontal="center"/>
    </xf>
    <xf numFmtId="0" fontId="64" fillId="0" borderId="0" xfId="0" applyNumberFormat="1" applyFont="1" applyFill="1" applyBorder="1" applyProtection="1"/>
    <xf numFmtId="0" fontId="64" fillId="0" borderId="0" xfId="0" applyNumberFormat="1" applyFont="1" applyFill="1" applyBorder="1" applyAlignment="1" applyProtection="1"/>
    <xf numFmtId="3" fontId="64" fillId="0" borderId="0" xfId="0" applyNumberFormat="1" applyFont="1" applyFill="1" applyBorder="1" applyAlignment="1" applyProtection="1"/>
    <xf numFmtId="0" fontId="59" fillId="0" borderId="0" xfId="0" applyNumberFormat="1" applyFont="1" applyFill="1" applyBorder="1" applyProtection="1"/>
    <xf numFmtId="3" fontId="59" fillId="0" borderId="0" xfId="0" applyNumberFormat="1" applyFont="1" applyFill="1" applyBorder="1" applyAlignment="1" applyProtection="1"/>
    <xf numFmtId="3" fontId="64" fillId="0" borderId="0" xfId="0" applyNumberFormat="1" applyFont="1" applyFill="1" applyBorder="1" applyAlignment="1" applyProtection="1">
      <alignment horizontal="center"/>
    </xf>
    <xf numFmtId="164" fontId="64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10" fontId="64" fillId="0" borderId="0" xfId="0" applyNumberFormat="1" applyFont="1" applyFill="1" applyBorder="1" applyProtection="1"/>
    <xf numFmtId="0" fontId="56" fillId="0" borderId="0" xfId="0" applyNumberFormat="1" applyFont="1" applyFill="1" applyBorder="1" applyAlignment="1" applyProtection="1">
      <alignment horizontal="left"/>
    </xf>
    <xf numFmtId="164" fontId="64" fillId="0" borderId="0" xfId="0" applyNumberFormat="1" applyFont="1" applyFill="1" applyBorder="1" applyAlignment="1" applyProtection="1">
      <alignment horizontal="center"/>
    </xf>
    <xf numFmtId="0" fontId="58" fillId="0" borderId="0" xfId="0" applyNumberFormat="1" applyFont="1" applyFill="1" applyBorder="1" applyProtection="1"/>
    <xf numFmtId="10" fontId="58" fillId="0" borderId="0" xfId="0" applyNumberFormat="1" applyFont="1" applyFill="1" applyBorder="1" applyProtection="1"/>
    <xf numFmtId="164" fontId="58" fillId="0" borderId="0" xfId="0" applyNumberFormat="1" applyFont="1" applyFill="1" applyBorder="1" applyAlignment="1" applyProtection="1"/>
    <xf numFmtId="164" fontId="58" fillId="0" borderId="0" xfId="0" applyNumberFormat="1" applyFont="1" applyFill="1" applyAlignment="1" applyProtection="1"/>
    <xf numFmtId="3" fontId="54" fillId="0" borderId="0" xfId="0" quotePrefix="1" applyNumberFormat="1" applyFont="1" applyFill="1" applyBorder="1" applyAlignment="1" applyProtection="1">
      <alignment horizontal="left"/>
    </xf>
    <xf numFmtId="164" fontId="54" fillId="0" borderId="0" xfId="0" applyNumberFormat="1" applyFont="1" applyAlignment="1"/>
    <xf numFmtId="0" fontId="54" fillId="0" borderId="0" xfId="0" applyNumberFormat="1" applyFont="1" applyAlignment="1" applyProtection="1">
      <protection locked="0"/>
    </xf>
    <xf numFmtId="0" fontId="54" fillId="0" borderId="0" xfId="0" applyNumberFormat="1" applyFont="1" applyProtection="1">
      <protection locked="0"/>
    </xf>
    <xf numFmtId="0" fontId="54" fillId="0" borderId="0" xfId="0" applyNumberFormat="1" applyFont="1" applyFill="1" applyAlignment="1" applyProtection="1">
      <alignment horizontal="center"/>
      <protection locked="0"/>
    </xf>
    <xf numFmtId="0" fontId="54" fillId="0" borderId="0" xfId="0" applyNumberFormat="1" applyFont="1" applyAlignment="1" applyProtection="1">
      <alignment horizontal="center"/>
      <protection locked="0"/>
    </xf>
    <xf numFmtId="0" fontId="54" fillId="0" borderId="0" xfId="0" applyNumberFormat="1" applyFont="1" applyAlignment="1" applyProtection="1">
      <alignment horizontal="right"/>
      <protection locked="0"/>
    </xf>
    <xf numFmtId="0" fontId="54" fillId="0" borderId="0" xfId="0" applyNumberFormat="1" applyFont="1"/>
    <xf numFmtId="0" fontId="54" fillId="0" borderId="0" xfId="0" applyNumberFormat="1" applyFont="1" applyAlignment="1"/>
    <xf numFmtId="164" fontId="54" fillId="0" borderId="0" xfId="0" applyNumberFormat="1" applyFont="1" applyFill="1" applyAlignment="1"/>
    <xf numFmtId="3" fontId="54" fillId="0" borderId="0" xfId="0" applyNumberFormat="1" applyFont="1" applyAlignment="1"/>
    <xf numFmtId="164" fontId="54" fillId="0" borderId="0" xfId="0" applyNumberFormat="1" applyFont="1" applyAlignment="1" applyProtection="1">
      <protection locked="0"/>
    </xf>
    <xf numFmtId="172" fontId="54" fillId="0" borderId="0" xfId="0" applyNumberFormat="1" applyFont="1" applyProtection="1">
      <protection locked="0"/>
    </xf>
    <xf numFmtId="0" fontId="64" fillId="0" borderId="0" xfId="0" applyNumberFormat="1" applyFont="1" applyAlignment="1" applyProtection="1">
      <alignment horizontal="center"/>
      <protection locked="0"/>
    </xf>
    <xf numFmtId="0" fontId="64" fillId="0" borderId="0" xfId="0" applyNumberFormat="1" applyFont="1" applyProtection="1">
      <protection locked="0"/>
    </xf>
    <xf numFmtId="0" fontId="64" fillId="0" borderId="0" xfId="0" applyNumberFormat="1" applyFont="1" applyAlignment="1" applyProtection="1">
      <protection locked="0"/>
    </xf>
    <xf numFmtId="3" fontId="64" fillId="0" borderId="0" xfId="0" applyNumberFormat="1" applyFont="1" applyAlignment="1"/>
    <xf numFmtId="0" fontId="59" fillId="0" borderId="0" xfId="0" applyNumberFormat="1" applyFont="1" applyProtection="1">
      <protection locked="0"/>
    </xf>
    <xf numFmtId="3" fontId="59" fillId="0" borderId="0" xfId="0" applyNumberFormat="1" applyFont="1" applyAlignment="1"/>
    <xf numFmtId="0" fontId="64" fillId="0" borderId="1" xfId="0" applyNumberFormat="1" applyFont="1" applyBorder="1" applyAlignment="1" applyProtection="1">
      <alignment horizontal="center"/>
      <protection locked="0"/>
    </xf>
    <xf numFmtId="0" fontId="64" fillId="0" borderId="0" xfId="0" quotePrefix="1" applyNumberFormat="1" applyFont="1" applyFill="1" applyAlignment="1" applyProtection="1">
      <alignment horizontal="left"/>
      <protection locked="0"/>
    </xf>
    <xf numFmtId="0" fontId="64" fillId="0" borderId="0" xfId="0" applyNumberFormat="1" applyFont="1" applyFill="1" applyProtection="1">
      <protection locked="0"/>
    </xf>
    <xf numFmtId="3" fontId="64" fillId="0" borderId="0" xfId="0" applyNumberFormat="1" applyFont="1" applyFill="1" applyAlignment="1"/>
    <xf numFmtId="0" fontId="59" fillId="0" borderId="0" xfId="0" applyNumberFormat="1" applyFont="1" applyFill="1" applyProtection="1">
      <protection locked="0"/>
    </xf>
    <xf numFmtId="3" fontId="59" fillId="0" borderId="0" xfId="0" applyNumberFormat="1" applyFont="1" applyFill="1" applyAlignment="1"/>
    <xf numFmtId="0" fontId="64" fillId="0" borderId="0" xfId="0" applyNumberFormat="1" applyFont="1" applyFill="1" applyAlignment="1" applyProtection="1">
      <alignment horizontal="center"/>
      <protection locked="0"/>
    </xf>
    <xf numFmtId="0" fontId="54" fillId="0" borderId="0" xfId="0" applyNumberFormat="1" applyFont="1" applyFill="1"/>
    <xf numFmtId="3" fontId="64" fillId="0" borderId="0" xfId="0" applyNumberFormat="1" applyFont="1" applyFill="1" applyAlignment="1">
      <alignment horizontal="center"/>
    </xf>
    <xf numFmtId="164" fontId="64" fillId="0" borderId="0" xfId="0" applyNumberFormat="1" applyFont="1" applyFill="1" applyAlignment="1"/>
    <xf numFmtId="10" fontId="64" fillId="0" borderId="0" xfId="0" applyNumberFormat="1" applyFont="1" applyFill="1" applyProtection="1">
      <protection locked="0"/>
    </xf>
    <xf numFmtId="0" fontId="54" fillId="0" borderId="0" xfId="0" applyNumberFormat="1" applyFont="1" applyFill="1" applyProtection="1">
      <protection locked="0"/>
    </xf>
    <xf numFmtId="164" fontId="64" fillId="0" borderId="0" xfId="0" applyNumberFormat="1" applyFont="1" applyAlignment="1">
      <alignment horizontal="center"/>
    </xf>
    <xf numFmtId="164" fontId="64" fillId="0" borderId="0" xfId="0" applyNumberFormat="1" applyFont="1" applyAlignment="1"/>
    <xf numFmtId="0" fontId="64" fillId="0" borderId="0" xfId="0" quotePrefix="1" applyNumberFormat="1" applyFont="1" applyFill="1" applyAlignment="1">
      <alignment horizontal="left"/>
    </xf>
    <xf numFmtId="10" fontId="54" fillId="0" borderId="0" xfId="0" applyNumberFormat="1" applyFont="1" applyFill="1"/>
    <xf numFmtId="0" fontId="64" fillId="0" borderId="0" xfId="0" applyNumberFormat="1" applyFont="1" applyFill="1"/>
    <xf numFmtId="0" fontId="58" fillId="0" borderId="0" xfId="0" applyNumberFormat="1" applyFont="1" applyFill="1"/>
    <xf numFmtId="10" fontId="58" fillId="0" borderId="0" xfId="0" applyNumberFormat="1" applyFont="1" applyFill="1"/>
    <xf numFmtId="0" fontId="58" fillId="0" borderId="0" xfId="0" applyNumberFormat="1" applyFont="1"/>
    <xf numFmtId="164" fontId="58" fillId="0" borderId="0" xfId="0" applyNumberFormat="1" applyFont="1" applyAlignment="1"/>
    <xf numFmtId="164" fontId="64" fillId="0" borderId="0" xfId="0" applyNumberFormat="1" applyFont="1" applyFill="1" applyAlignment="1">
      <alignment horizontal="center"/>
    </xf>
    <xf numFmtId="164" fontId="58" fillId="0" borderId="0" xfId="0" applyNumberFormat="1" applyFont="1" applyFill="1" applyAlignment="1"/>
    <xf numFmtId="37" fontId="58" fillId="0" borderId="0" xfId="0" applyFont="1"/>
    <xf numFmtId="164" fontId="54" fillId="0" borderId="0" xfId="0" applyNumberFormat="1" applyFont="1" applyAlignment="1" applyProtection="1"/>
    <xf numFmtId="0" fontId="54" fillId="0" borderId="0" xfId="0" applyNumberFormat="1" applyFont="1" applyAlignment="1" applyProtection="1"/>
    <xf numFmtId="0" fontId="54" fillId="0" borderId="0" xfId="0" applyNumberFormat="1" applyFont="1" applyProtection="1"/>
    <xf numFmtId="0" fontId="54" fillId="0" borderId="0" xfId="0" applyNumberFormat="1" applyFont="1" applyAlignment="1" applyProtection="1">
      <alignment horizontal="center"/>
    </xf>
    <xf numFmtId="3" fontId="54" fillId="0" borderId="0" xfId="0" applyNumberFormat="1" applyFont="1" applyAlignment="1" applyProtection="1"/>
    <xf numFmtId="49" fontId="54" fillId="0" borderId="0" xfId="0" applyNumberFormat="1" applyFont="1" applyAlignment="1" applyProtection="1">
      <alignment horizontal="left"/>
    </xf>
    <xf numFmtId="49" fontId="54" fillId="0" borderId="0" xfId="0" applyNumberFormat="1" applyFont="1" applyAlignment="1" applyProtection="1">
      <alignment horizontal="center"/>
    </xf>
    <xf numFmtId="3" fontId="55" fillId="0" borderId="0" xfId="0" applyNumberFormat="1" applyFont="1" applyAlignment="1" applyProtection="1">
      <alignment horizontal="center"/>
    </xf>
    <xf numFmtId="0" fontId="55" fillId="0" borderId="0" xfId="0" applyNumberFormat="1" applyFont="1" applyAlignment="1" applyProtection="1">
      <alignment horizontal="center"/>
    </xf>
    <xf numFmtId="164" fontId="55" fillId="0" borderId="0" xfId="0" applyNumberFormat="1" applyFont="1" applyAlignment="1" applyProtection="1">
      <alignment horizontal="center"/>
    </xf>
    <xf numFmtId="3" fontId="55" fillId="0" borderId="0" xfId="0" applyNumberFormat="1" applyFont="1" applyAlignment="1" applyProtection="1"/>
    <xf numFmtId="0" fontId="61" fillId="0" borderId="0" xfId="0" applyNumberFormat="1" applyFont="1" applyAlignment="1" applyProtection="1">
      <alignment horizontal="center"/>
    </xf>
    <xf numFmtId="0" fontId="54" fillId="0" borderId="1" xfId="0" applyNumberFormat="1" applyFont="1" applyBorder="1" applyAlignment="1" applyProtection="1">
      <alignment horizontal="center"/>
    </xf>
    <xf numFmtId="0" fontId="55" fillId="0" borderId="0" xfId="0" applyNumberFormat="1" applyFont="1" applyAlignment="1" applyProtection="1"/>
    <xf numFmtId="164" fontId="54" fillId="0" borderId="0" xfId="0" applyNumberFormat="1" applyFont="1" applyFill="1" applyBorder="1" applyAlignment="1" applyProtection="1">
      <alignment horizontal="centerContinuous"/>
    </xf>
    <xf numFmtId="164" fontId="54" fillId="0" borderId="0" xfId="0" applyNumberFormat="1" applyFont="1" applyFill="1" applyBorder="1" applyAlignment="1" applyProtection="1">
      <alignment wrapText="1"/>
    </xf>
    <xf numFmtId="164" fontId="54" fillId="0" borderId="0" xfId="0" quotePrefix="1" applyNumberFormat="1" applyFont="1" applyFill="1" applyBorder="1" applyAlignment="1" applyProtection="1">
      <alignment horizontal="left" wrapText="1"/>
    </xf>
    <xf numFmtId="164" fontId="54" fillId="0" borderId="0" xfId="0" quotePrefix="1" applyNumberFormat="1" applyFont="1" applyFill="1" applyBorder="1" applyAlignment="1" applyProtection="1">
      <alignment horizontal="left"/>
    </xf>
    <xf numFmtId="170" fontId="62" fillId="0" borderId="0" xfId="2" applyNumberFormat="1" applyFont="1" applyFill="1" applyBorder="1" applyAlignment="1" applyProtection="1"/>
    <xf numFmtId="170" fontId="54" fillId="0" borderId="0" xfId="2" applyNumberFormat="1" applyFont="1" applyFill="1" applyBorder="1" applyAlignment="1" applyProtection="1"/>
    <xf numFmtId="0" fontId="56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Alignment="1" applyProtection="1">
      <alignment horizontal="left"/>
    </xf>
    <xf numFmtId="171" fontId="54" fillId="0" borderId="0" xfId="0" applyNumberFormat="1" applyFont="1" applyAlignment="1" applyProtection="1">
      <alignment horizontal="center"/>
    </xf>
    <xf numFmtId="3" fontId="54" fillId="0" borderId="0" xfId="0" quotePrefix="1" applyNumberFormat="1" applyFont="1" applyFill="1" applyBorder="1" applyAlignment="1" applyProtection="1">
      <alignment horizontal="center"/>
    </xf>
    <xf numFmtId="0" fontId="54" fillId="0" borderId="0" xfId="0" quotePrefix="1" applyNumberFormat="1" applyFont="1" applyFill="1" applyBorder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fill"/>
    </xf>
    <xf numFmtId="9" fontId="54" fillId="0" borderId="0" xfId="3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fill"/>
    </xf>
    <xf numFmtId="171" fontId="54" fillId="0" borderId="0" xfId="0" applyNumberFormat="1" applyFont="1" applyFill="1" applyBorder="1" applyAlignment="1" applyProtection="1">
      <alignment horizontal="center"/>
    </xf>
    <xf numFmtId="171" fontId="54" fillId="0" borderId="0" xfId="0" applyNumberFormat="1" applyFont="1" applyFill="1" applyBorder="1" applyAlignment="1" applyProtection="1">
      <alignment horizontal="left"/>
    </xf>
    <xf numFmtId="172" fontId="62" fillId="0" borderId="0" xfId="0" applyNumberFormat="1" applyFont="1" applyFill="1" applyBorder="1" applyAlignment="1" applyProtection="1">
      <alignment horizontal="right"/>
    </xf>
    <xf numFmtId="3" fontId="56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 applyProtection="1">
      <alignment horizontal="left"/>
    </xf>
    <xf numFmtId="164" fontId="64" fillId="0" borderId="0" xfId="0" quotePrefix="1" applyNumberFormat="1" applyFont="1" applyFill="1" applyAlignment="1">
      <alignment horizontal="left"/>
    </xf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quotePrefix="1" applyNumberFormat="1" applyFont="1" applyFill="1" applyAlignment="1" applyProtection="1">
      <alignment horizontal="fill"/>
    </xf>
    <xf numFmtId="183" fontId="54" fillId="0" borderId="0" xfId="0" applyNumberFormat="1" applyFont="1" applyFill="1" applyProtection="1"/>
    <xf numFmtId="169" fontId="54" fillId="0" borderId="0" xfId="0" quotePrefix="1" applyNumberFormat="1" applyFont="1" applyFill="1" applyAlignment="1" applyProtection="1">
      <alignment horizontal="right"/>
    </xf>
    <xf numFmtId="0" fontId="54" fillId="0" borderId="0" xfId="0" quotePrefix="1" applyNumberFormat="1" applyFont="1" applyFill="1" applyAlignment="1" applyProtection="1">
      <alignment horizontal="left"/>
      <protection locked="0"/>
    </xf>
    <xf numFmtId="0" fontId="55" fillId="0" borderId="0" xfId="0" applyNumberFormat="1" applyFont="1" applyAlignment="1"/>
    <xf numFmtId="0" fontId="54" fillId="0" borderId="1" xfId="0" applyNumberFormat="1" applyFont="1" applyBorder="1" applyAlignment="1" applyProtection="1">
      <alignment horizontal="center"/>
      <protection locked="0"/>
    </xf>
    <xf numFmtId="3" fontId="54" fillId="0" borderId="0" xfId="0" applyNumberFormat="1" applyFont="1" applyFill="1" applyAlignment="1"/>
    <xf numFmtId="175" fontId="54" fillId="0" borderId="0" xfId="1" applyNumberFormat="1" applyFont="1" applyFill="1" applyBorder="1" applyAlignment="1"/>
    <xf numFmtId="0" fontId="67" fillId="0" borderId="0" xfId="0" applyNumberFormat="1" applyFont="1"/>
    <xf numFmtId="0" fontId="54" fillId="0" borderId="1" xfId="0" applyNumberFormat="1" applyFont="1" applyFill="1" applyBorder="1"/>
    <xf numFmtId="3" fontId="54" fillId="0" borderId="1" xfId="0" applyNumberFormat="1" applyFont="1" applyFill="1" applyBorder="1" applyAlignment="1"/>
    <xf numFmtId="3" fontId="54" fillId="0" borderId="0" xfId="0" applyNumberFormat="1" applyFont="1" applyFill="1" applyAlignment="1">
      <alignment horizontal="center"/>
    </xf>
    <xf numFmtId="49" fontId="54" fillId="0" borderId="0" xfId="0" applyNumberFormat="1" applyFont="1" applyFill="1"/>
    <xf numFmtId="49" fontId="54" fillId="0" borderId="0" xfId="0" applyNumberFormat="1" applyFont="1" applyFill="1" applyAlignment="1"/>
    <xf numFmtId="49" fontId="54" fillId="0" borderId="0" xfId="0" applyNumberFormat="1" applyFont="1" applyFill="1" applyAlignment="1">
      <alignment horizontal="center"/>
    </xf>
    <xf numFmtId="164" fontId="54" fillId="0" borderId="0" xfId="0" applyNumberFormat="1" applyFont="1" applyFill="1" applyBorder="1" applyAlignment="1"/>
    <xf numFmtId="0" fontId="54" fillId="0" borderId="0" xfId="0" applyNumberFormat="1" applyFont="1" applyFill="1" applyAlignment="1"/>
    <xf numFmtId="0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Border="1" applyAlignment="1"/>
    <xf numFmtId="0" fontId="54" fillId="0" borderId="0" xfId="0" applyNumberFormat="1" applyFont="1" applyFill="1" applyBorder="1" applyAlignment="1"/>
    <xf numFmtId="164" fontId="56" fillId="0" borderId="0" xfId="0" applyNumberFormat="1" applyFont="1" applyFill="1" applyBorder="1"/>
    <xf numFmtId="3" fontId="54" fillId="0" borderId="0" xfId="0" applyNumberFormat="1" applyFont="1" applyAlignment="1">
      <alignment horizontal="center"/>
    </xf>
    <xf numFmtId="164" fontId="56" fillId="0" borderId="0" xfId="0" applyNumberFormat="1" applyFont="1" applyFill="1" applyBorder="1" applyAlignment="1">
      <alignment horizontal="left" wrapText="1"/>
    </xf>
    <xf numFmtId="0" fontId="54" fillId="0" borderId="0" xfId="0" quotePrefix="1" applyNumberFormat="1" applyFont="1" applyAlignment="1">
      <alignment horizontal="left"/>
    </xf>
    <xf numFmtId="3" fontId="54" fillId="0" borderId="0" xfId="0" quotePrefix="1" applyNumberFormat="1" applyFont="1" applyAlignment="1">
      <alignment horizontal="left"/>
    </xf>
    <xf numFmtId="175" fontId="54" fillId="0" borderId="0" xfId="1" applyNumberFormat="1" applyFont="1" applyFill="1" applyAlignment="1"/>
    <xf numFmtId="175" fontId="54" fillId="0" borderId="0" xfId="1" applyNumberFormat="1" applyFont="1" applyAlignment="1"/>
    <xf numFmtId="3" fontId="54" fillId="0" borderId="0" xfId="0" quotePrefix="1" applyNumberFormat="1" applyFont="1" applyAlignment="1"/>
    <xf numFmtId="3" fontId="56" fillId="0" borderId="0" xfId="0" applyNumberFormat="1" applyFont="1" applyAlignment="1"/>
    <xf numFmtId="0" fontId="54" fillId="0" borderId="0" xfId="0" applyNumberFormat="1" applyFont="1" applyAlignment="1">
      <alignment horizontal="center"/>
    </xf>
    <xf numFmtId="171" fontId="54" fillId="0" borderId="0" xfId="0" applyNumberFormat="1" applyFont="1" applyAlignment="1">
      <alignment horizontal="center"/>
    </xf>
    <xf numFmtId="3" fontId="56" fillId="0" borderId="0" xfId="0" applyNumberFormat="1" applyFont="1" applyFill="1" applyBorder="1" applyAlignment="1"/>
    <xf numFmtId="175" fontId="62" fillId="0" borderId="0" xfId="1" applyNumberFormat="1" applyFont="1" applyFill="1" applyAlignment="1"/>
    <xf numFmtId="0" fontId="54" fillId="0" borderId="0" xfId="0" applyNumberFormat="1" applyFont="1" applyBorder="1" applyAlignment="1"/>
    <xf numFmtId="164" fontId="54" fillId="0" borderId="0" xfId="0" applyNumberFormat="1" applyFont="1" applyFill="1" applyAlignment="1">
      <alignment horizontal="center"/>
    </xf>
    <xf numFmtId="3" fontId="54" fillId="0" borderId="0" xfId="0" quotePrefix="1" applyNumberFormat="1" applyFont="1" applyFill="1" applyAlignment="1"/>
    <xf numFmtId="3" fontId="62" fillId="0" borderId="0" xfId="0" applyNumberFormat="1" applyFont="1" applyFill="1" applyAlignment="1"/>
    <xf numFmtId="0" fontId="54" fillId="0" borderId="0" xfId="0" quotePrefix="1" applyNumberFormat="1" applyFont="1" applyAlignment="1" applyProtection="1">
      <alignment horizontal="left"/>
      <protection locked="0"/>
    </xf>
    <xf numFmtId="164" fontId="54" fillId="0" borderId="0" xfId="0" quotePrefix="1" applyNumberFormat="1" applyFont="1" applyFill="1" applyAlignment="1">
      <alignment horizontal="left"/>
    </xf>
    <xf numFmtId="3" fontId="55" fillId="0" borderId="0" xfId="0" applyNumberFormat="1" applyFont="1" applyFill="1" applyAlignment="1">
      <alignment horizontal="center"/>
    </xf>
    <xf numFmtId="164" fontId="54" fillId="0" borderId="0" xfId="0" applyNumberFormat="1" applyFont="1" applyAlignment="1">
      <alignment horizontal="center"/>
    </xf>
    <xf numFmtId="172" fontId="62" fillId="0" borderId="0" xfId="0" applyNumberFormat="1" applyFont="1" applyFill="1" applyAlignment="1"/>
    <xf numFmtId="164" fontId="54" fillId="0" borderId="0" xfId="0" quotePrefix="1" applyNumberFormat="1" applyFont="1" applyAlignment="1">
      <alignment horizontal="left"/>
    </xf>
    <xf numFmtId="1" fontId="54" fillId="0" borderId="0" xfId="0" applyNumberFormat="1" applyFont="1" applyFill="1" applyProtection="1"/>
    <xf numFmtId="1" fontId="54" fillId="0" borderId="0" xfId="0" applyNumberFormat="1" applyFont="1" applyFill="1" applyAlignment="1" applyProtection="1"/>
    <xf numFmtId="164" fontId="62" fillId="0" borderId="0" xfId="0" applyNumberFormat="1" applyFont="1" applyAlignment="1"/>
    <xf numFmtId="3" fontId="54" fillId="0" borderId="0" xfId="0" applyNumberFormat="1" applyFont="1" applyFill="1" applyAlignment="1" applyProtection="1">
      <alignment horizontal="right"/>
      <protection locked="0"/>
    </xf>
    <xf numFmtId="3" fontId="56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center"/>
    </xf>
    <xf numFmtId="0" fontId="55" fillId="0" borderId="0" xfId="0" applyNumberFormat="1" applyFont="1" applyAlignment="1" applyProtection="1">
      <alignment horizontal="center"/>
      <protection locked="0"/>
    </xf>
    <xf numFmtId="3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3" fontId="55" fillId="0" borderId="0" xfId="0" applyNumberFormat="1" applyFont="1" applyAlignment="1"/>
    <xf numFmtId="0" fontId="55" fillId="0" borderId="0" xfId="0" quotePrefix="1" applyNumberFormat="1" applyFont="1" applyAlignment="1" applyProtection="1">
      <alignment horizontal="centerContinuous"/>
      <protection locked="0"/>
    </xf>
    <xf numFmtId="164" fontId="54" fillId="0" borderId="0" xfId="0" applyNumberFormat="1" applyFont="1" applyAlignment="1">
      <alignment horizontal="centerContinuous"/>
    </xf>
    <xf numFmtId="0" fontId="61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Protection="1">
      <protection locked="0"/>
    </xf>
    <xf numFmtId="0" fontId="68" fillId="0" borderId="0" xfId="0" applyNumberFormat="1" applyFont="1" applyAlignment="1">
      <alignment horizontal="center"/>
    </xf>
    <xf numFmtId="3" fontId="68" fillId="0" borderId="0" xfId="0" applyNumberFormat="1" applyFont="1" applyAlignment="1"/>
    <xf numFmtId="0" fontId="55" fillId="0" borderId="0" xfId="0" applyNumberFormat="1" applyFont="1" applyAlignment="1">
      <alignment horizontal="center"/>
    </xf>
    <xf numFmtId="8" fontId="54" fillId="0" borderId="0" xfId="0" applyNumberFormat="1" applyFont="1" applyFill="1" applyAlignment="1"/>
    <xf numFmtId="164" fontId="54" fillId="0" borderId="0" xfId="0" applyNumberFormat="1" applyFont="1" applyFill="1" applyAlignment="1">
      <alignment horizontal="left"/>
    </xf>
    <xf numFmtId="3" fontId="58" fillId="0" borderId="0" xfId="0" quotePrefix="1" applyNumberFormat="1" applyFont="1" applyAlignment="1" applyProtection="1">
      <alignment horizontal="left"/>
    </xf>
    <xf numFmtId="173" fontId="54" fillId="0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fill"/>
    </xf>
    <xf numFmtId="175" fontId="54" fillId="0" borderId="0" xfId="1" applyNumberFormat="1" applyFont="1" applyBorder="1" applyAlignment="1"/>
    <xf numFmtId="9" fontId="54" fillId="0" borderId="0" xfId="3" applyFont="1" applyAlignment="1"/>
    <xf numFmtId="171" fontId="54" fillId="0" borderId="0" xfId="0" quotePrefix="1" applyNumberFormat="1" applyFont="1" applyAlignment="1">
      <alignment horizontal="left"/>
    </xf>
    <xf numFmtId="3" fontId="54" fillId="0" borderId="0" xfId="0" applyNumberFormat="1" applyFont="1" applyFill="1" applyAlignment="1">
      <alignment horizontal="right"/>
    </xf>
    <xf numFmtId="3" fontId="54" fillId="0" borderId="0" xfId="0" applyNumberFormat="1" applyFont="1" applyAlignment="1">
      <alignment horizontal="left"/>
    </xf>
    <xf numFmtId="171" fontId="54" fillId="0" borderId="0" xfId="0" applyNumberFormat="1" applyFont="1" applyAlignment="1" applyProtection="1">
      <alignment horizontal="left"/>
      <protection locked="0"/>
    </xf>
    <xf numFmtId="0" fontId="66" fillId="0" borderId="0" xfId="0" quotePrefix="1" applyNumberFormat="1" applyFont="1" applyFill="1" applyAlignment="1" applyProtection="1">
      <alignment horizontal="left"/>
    </xf>
    <xf numFmtId="0" fontId="54" fillId="0" borderId="0" xfId="0" quotePrefix="1" applyNumberFormat="1" applyFont="1" applyFill="1" applyAlignment="1" applyProtection="1">
      <alignment horizontal="right"/>
    </xf>
    <xf numFmtId="0" fontId="54" fillId="0" borderId="0" xfId="0" quotePrefix="1" applyNumberFormat="1" applyFont="1" applyAlignment="1" applyProtection="1">
      <alignment horizontal="left" indent="1"/>
    </xf>
    <xf numFmtId="0" fontId="54" fillId="0" borderId="0" xfId="0" applyNumberFormat="1" applyFont="1" applyAlignment="1" applyProtection="1">
      <alignment horizontal="left" indent="1"/>
    </xf>
    <xf numFmtId="0" fontId="54" fillId="0" borderId="0" xfId="0" quotePrefix="1" applyNumberFormat="1" applyFont="1" applyAlignment="1" applyProtection="1">
      <alignment horizontal="right"/>
      <protection locked="0"/>
    </xf>
    <xf numFmtId="3" fontId="58" fillId="0" borderId="0" xfId="0" applyNumberFormat="1" applyFont="1" applyAlignment="1" applyProtection="1"/>
    <xf numFmtId="164" fontId="58" fillId="0" borderId="0" xfId="0" quotePrefix="1" applyNumberFormat="1" applyFont="1" applyAlignment="1" applyProtection="1">
      <alignment horizontal="left"/>
    </xf>
    <xf numFmtId="164" fontId="58" fillId="0" borderId="0" xfId="0" applyNumberFormat="1" applyFont="1" applyAlignment="1" applyProtection="1"/>
    <xf numFmtId="3" fontId="58" fillId="0" borderId="0" xfId="0" quotePrefix="1" applyNumberFormat="1" applyFont="1" applyFill="1" applyAlignment="1" applyProtection="1">
      <alignment horizontal="left"/>
    </xf>
    <xf numFmtId="0" fontId="58" fillId="0" borderId="0" xfId="0" applyNumberFormat="1" applyFont="1" applyFill="1" applyProtection="1"/>
    <xf numFmtId="0" fontId="58" fillId="0" borderId="0" xfId="0" quotePrefix="1" applyNumberFormat="1" applyFont="1" applyFill="1" applyAlignment="1" applyProtection="1">
      <alignment horizontal="left"/>
    </xf>
    <xf numFmtId="3" fontId="58" fillId="0" borderId="0" xfId="0" applyNumberFormat="1" applyFont="1" applyFill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Alignment="1" applyProtection="1">
      <alignment horizontal="right"/>
    </xf>
    <xf numFmtId="0" fontId="54" fillId="0" borderId="0" xfId="0" applyNumberFormat="1" applyFont="1" applyAlignment="1">
      <alignment horizontal="right"/>
    </xf>
    <xf numFmtId="164" fontId="55" fillId="0" borderId="0" xfId="0" applyNumberFormat="1" applyFont="1" applyFill="1" applyAlignment="1" applyProtection="1">
      <alignment horizontal="centerContinuous"/>
    </xf>
    <xf numFmtId="164" fontId="54" fillId="0" borderId="0" xfId="0" applyNumberFormat="1" applyFont="1" applyFill="1" applyAlignment="1" applyProtection="1">
      <alignment horizontal="centerContinuous"/>
    </xf>
    <xf numFmtId="0" fontId="54" fillId="0" borderId="0" xfId="0" applyNumberFormat="1" applyFont="1" applyFill="1" applyAlignment="1" applyProtection="1">
      <alignment horizontal="centerContinuous"/>
    </xf>
    <xf numFmtId="3" fontId="54" fillId="0" borderId="0" xfId="0" applyNumberFormat="1" applyFont="1" applyFill="1" applyAlignment="1" applyProtection="1">
      <alignment horizontal="centerContinuous"/>
    </xf>
    <xf numFmtId="3" fontId="54" fillId="0" borderId="0" xfId="0" applyNumberFormat="1" applyFont="1" applyAlignment="1">
      <alignment horizontal="centerContinuous"/>
    </xf>
    <xf numFmtId="0" fontId="54" fillId="0" borderId="0" xfId="0" quotePrefix="1" applyNumberFormat="1" applyFont="1" applyFill="1" applyAlignment="1">
      <alignment horizontal="left"/>
    </xf>
    <xf numFmtId="0" fontId="54" fillId="0" borderId="1" xfId="0" quotePrefix="1" applyNumberFormat="1" applyFont="1" applyFill="1" applyBorder="1" applyAlignment="1" applyProtection="1">
      <alignment horizontal="left"/>
      <protection locked="0"/>
    </xf>
    <xf numFmtId="0" fontId="54" fillId="0" borderId="3" xfId="0" applyNumberFormat="1" applyFont="1" applyBorder="1" applyAlignment="1" applyProtection="1">
      <protection locked="0"/>
    </xf>
    <xf numFmtId="0" fontId="54" fillId="0" borderId="0" xfId="0" applyNumberFormat="1" applyFont="1" applyFill="1" applyAlignment="1" applyProtection="1">
      <alignment horizontal="left"/>
      <protection locked="0"/>
    </xf>
    <xf numFmtId="0" fontId="64" fillId="0" borderId="0" xfId="0" quotePrefix="1" applyNumberFormat="1" applyFont="1" applyAlignment="1">
      <alignment horizontal="left"/>
    </xf>
    <xf numFmtId="3" fontId="61" fillId="0" borderId="0" xfId="0" applyNumberFormat="1" applyFont="1" applyFill="1" applyProtection="1"/>
    <xf numFmtId="0" fontId="54" fillId="0" borderId="0" xfId="0" quotePrefix="1" applyNumberFormat="1" applyFont="1" applyFill="1" applyAlignment="1">
      <alignment horizontal="left" wrapText="1"/>
    </xf>
    <xf numFmtId="10" fontId="72" fillId="0" borderId="0" xfId="3" applyNumberFormat="1" applyFont="1" applyFill="1" applyBorder="1"/>
    <xf numFmtId="10" fontId="72" fillId="0" borderId="0" xfId="3" applyNumberFormat="1" applyFont="1" applyFill="1" applyBorder="1" applyAlignment="1">
      <alignment horizontal="right"/>
    </xf>
    <xf numFmtId="10" fontId="60" fillId="0" borderId="0" xfId="3" applyNumberFormat="1" applyFont="1"/>
    <xf numFmtId="0" fontId="58" fillId="0" borderId="0" xfId="0" quotePrefix="1" applyNumberFormat="1" applyFont="1" applyFill="1" applyBorder="1" applyAlignment="1" applyProtection="1">
      <alignment horizontal="left"/>
    </xf>
    <xf numFmtId="185" fontId="54" fillId="0" borderId="0" xfId="2" applyNumberFormat="1" applyFont="1" applyFill="1" applyBorder="1" applyProtection="1"/>
    <xf numFmtId="0" fontId="54" fillId="0" borderId="0" xfId="0" quotePrefix="1" applyNumberFormat="1" applyFont="1" applyAlignment="1">
      <alignment horizontal="left" indent="3"/>
    </xf>
    <xf numFmtId="171" fontId="54" fillId="0" borderId="0" xfId="0" quotePrefix="1" applyNumberFormat="1" applyFont="1" applyAlignment="1">
      <alignment horizontal="left" indent="1"/>
    </xf>
    <xf numFmtId="164" fontId="54" fillId="0" borderId="0" xfId="0" quotePrefix="1" applyNumberFormat="1" applyFont="1" applyAlignment="1">
      <alignment horizontal="left" indent="1"/>
    </xf>
    <xf numFmtId="3" fontId="54" fillId="0" borderId="0" xfId="0" quotePrefix="1" applyNumberFormat="1" applyFont="1" applyAlignment="1">
      <alignment horizontal="left" indent="2"/>
    </xf>
    <xf numFmtId="3" fontId="54" fillId="0" borderId="0" xfId="0" quotePrefix="1" applyNumberFormat="1" applyFont="1" applyAlignment="1">
      <alignment horizontal="left" indent="1"/>
    </xf>
    <xf numFmtId="0" fontId="54" fillId="0" borderId="0" xfId="0" quotePrefix="1" applyNumberFormat="1" applyFont="1" applyFill="1" applyAlignment="1" applyProtection="1">
      <alignment horizontal="right"/>
      <protection locked="0"/>
    </xf>
    <xf numFmtId="3" fontId="54" fillId="0" borderId="0" xfId="0" quotePrefix="1" applyNumberFormat="1" applyFont="1" applyFill="1" applyAlignment="1" applyProtection="1"/>
    <xf numFmtId="167" fontId="54" fillId="0" borderId="0" xfId="0" applyNumberFormat="1" applyFont="1" applyFill="1" applyAlignment="1" applyProtection="1">
      <alignment horizontal="centerContinuous"/>
    </xf>
    <xf numFmtId="0" fontId="54" fillId="0" borderId="0" xfId="0" applyNumberFormat="1" applyFont="1" applyAlignment="1">
      <alignment horizontal="centerContinuous"/>
    </xf>
    <xf numFmtId="49" fontId="55" fillId="0" borderId="0" xfId="0" quotePrefix="1" applyNumberFormat="1" applyFont="1" applyFill="1" applyAlignment="1" applyProtection="1">
      <alignment horizontal="centerContinuous"/>
    </xf>
    <xf numFmtId="0" fontId="55" fillId="0" borderId="0" xfId="0" applyNumberFormat="1" applyFont="1" applyFill="1" applyAlignment="1" applyProtection="1">
      <alignment horizontal="centerContinuous"/>
    </xf>
    <xf numFmtId="0" fontId="55" fillId="0" borderId="0" xfId="0" applyNumberFormat="1" applyFont="1" applyAlignment="1">
      <alignment horizontal="centerContinuous"/>
    </xf>
    <xf numFmtId="0" fontId="54" fillId="0" borderId="0" xfId="0" quotePrefix="1" applyNumberFormat="1" applyFont="1" applyAlignment="1">
      <alignment horizontal="left" indent="1"/>
    </xf>
    <xf numFmtId="0" fontId="54" fillId="0" borderId="0" xfId="0" quotePrefix="1" applyNumberFormat="1" applyFont="1" applyAlignment="1">
      <alignment horizontal="left" indent="2"/>
    </xf>
    <xf numFmtId="164" fontId="64" fillId="0" borderId="0" xfId="0" quotePrefix="1" applyNumberFormat="1" applyFont="1" applyAlignment="1">
      <alignment horizontal="left"/>
    </xf>
    <xf numFmtId="0" fontId="54" fillId="0" borderId="0" xfId="0" applyNumberFormat="1" applyFont="1" applyAlignment="1" applyProtection="1">
      <alignment horizontal="center" vertical="center"/>
      <protection locked="0"/>
    </xf>
    <xf numFmtId="164" fontId="54" fillId="0" borderId="3" xfId="0" quotePrefix="1" applyNumberFormat="1" applyFont="1" applyBorder="1" applyAlignment="1">
      <alignment horizontal="left"/>
    </xf>
    <xf numFmtId="43" fontId="54" fillId="0" borderId="0" xfId="1" applyFont="1" applyFill="1" applyAlignment="1"/>
    <xf numFmtId="37" fontId="68" fillId="0" borderId="0" xfId="0" applyFont="1"/>
    <xf numFmtId="37" fontId="54" fillId="0" borderId="0" xfId="0" applyFont="1"/>
    <xf numFmtId="37" fontId="54" fillId="0" borderId="0" xfId="0" applyFont="1" applyFill="1"/>
    <xf numFmtId="37" fontId="55" fillId="0" borderId="0" xfId="0" applyFont="1" applyFill="1" applyAlignment="1">
      <alignment horizontal="center"/>
    </xf>
    <xf numFmtId="15" fontId="55" fillId="0" borderId="3" xfId="3" applyNumberFormat="1" applyFont="1" applyFill="1" applyBorder="1" applyAlignment="1">
      <alignment horizontal="center"/>
    </xf>
    <xf numFmtId="37" fontId="54" fillId="0" borderId="0" xfId="0" quotePrefix="1" applyFont="1" applyFill="1" applyBorder="1" applyAlignment="1">
      <alignment horizontal="center"/>
    </xf>
    <xf numFmtId="15" fontId="55" fillId="0" borderId="0" xfId="3" applyNumberFormat="1" applyFont="1" applyFill="1" applyBorder="1" applyAlignment="1">
      <alignment horizontal="center"/>
    </xf>
    <xf numFmtId="37" fontId="55" fillId="0" borderId="0" xfId="0" applyFont="1" applyFill="1"/>
    <xf numFmtId="10" fontId="54" fillId="0" borderId="0" xfId="3" applyNumberFormat="1" applyFont="1" applyFill="1"/>
    <xf numFmtId="37" fontId="54" fillId="0" borderId="0" xfId="0" quotePrefix="1" applyFont="1" applyFill="1" applyAlignment="1">
      <alignment horizontal="left"/>
    </xf>
    <xf numFmtId="10" fontId="54" fillId="0" borderId="0" xfId="3" applyNumberFormat="1" applyFont="1" applyFill="1" applyBorder="1"/>
    <xf numFmtId="43" fontId="54" fillId="0" borderId="0" xfId="1" applyFont="1" applyFill="1" applyAlignment="1">
      <alignment horizontal="left" indent="2"/>
    </xf>
    <xf numFmtId="43" fontId="55" fillId="0" borderId="0" xfId="1" quotePrefix="1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/>
    </xf>
    <xf numFmtId="37" fontId="55" fillId="0" borderId="0" xfId="0" quotePrefix="1" applyFont="1" applyFill="1" applyAlignment="1">
      <alignment horizontal="left"/>
    </xf>
    <xf numFmtId="43" fontId="55" fillId="0" borderId="0" xfId="1" applyFont="1" applyFill="1" applyAlignment="1">
      <alignment horizontal="left" indent="2"/>
    </xf>
    <xf numFmtId="10" fontId="54" fillId="0" borderId="0" xfId="1" applyNumberFormat="1" applyFont="1" applyFill="1" applyAlignment="1" applyProtection="1">
      <alignment horizontal="left" indent="2"/>
    </xf>
    <xf numFmtId="43" fontId="54" fillId="0" borderId="0" xfId="1" quotePrefix="1" applyFont="1" applyFill="1" applyAlignment="1">
      <alignment horizontal="left"/>
    </xf>
    <xf numFmtId="10" fontId="54" fillId="0" borderId="0" xfId="1" applyNumberFormat="1" applyFont="1" applyFill="1" applyAlignment="1">
      <alignment horizontal="center"/>
    </xf>
    <xf numFmtId="10" fontId="54" fillId="0" borderId="0" xfId="1" applyNumberFormat="1" applyFont="1" applyFill="1" applyAlignment="1" applyProtection="1">
      <alignment horizontal="center"/>
    </xf>
    <xf numFmtId="37" fontId="58" fillId="0" borderId="0" xfId="0" quotePrefix="1" applyFont="1" applyAlignment="1">
      <alignment horizontal="left"/>
    </xf>
    <xf numFmtId="0" fontId="64" fillId="0" borderId="0" xfId="0" quotePrefix="1" applyNumberFormat="1" applyFont="1" applyAlignment="1" applyProtection="1">
      <alignment horizontal="left"/>
      <protection locked="0"/>
    </xf>
    <xf numFmtId="37" fontId="58" fillId="0" borderId="0" xfId="0" quotePrefix="1" applyFont="1" applyAlignment="1" applyProtection="1">
      <alignment horizontal="left" wrapText="1"/>
    </xf>
    <xf numFmtId="37" fontId="58" fillId="35" borderId="0" xfId="0" applyFont="1" applyFill="1" applyProtection="1"/>
    <xf numFmtId="37" fontId="58" fillId="37" borderId="0" xfId="0" applyFont="1" applyFill="1" applyProtection="1">
      <protection locked="0"/>
    </xf>
    <xf numFmtId="37" fontId="58" fillId="0" borderId="0" xfId="0" quotePrefix="1" applyFont="1" applyAlignment="1" applyProtection="1">
      <alignment horizontal="left"/>
    </xf>
    <xf numFmtId="37" fontId="58" fillId="0" borderId="0" xfId="0" applyFont="1" applyFill="1" applyProtection="1">
      <protection locked="0"/>
    </xf>
    <xf numFmtId="37" fontId="58" fillId="0" borderId="0" xfId="0" applyFont="1" applyAlignment="1" applyProtection="1">
      <alignment horizontal="left"/>
    </xf>
    <xf numFmtId="37" fontId="58" fillId="0" borderId="0" xfId="0" quotePrefix="1" applyFont="1" applyFill="1" applyAlignment="1" applyProtection="1">
      <alignment horizontal="left"/>
    </xf>
    <xf numFmtId="37" fontId="58" fillId="0" borderId="0" xfId="0" applyFont="1" applyFill="1" applyProtection="1"/>
    <xf numFmtId="37" fontId="74" fillId="0" borderId="0" xfId="0" applyFont="1" applyProtection="1"/>
    <xf numFmtId="0" fontId="58" fillId="0" borderId="0" xfId="0" applyNumberFormat="1" applyFont="1" applyAlignment="1" applyProtection="1"/>
    <xf numFmtId="0" fontId="58" fillId="0" borderId="0" xfId="0" applyNumberFormat="1" applyFont="1" applyAlignment="1" applyProtection="1">
      <alignment horizontal="left" indent="1"/>
    </xf>
    <xf numFmtId="0" fontId="58" fillId="0" borderId="0" xfId="0" quotePrefix="1" applyNumberFormat="1" applyFont="1" applyAlignment="1" applyProtection="1">
      <alignment horizontal="left" indent="1"/>
    </xf>
    <xf numFmtId="9" fontId="58" fillId="0" borderId="0" xfId="3" applyFont="1" applyProtection="1"/>
    <xf numFmtId="3" fontId="58" fillId="0" borderId="0" xfId="0" applyNumberFormat="1" applyFont="1" applyAlignment="1" applyProtection="1">
      <alignment horizontal="left"/>
    </xf>
    <xf numFmtId="0" fontId="58" fillId="0" borderId="0" xfId="0" quotePrefix="1" applyNumberFormat="1" applyFont="1" applyAlignment="1" applyProtection="1">
      <alignment horizontal="left"/>
    </xf>
    <xf numFmtId="37" fontId="58" fillId="0" borderId="0" xfId="0" applyFont="1" applyAlignment="1" applyProtection="1">
      <alignment horizontal="left" indent="1"/>
    </xf>
    <xf numFmtId="171" fontId="58" fillId="0" borderId="0" xfId="3" applyNumberFormat="1" applyFont="1" applyProtection="1"/>
    <xf numFmtId="189" fontId="58" fillId="0" borderId="0" xfId="3" applyNumberFormat="1" applyFont="1" applyProtection="1"/>
    <xf numFmtId="37" fontId="58" fillId="0" borderId="0" xfId="0" quotePrefix="1" applyFont="1" applyAlignment="1" applyProtection="1">
      <alignment horizontal="left" indent="1"/>
    </xf>
    <xf numFmtId="37" fontId="58" fillId="0" borderId="0" xfId="0" quotePrefix="1" applyFont="1" applyAlignment="1" applyProtection="1">
      <alignment horizontal="right"/>
    </xf>
    <xf numFmtId="37" fontId="74" fillId="0" borderId="0" xfId="0" quotePrefix="1" applyFont="1" applyAlignment="1" applyProtection="1">
      <alignment horizontal="left"/>
    </xf>
    <xf numFmtId="0" fontId="58" fillId="0" borderId="0" xfId="0" quotePrefix="1" applyNumberFormat="1" applyFont="1" applyFill="1" applyAlignment="1" applyProtection="1">
      <alignment horizontal="left" wrapText="1"/>
    </xf>
    <xf numFmtId="164" fontId="58" fillId="0" borderId="0" xfId="0" quotePrefix="1" applyNumberFormat="1" applyFont="1" applyFill="1" applyAlignment="1" applyProtection="1">
      <alignment horizontal="left"/>
    </xf>
    <xf numFmtId="0" fontId="58" fillId="0" borderId="0" xfId="0" quotePrefix="1" applyNumberFormat="1" applyFont="1" applyFill="1" applyAlignment="1" applyProtection="1">
      <alignment horizontal="left" wrapText="1" indent="1"/>
    </xf>
    <xf numFmtId="3" fontId="58" fillId="0" borderId="0" xfId="0" quotePrefix="1" applyNumberFormat="1" applyFont="1" applyFill="1" applyAlignment="1" applyProtection="1">
      <alignment horizontal="left" wrapText="1"/>
    </xf>
    <xf numFmtId="3" fontId="58" fillId="0" borderId="0" xfId="0" applyNumberFormat="1" applyFont="1" applyAlignment="1" applyProtection="1">
      <alignment horizontal="left" indent="2"/>
    </xf>
    <xf numFmtId="3" fontId="58" fillId="0" borderId="0" xfId="0" applyNumberFormat="1" applyFont="1" applyAlignment="1" applyProtection="1">
      <alignment horizontal="left" indent="1"/>
    </xf>
    <xf numFmtId="0" fontId="58" fillId="0" borderId="0" xfId="0" quotePrefix="1" applyNumberFormat="1" applyFont="1" applyAlignment="1" applyProtection="1">
      <alignment horizontal="left" indent="2"/>
    </xf>
    <xf numFmtId="0" fontId="58" fillId="0" borderId="0" xfId="0" applyNumberFormat="1" applyFont="1" applyAlignment="1" applyProtection="1">
      <alignment horizontal="left" indent="3"/>
    </xf>
    <xf numFmtId="37" fontId="58" fillId="0" borderId="0" xfId="0" applyFont="1" applyAlignment="1" applyProtection="1">
      <alignment horizontal="left" indent="3"/>
    </xf>
    <xf numFmtId="37" fontId="58" fillId="0" borderId="0" xfId="0" quotePrefix="1" applyFont="1" applyAlignment="1" applyProtection="1">
      <alignment horizontal="left" indent="2"/>
    </xf>
    <xf numFmtId="164" fontId="58" fillId="0" borderId="0" xfId="0" applyNumberFormat="1" applyFont="1" applyAlignment="1" applyProtection="1">
      <alignment horizontal="left"/>
    </xf>
    <xf numFmtId="3" fontId="56" fillId="0" borderId="0" xfId="0" applyNumberFormat="1" applyFont="1" applyAlignment="1" applyProtection="1">
      <alignment horizontal="center"/>
    </xf>
    <xf numFmtId="3" fontId="58" fillId="0" borderId="0" xfId="0" quotePrefix="1" applyNumberFormat="1" applyFont="1" applyFill="1" applyBorder="1" applyAlignment="1" applyProtection="1">
      <alignment horizontal="left"/>
    </xf>
    <xf numFmtId="0" fontId="58" fillId="0" borderId="0" xfId="0" applyNumberFormat="1" applyFont="1" applyBorder="1" applyAlignment="1" applyProtection="1"/>
    <xf numFmtId="3" fontId="58" fillId="0" borderId="0" xfId="0" quotePrefix="1" applyNumberFormat="1" applyFont="1" applyBorder="1" applyAlignment="1" applyProtection="1">
      <alignment horizontal="left"/>
    </xf>
    <xf numFmtId="3" fontId="58" fillId="0" borderId="0" xfId="0" quotePrefix="1" applyNumberFormat="1" applyFont="1" applyAlignment="1" applyProtection="1">
      <alignment horizontal="left" indent="1"/>
    </xf>
    <xf numFmtId="37" fontId="58" fillId="0" borderId="0" xfId="0" applyFont="1" applyAlignment="1" applyProtection="1">
      <alignment horizontal="left" wrapText="1" indent="1"/>
    </xf>
    <xf numFmtId="175" fontId="58" fillId="0" borderId="0" xfId="1" applyNumberFormat="1" applyFont="1" applyFill="1" applyProtection="1"/>
    <xf numFmtId="37" fontId="75" fillId="39" borderId="23" xfId="0" applyFont="1" applyFill="1" applyBorder="1" applyAlignment="1">
      <alignment horizontal="left" vertical="center" readingOrder="1"/>
    </xf>
    <xf numFmtId="37" fontId="75" fillId="39" borderId="23" xfId="0" applyFont="1" applyFill="1" applyBorder="1" applyAlignment="1">
      <alignment horizontal="center" vertical="center" readingOrder="1"/>
    </xf>
    <xf numFmtId="37" fontId="77" fillId="0" borderId="23" xfId="0" applyFont="1" applyBorder="1" applyAlignment="1">
      <alignment horizontal="left" vertical="top" readingOrder="1"/>
    </xf>
    <xf numFmtId="37" fontId="77" fillId="0" borderId="23" xfId="0" applyFont="1" applyBorder="1" applyAlignment="1">
      <alignment horizontal="center" vertical="center" readingOrder="1"/>
    </xf>
    <xf numFmtId="8" fontId="78" fillId="0" borderId="23" xfId="0" applyNumberFormat="1" applyFont="1" applyBorder="1" applyAlignment="1">
      <alignment horizontal="center" vertical="center" readingOrder="1"/>
    </xf>
    <xf numFmtId="6" fontId="78" fillId="0" borderId="23" xfId="0" applyNumberFormat="1" applyFont="1" applyBorder="1" applyAlignment="1">
      <alignment horizontal="center" vertical="center" readingOrder="1"/>
    </xf>
    <xf numFmtId="192" fontId="78" fillId="0" borderId="23" xfId="0" applyNumberFormat="1" applyFont="1" applyBorder="1" applyAlignment="1">
      <alignment horizontal="center" vertical="center" readingOrder="1"/>
    </xf>
    <xf numFmtId="43" fontId="58" fillId="0" borderId="0" xfId="154" applyFont="1" applyProtection="1"/>
    <xf numFmtId="0" fontId="79" fillId="0" borderId="0" xfId="153" applyFont="1" applyProtection="1"/>
    <xf numFmtId="43" fontId="80" fillId="0" borderId="0" xfId="154" applyFont="1" applyAlignment="1" applyProtection="1">
      <alignment horizontal="center"/>
    </xf>
    <xf numFmtId="43" fontId="79" fillId="0" borderId="0" xfId="154" applyFont="1" applyProtection="1"/>
    <xf numFmtId="0" fontId="79" fillId="0" borderId="0" xfId="153" applyFont="1" applyFill="1" applyProtection="1"/>
    <xf numFmtId="43" fontId="80" fillId="0" borderId="0" xfId="154" applyFont="1" applyBorder="1" applyAlignment="1" applyProtection="1">
      <alignment horizontal="center"/>
    </xf>
    <xf numFmtId="43" fontId="58" fillId="0" borderId="0" xfId="154" applyFont="1" applyAlignment="1" applyProtection="1">
      <alignment horizontal="center"/>
    </xf>
    <xf numFmtId="43" fontId="58" fillId="0" borderId="0" xfId="154" quotePrefix="1" applyFont="1" applyAlignment="1" applyProtection="1">
      <alignment horizontal="left"/>
    </xf>
    <xf numFmtId="0" fontId="58" fillId="0" borderId="0" xfId="155" quotePrefix="1" applyFont="1" applyBorder="1" applyAlignment="1" applyProtection="1">
      <alignment horizontal="left"/>
    </xf>
    <xf numFmtId="0" fontId="80" fillId="0" borderId="0" xfId="155" applyFont="1" applyBorder="1" applyAlignment="1" applyProtection="1">
      <alignment horizontal="center"/>
    </xf>
    <xf numFmtId="0" fontId="79" fillId="0" borderId="0" xfId="153" applyFont="1" applyBorder="1" applyProtection="1"/>
    <xf numFmtId="0" fontId="80" fillId="0" borderId="0" xfId="155" quotePrefix="1" applyFont="1" applyBorder="1" applyAlignment="1" applyProtection="1">
      <alignment horizontal="center"/>
    </xf>
    <xf numFmtId="0" fontId="58" fillId="0" borderId="0" xfId="155" applyFont="1" applyBorder="1" applyAlignment="1" applyProtection="1">
      <alignment horizontal="left"/>
    </xf>
    <xf numFmtId="0" fontId="58" fillId="0" borderId="0" xfId="155" applyFont="1" applyBorder="1" applyProtection="1"/>
    <xf numFmtId="43" fontId="58" fillId="0" borderId="0" xfId="155" applyNumberFormat="1" applyFont="1" applyBorder="1" applyProtection="1"/>
    <xf numFmtId="43" fontId="81" fillId="0" borderId="0" xfId="155" applyNumberFormat="1" applyFont="1" applyBorder="1" applyAlignment="1" applyProtection="1">
      <alignment horizontal="center"/>
    </xf>
    <xf numFmtId="43" fontId="79" fillId="0" borderId="0" xfId="154" applyFont="1" applyBorder="1" applyProtection="1"/>
    <xf numFmtId="0" fontId="80" fillId="0" borderId="0" xfId="155" applyFont="1" applyBorder="1" applyProtection="1"/>
    <xf numFmtId="184" fontId="54" fillId="0" borderId="0" xfId="1" applyNumberFormat="1" applyFont="1" applyFill="1" applyBorder="1" applyAlignment="1" applyProtection="1">
      <alignment horizontal="center"/>
    </xf>
    <xf numFmtId="184" fontId="54" fillId="0" borderId="0" xfId="1" applyNumberFormat="1" applyFont="1" applyFill="1" applyBorder="1" applyAlignment="1" applyProtection="1">
      <alignment horizontal="left"/>
    </xf>
    <xf numFmtId="184" fontId="62" fillId="0" borderId="0" xfId="1" applyNumberFormat="1" applyFont="1" applyFill="1" applyBorder="1" applyAlignment="1" applyProtection="1">
      <alignment horizontal="right"/>
    </xf>
    <xf numFmtId="191" fontId="76" fillId="39" borderId="23" xfId="0" applyNumberFormat="1" applyFont="1" applyFill="1" applyBorder="1" applyAlignment="1">
      <alignment horizontal="center" vertical="center" wrapText="1" readingOrder="1"/>
    </xf>
    <xf numFmtId="37" fontId="61" fillId="0" borderId="0" xfId="156" applyFont="1"/>
    <xf numFmtId="37" fontId="61" fillId="0" borderId="0" xfId="0" applyFont="1" applyAlignment="1">
      <alignment horizontal="center" wrapText="1"/>
    </xf>
    <xf numFmtId="37" fontId="61" fillId="0" borderId="0" xfId="0" applyFont="1" applyAlignment="1">
      <alignment horizontal="center"/>
    </xf>
    <xf numFmtId="37" fontId="61" fillId="0" borderId="0" xfId="0" applyFont="1"/>
    <xf numFmtId="37" fontId="61" fillId="0" borderId="0" xfId="156" quotePrefix="1" applyFont="1" applyAlignment="1">
      <alignment horizontal="left"/>
    </xf>
    <xf numFmtId="37" fontId="61" fillId="0" borderId="0" xfId="0" applyFont="1" applyFill="1" applyAlignment="1">
      <alignment horizontal="center"/>
    </xf>
    <xf numFmtId="37" fontId="82" fillId="0" borderId="0" xfId="0" applyFont="1" applyAlignment="1">
      <alignment horizontal="center" wrapText="1"/>
    </xf>
    <xf numFmtId="37" fontId="82" fillId="0" borderId="0" xfId="0" applyFont="1" applyAlignment="1">
      <alignment horizontal="center"/>
    </xf>
    <xf numFmtId="37" fontId="61" fillId="0" borderId="0" xfId="0" applyFont="1" applyFill="1"/>
    <xf numFmtId="37" fontId="61" fillId="0" borderId="0" xfId="0" applyFont="1" applyAlignment="1">
      <alignment wrapText="1"/>
    </xf>
    <xf numFmtId="37" fontId="61" fillId="0" borderId="0" xfId="156" quotePrefix="1" applyFont="1"/>
    <xf numFmtId="37" fontId="61" fillId="0" borderId="0" xfId="0" quotePrefix="1" applyFont="1" applyAlignment="1">
      <alignment horizontal="center"/>
    </xf>
    <xf numFmtId="175" fontId="61" fillId="0" borderId="0" xfId="1" applyNumberFormat="1" applyFont="1"/>
    <xf numFmtId="37" fontId="61" fillId="0" borderId="0" xfId="0" applyFont="1" applyAlignment="1">
      <alignment horizontal="left" wrapText="1" indent="1"/>
    </xf>
    <xf numFmtId="37" fontId="61" fillId="0" borderId="0" xfId="0" applyFont="1" applyFill="1" applyAlignment="1">
      <alignment horizontal="left" wrapText="1" indent="1"/>
    </xf>
    <xf numFmtId="175" fontId="61" fillId="0" borderId="0" xfId="1" applyNumberFormat="1" applyFont="1" applyFill="1"/>
    <xf numFmtId="175" fontId="61" fillId="0" borderId="0" xfId="0" applyNumberFormat="1" applyFont="1"/>
    <xf numFmtId="37" fontId="61" fillId="0" borderId="0" xfId="0" quotePrefix="1" applyFont="1" applyFill="1" applyAlignment="1">
      <alignment horizontal="left" wrapText="1" indent="1"/>
    </xf>
    <xf numFmtId="37" fontId="61" fillId="0" borderId="0" xfId="0" quotePrefix="1" applyFont="1" applyFill="1" applyAlignment="1">
      <alignment horizontal="center"/>
    </xf>
    <xf numFmtId="37" fontId="61" fillId="0" borderId="0" xfId="0" applyFont="1" applyFill="1" applyAlignment="1">
      <alignment horizontal="left"/>
    </xf>
    <xf numFmtId="37" fontId="61" fillId="0" borderId="0" xfId="0" applyFont="1" applyFill="1" applyBorder="1" applyAlignment="1">
      <alignment horizontal="left" wrapText="1" indent="1"/>
    </xf>
    <xf numFmtId="37" fontId="61" fillId="0" borderId="0" xfId="0" quotePrefix="1" applyFont="1" applyFill="1" applyBorder="1" applyAlignment="1">
      <alignment horizontal="center"/>
    </xf>
    <xf numFmtId="37" fontId="61" fillId="0" borderId="0" xfId="0" applyFont="1" applyFill="1" applyBorder="1"/>
    <xf numFmtId="175" fontId="61" fillId="0" borderId="0" xfId="1" applyNumberFormat="1" applyFont="1" applyFill="1" applyBorder="1"/>
    <xf numFmtId="37" fontId="61" fillId="0" borderId="0" xfId="0" quotePrefix="1" applyFont="1" applyFill="1" applyBorder="1" applyAlignment="1">
      <alignment horizontal="left" wrapText="1" indent="1"/>
    </xf>
    <xf numFmtId="37" fontId="61" fillId="0" borderId="0" xfId="0" applyFont="1" applyFill="1" applyBorder="1" applyAlignment="1">
      <alignment horizontal="left"/>
    </xf>
    <xf numFmtId="175" fontId="82" fillId="0" borderId="0" xfId="1" applyNumberFormat="1" applyFont="1" applyFill="1"/>
    <xf numFmtId="3" fontId="61" fillId="0" borderId="0" xfId="0" applyNumberFormat="1" applyFont="1" applyFill="1"/>
    <xf numFmtId="175" fontId="83" fillId="0" borderId="0" xfId="1" applyNumberFormat="1" applyFont="1" applyFill="1"/>
    <xf numFmtId="37" fontId="61" fillId="0" borderId="1" xfId="0" applyFont="1" applyFill="1" applyBorder="1" applyAlignment="1">
      <alignment wrapText="1"/>
    </xf>
    <xf numFmtId="37" fontId="61" fillId="0" borderId="1" xfId="0" applyFont="1" applyFill="1" applyBorder="1"/>
    <xf numFmtId="3" fontId="84" fillId="0" borderId="1" xfId="0" applyNumberFormat="1" applyFont="1" applyFill="1" applyBorder="1"/>
    <xf numFmtId="37" fontId="61" fillId="0" borderId="0" xfId="0" applyFont="1" applyFill="1" applyAlignment="1">
      <alignment wrapText="1"/>
    </xf>
    <xf numFmtId="3" fontId="82" fillId="0" borderId="0" xfId="0" applyNumberFormat="1" applyFont="1" applyFill="1"/>
    <xf numFmtId="37" fontId="61" fillId="0" borderId="0" xfId="0" quotePrefix="1" applyFont="1" applyFill="1" applyAlignment="1">
      <alignment horizontal="left"/>
    </xf>
    <xf numFmtId="196" fontId="54" fillId="0" borderId="0" xfId="2" applyNumberFormat="1" applyFont="1" applyFill="1" applyBorder="1" applyAlignment="1" applyProtection="1"/>
    <xf numFmtId="197" fontId="54" fillId="0" borderId="0" xfId="1" applyNumberFormat="1" applyFont="1" applyFill="1" applyBorder="1" applyAlignment="1"/>
    <xf numFmtId="37" fontId="58" fillId="40" borderId="0" xfId="0" quotePrefix="1" applyFont="1" applyFill="1" applyAlignment="1" applyProtection="1">
      <alignment horizontal="left"/>
    </xf>
    <xf numFmtId="37" fontId="58" fillId="40" borderId="0" xfId="0" applyFont="1" applyFill="1" applyProtection="1"/>
    <xf numFmtId="3" fontId="58" fillId="40" borderId="0" xfId="0" applyNumberFormat="1" applyFont="1" applyFill="1" applyAlignment="1" applyProtection="1"/>
    <xf numFmtId="37" fontId="85" fillId="0" borderId="0" xfId="0" applyFont="1" applyProtection="1"/>
    <xf numFmtId="14" fontId="85" fillId="36" borderId="0" xfId="0" applyNumberFormat="1" applyFont="1" applyFill="1" applyProtection="1">
      <protection locked="0"/>
    </xf>
    <xf numFmtId="37" fontId="85" fillId="0" borderId="0" xfId="0" quotePrefix="1" applyFont="1" applyAlignment="1" applyProtection="1">
      <alignment horizontal="left"/>
    </xf>
    <xf numFmtId="37" fontId="85" fillId="36" borderId="0" xfId="0" applyFont="1" applyFill="1" applyProtection="1"/>
    <xf numFmtId="37" fontId="85" fillId="37" borderId="0" xfId="0" quotePrefix="1" applyFont="1" applyFill="1" applyAlignment="1" applyProtection="1">
      <alignment horizontal="left"/>
    </xf>
    <xf numFmtId="37" fontId="85" fillId="0" borderId="0" xfId="0" quotePrefix="1" applyFont="1" applyFill="1" applyAlignment="1" applyProtection="1">
      <alignment horizontal="left"/>
    </xf>
    <xf numFmtId="164" fontId="85" fillId="0" borderId="0" xfId="0" quotePrefix="1" applyNumberFormat="1" applyFont="1" applyAlignment="1" applyProtection="1">
      <alignment horizontal="left"/>
    </xf>
    <xf numFmtId="0" fontId="85" fillId="0" borderId="0" xfId="0" applyNumberFormat="1" applyFont="1" applyFill="1" applyProtection="1"/>
    <xf numFmtId="164" fontId="85" fillId="0" borderId="0" xfId="0" quotePrefix="1" applyNumberFormat="1" applyFont="1" applyFill="1" applyAlignment="1" applyProtection="1">
      <alignment horizontal="left"/>
    </xf>
    <xf numFmtId="0" fontId="85" fillId="0" borderId="0" xfId="0" quotePrefix="1" applyNumberFormat="1" applyFont="1" applyFill="1" applyAlignment="1" applyProtection="1">
      <alignment horizontal="left"/>
    </xf>
    <xf numFmtId="0" fontId="85" fillId="0" borderId="0" xfId="0" quotePrefix="1" applyNumberFormat="1" applyFont="1" applyFill="1" applyAlignment="1" applyProtection="1">
      <alignment horizontal="left" indent="1"/>
    </xf>
    <xf numFmtId="164" fontId="58" fillId="0" borderId="0" xfId="0" quotePrefix="1" applyNumberFormat="1" applyFont="1" applyAlignment="1" applyProtection="1">
      <alignment horizontal="left" indent="1"/>
    </xf>
    <xf numFmtId="3" fontId="58" fillId="0" borderId="0" xfId="0" applyNumberFormat="1" applyFont="1" applyFill="1" applyBorder="1" applyAlignment="1" applyProtection="1">
      <alignment horizontal="left" indent="1"/>
    </xf>
    <xf numFmtId="37" fontId="86" fillId="0" borderId="0" xfId="0" applyFont="1" applyProtection="1"/>
    <xf numFmtId="37" fontId="87" fillId="0" borderId="0" xfId="0" applyFont="1" applyAlignment="1" applyProtection="1">
      <alignment horizontal="center"/>
    </xf>
    <xf numFmtId="0" fontId="85" fillId="0" borderId="0" xfId="153" quotePrefix="1" applyFont="1" applyAlignment="1" applyProtection="1">
      <alignment horizontal="left"/>
    </xf>
    <xf numFmtId="0" fontId="85" fillId="0" borderId="0" xfId="154" quotePrefix="1" applyNumberFormat="1" applyFont="1" applyAlignment="1" applyProtection="1">
      <alignment horizontal="left"/>
    </xf>
    <xf numFmtId="43" fontId="87" fillId="0" borderId="0" xfId="154" applyFont="1" applyBorder="1" applyAlignment="1" applyProtection="1">
      <alignment horizontal="center"/>
    </xf>
    <xf numFmtId="0" fontId="88" fillId="0" borderId="0" xfId="153" quotePrefix="1" applyFont="1" applyAlignment="1" applyProtection="1">
      <alignment horizontal="left"/>
    </xf>
    <xf numFmtId="0" fontId="55" fillId="0" borderId="0" xfId="153" applyFont="1" applyFill="1" applyProtection="1"/>
    <xf numFmtId="0" fontId="55" fillId="0" borderId="0" xfId="153" applyFont="1" applyProtection="1"/>
    <xf numFmtId="43" fontId="58" fillId="0" borderId="24" xfId="154" quotePrefix="1" applyFont="1" applyBorder="1" applyAlignment="1" applyProtection="1">
      <alignment horizontal="left"/>
    </xf>
    <xf numFmtId="43" fontId="58" fillId="0" borderId="24" xfId="154" applyFont="1" applyBorder="1" applyProtection="1"/>
    <xf numFmtId="43" fontId="80" fillId="0" borderId="0" xfId="154" applyFont="1" applyAlignment="1" applyProtection="1">
      <alignment horizontal="center" wrapText="1"/>
    </xf>
    <xf numFmtId="0" fontId="85" fillId="0" borderId="0" xfId="153" quotePrefix="1" applyFont="1" applyFill="1" applyAlignment="1" applyProtection="1">
      <alignment horizontal="left"/>
    </xf>
    <xf numFmtId="43" fontId="58" fillId="0" borderId="0" xfId="154" applyFont="1" applyFill="1" applyProtection="1"/>
    <xf numFmtId="0" fontId="85" fillId="0" borderId="0" xfId="153" applyFont="1" applyFill="1" applyProtection="1"/>
    <xf numFmtId="43" fontId="58" fillId="0" borderId="0" xfId="154" quotePrefix="1" applyFont="1" applyFill="1" applyAlignment="1" applyProtection="1">
      <alignment horizontal="left"/>
    </xf>
    <xf numFmtId="43" fontId="58" fillId="0" borderId="24" xfId="154" applyFont="1" applyFill="1" applyBorder="1" applyAlignment="1" applyProtection="1">
      <alignment horizontal="center"/>
      <protection locked="0"/>
    </xf>
    <xf numFmtId="0" fontId="85" fillId="0" borderId="0" xfId="154" quotePrefix="1" applyNumberFormat="1" applyFont="1" applyAlignment="1" applyProtection="1">
      <alignment horizontal="left" indent="3"/>
    </xf>
    <xf numFmtId="0" fontId="85" fillId="0" borderId="0" xfId="154" applyNumberFormat="1" applyFont="1" applyAlignment="1" applyProtection="1">
      <alignment horizontal="left" indent="3"/>
    </xf>
    <xf numFmtId="0" fontId="85" fillId="0" borderId="0" xfId="155" quotePrefix="1" applyFont="1" applyBorder="1" applyAlignment="1" applyProtection="1">
      <alignment horizontal="left" indent="3"/>
    </xf>
    <xf numFmtId="0" fontId="79" fillId="0" borderId="0" xfId="153" applyFont="1" applyAlignment="1" applyProtection="1">
      <alignment horizontal="left" indent="2"/>
    </xf>
    <xf numFmtId="0" fontId="54" fillId="0" borderId="0" xfId="0" applyNumberFormat="1" applyFont="1" applyFill="1" applyBorder="1" applyAlignment="1" applyProtection="1">
      <alignment horizontal="right"/>
    </xf>
    <xf numFmtId="14" fontId="55" fillId="0" borderId="0" xfId="153" applyNumberFormat="1" applyFont="1" applyAlignment="1" applyProtection="1">
      <alignment horizontal="left"/>
    </xf>
    <xf numFmtId="37" fontId="89" fillId="0" borderId="0" xfId="0" applyFont="1" applyProtection="1"/>
    <xf numFmtId="37" fontId="89" fillId="37" borderId="0" xfId="0" applyFont="1" applyFill="1" applyProtection="1">
      <protection locked="0"/>
    </xf>
    <xf numFmtId="3" fontId="89" fillId="38" borderId="0" xfId="0" applyNumberFormat="1" applyFont="1" applyFill="1" applyAlignment="1" applyProtection="1">
      <protection locked="0"/>
    </xf>
    <xf numFmtId="49" fontId="54" fillId="0" borderId="0" xfId="0" applyNumberFormat="1" applyFont="1" applyFill="1" applyAlignment="1" applyProtection="1">
      <alignment horizontal="left"/>
    </xf>
    <xf numFmtId="49" fontId="54" fillId="0" borderId="0" xfId="0" applyNumberFormat="1" applyFont="1" applyFill="1" applyAlignment="1" applyProtection="1">
      <alignment horizontal="center"/>
    </xf>
    <xf numFmtId="3" fontId="55" fillId="0" borderId="0" xfId="0" applyNumberFormat="1" applyFont="1" applyFill="1" applyAlignment="1" applyProtection="1">
      <alignment horizontal="center"/>
    </xf>
    <xf numFmtId="0" fontId="55" fillId="0" borderId="0" xfId="0" applyNumberFormat="1" applyFont="1" applyFill="1" applyAlignment="1" applyProtection="1">
      <alignment horizontal="center"/>
    </xf>
    <xf numFmtId="164" fontId="55" fillId="0" borderId="0" xfId="0" applyNumberFormat="1" applyFont="1" applyFill="1" applyAlignment="1" applyProtection="1">
      <alignment horizontal="center"/>
    </xf>
    <xf numFmtId="3" fontId="55" fillId="0" borderId="0" xfId="0" applyNumberFormat="1" applyFont="1" applyFill="1" applyAlignment="1" applyProtection="1"/>
    <xf numFmtId="0" fontId="61" fillId="0" borderId="0" xfId="0" applyNumberFormat="1" applyFont="1" applyFill="1" applyAlignment="1" applyProtection="1">
      <alignment horizontal="center"/>
    </xf>
    <xf numFmtId="0" fontId="55" fillId="0" borderId="0" xfId="0" applyNumberFormat="1" applyFont="1" applyFill="1" applyAlignment="1" applyProtection="1"/>
    <xf numFmtId="169" fontId="54" fillId="0" borderId="0" xfId="0" applyNumberFormat="1" applyFont="1" applyFill="1" applyAlignment="1" applyProtection="1"/>
    <xf numFmtId="175" fontId="54" fillId="0" borderId="0" xfId="1" quotePrefix="1" applyNumberFormat="1" applyFont="1" applyFill="1" applyBorder="1" applyAlignment="1" applyProtection="1">
      <alignment horizontal="left"/>
    </xf>
    <xf numFmtId="175" fontId="57" fillId="0" borderId="0" xfId="1" applyNumberFormat="1" applyFont="1" applyFill="1" applyBorder="1" applyAlignment="1" applyProtection="1"/>
    <xf numFmtId="165" fontId="54" fillId="0" borderId="0" xfId="0" applyNumberFormat="1" applyFont="1" applyFill="1" applyAlignment="1" applyProtection="1">
      <alignment horizontal="right"/>
    </xf>
    <xf numFmtId="171" fontId="54" fillId="0" borderId="0" xfId="0" applyNumberFormat="1" applyFont="1" applyFill="1" applyAlignment="1" applyProtection="1">
      <alignment horizontal="center"/>
    </xf>
    <xf numFmtId="197" fontId="54" fillId="0" borderId="0" xfId="1" applyNumberFormat="1" applyFont="1" applyFill="1" applyBorder="1" applyAlignment="1" applyProtection="1"/>
    <xf numFmtId="0" fontId="54" fillId="0" borderId="0" xfId="0" applyNumberFormat="1" applyFont="1" applyFill="1" applyAlignment="1" applyProtection="1">
      <alignment horizontal="left" indent="1"/>
    </xf>
    <xf numFmtId="169" fontId="54" fillId="0" borderId="0" xfId="0" applyNumberFormat="1" applyFont="1" applyFill="1" applyBorder="1" applyAlignment="1" applyProtection="1"/>
    <xf numFmtId="0" fontId="54" fillId="0" borderId="0" xfId="0" quotePrefix="1" applyNumberFormat="1" applyFont="1" applyFill="1" applyAlignment="1" applyProtection="1">
      <alignment horizontal="left" indent="1"/>
    </xf>
    <xf numFmtId="197" fontId="57" fillId="0" borderId="0" xfId="1" applyNumberFormat="1" applyFont="1" applyFill="1" applyBorder="1" applyAlignment="1" applyProtection="1"/>
    <xf numFmtId="175" fontId="65" fillId="0" borderId="0" xfId="1" applyNumberFormat="1" applyFont="1" applyFill="1" applyBorder="1" applyAlignment="1" applyProtection="1"/>
    <xf numFmtId="170" fontId="65" fillId="0" borderId="0" xfId="2" applyNumberFormat="1" applyFont="1" applyFill="1" applyBorder="1" applyAlignment="1" applyProtection="1"/>
    <xf numFmtId="0" fontId="55" fillId="0" borderId="0" xfId="0" applyNumberFormat="1" applyFont="1" applyFill="1" applyAlignment="1">
      <alignment horizontal="centerContinuous"/>
    </xf>
    <xf numFmtId="164" fontId="54" fillId="0" borderId="0" xfId="0" applyNumberFormat="1" applyFont="1" applyFill="1" applyAlignment="1">
      <alignment horizontal="centerContinuous"/>
    </xf>
    <xf numFmtId="0" fontId="54" fillId="0" borderId="0" xfId="0" applyNumberFormat="1" applyFont="1" applyFill="1" applyAlignment="1">
      <alignment horizontal="centerContinuous"/>
    </xf>
    <xf numFmtId="3" fontId="54" fillId="0" borderId="0" xfId="0" applyNumberFormat="1" applyFont="1" applyFill="1" applyAlignment="1">
      <alignment horizontal="centerContinuous"/>
    </xf>
    <xf numFmtId="0" fontId="55" fillId="0" borderId="0" xfId="0" applyNumberFormat="1" applyFont="1" applyFill="1" applyAlignment="1"/>
    <xf numFmtId="0" fontId="54" fillId="0" borderId="1" xfId="0" applyNumberFormat="1" applyFont="1" applyFill="1" applyBorder="1" applyAlignment="1" applyProtection="1">
      <alignment horizontal="center"/>
      <protection locked="0"/>
    </xf>
    <xf numFmtId="3" fontId="58" fillId="0" borderId="0" xfId="0" quotePrefix="1" applyNumberFormat="1" applyFont="1" applyFill="1" applyAlignment="1">
      <alignment horizontal="left"/>
    </xf>
    <xf numFmtId="170" fontId="54" fillId="0" borderId="0" xfId="2" applyNumberFormat="1" applyFont="1" applyFill="1" applyBorder="1" applyAlignment="1"/>
    <xf numFmtId="0" fontId="67" fillId="0" borderId="0" xfId="0" applyNumberFormat="1" applyFont="1" applyFill="1"/>
    <xf numFmtId="164" fontId="58" fillId="0" borderId="0" xfId="0" quotePrefix="1" applyNumberFormat="1" applyFont="1" applyFill="1" applyAlignment="1">
      <alignment horizontal="left"/>
    </xf>
    <xf numFmtId="197" fontId="57" fillId="0" borderId="0" xfId="1" applyNumberFormat="1" applyFont="1" applyFill="1" applyBorder="1" applyAlignment="1"/>
    <xf numFmtId="3" fontId="58" fillId="0" borderId="0" xfId="0" applyNumberFormat="1" applyFont="1" applyFill="1" applyAlignment="1"/>
    <xf numFmtId="49" fontId="58" fillId="0" borderId="0" xfId="0" applyNumberFormat="1" applyFont="1" applyFill="1" applyAlignment="1"/>
    <xf numFmtId="182" fontId="54" fillId="0" borderId="0" xfId="1" applyNumberFormat="1" applyFont="1" applyFill="1" applyBorder="1" applyAlignment="1">
      <alignment horizontal="right"/>
    </xf>
    <xf numFmtId="175" fontId="57" fillId="0" borderId="0" xfId="1" applyNumberFormat="1" applyFont="1" applyFill="1" applyBorder="1" applyAlignment="1"/>
    <xf numFmtId="49" fontId="58" fillId="0" borderId="0" xfId="0" quotePrefix="1" applyNumberFormat="1" applyFont="1" applyFill="1" applyAlignment="1">
      <alignment horizontal="left"/>
    </xf>
    <xf numFmtId="169" fontId="54" fillId="0" borderId="0" xfId="0" applyNumberFormat="1" applyFont="1" applyFill="1" applyAlignment="1"/>
    <xf numFmtId="169" fontId="54" fillId="0" borderId="0" xfId="0" applyNumberFormat="1" applyFont="1" applyFill="1"/>
    <xf numFmtId="165" fontId="54" fillId="0" borderId="0" xfId="0" applyNumberFormat="1" applyFont="1" applyFill="1"/>
    <xf numFmtId="3" fontId="54" fillId="0" borderId="3" xfId="0" applyNumberFormat="1" applyFont="1" applyFill="1" applyBorder="1" applyAlignment="1"/>
    <xf numFmtId="3" fontId="54" fillId="0" borderId="3" xfId="0" applyNumberFormat="1" applyFont="1" applyFill="1" applyBorder="1" applyAlignment="1">
      <alignment horizontal="center"/>
    </xf>
    <xf numFmtId="170" fontId="54" fillId="0" borderId="0" xfId="2" applyNumberFormat="1" applyFont="1" applyFill="1" applyAlignment="1"/>
    <xf numFmtId="4" fontId="54" fillId="0" borderId="0" xfId="0" applyNumberFormat="1" applyFont="1" applyFill="1" applyAlignment="1"/>
    <xf numFmtId="196" fontId="54" fillId="0" borderId="0" xfId="2" applyNumberFormat="1" applyFont="1" applyFill="1" applyAlignment="1"/>
    <xf numFmtId="3" fontId="56" fillId="0" borderId="0" xfId="0" applyNumberFormat="1" applyFont="1" applyFill="1" applyAlignment="1"/>
    <xf numFmtId="197" fontId="54" fillId="0" borderId="0" xfId="1" applyNumberFormat="1" applyFont="1" applyFill="1" applyAlignment="1"/>
    <xf numFmtId="3" fontId="54" fillId="0" borderId="0" xfId="0" applyNumberFormat="1" applyFont="1" applyFill="1" applyBorder="1" applyAlignment="1">
      <alignment horizontal="center"/>
    </xf>
    <xf numFmtId="175" fontId="65" fillId="0" borderId="0" xfId="1" applyNumberFormat="1" applyFont="1" applyFill="1" applyBorder="1" applyAlignment="1"/>
    <xf numFmtId="0" fontId="54" fillId="0" borderId="0" xfId="0" quotePrefix="1" applyNumberFormat="1" applyFont="1" applyFill="1" applyBorder="1" applyAlignment="1" applyProtection="1">
      <alignment horizontal="center"/>
      <protection locked="0"/>
    </xf>
    <xf numFmtId="175" fontId="54" fillId="0" borderId="0" xfId="1" applyNumberFormat="1" applyFont="1" applyFill="1" applyAlignment="1">
      <alignment horizontal="center"/>
    </xf>
    <xf numFmtId="165" fontId="54" fillId="0" borderId="0" xfId="0" applyNumberFormat="1" applyFont="1" applyFill="1" applyAlignment="1">
      <alignment horizontal="center"/>
    </xf>
    <xf numFmtId="171" fontId="54" fillId="0" borderId="0" xfId="0" applyNumberFormat="1" applyFont="1" applyFill="1" applyAlignment="1">
      <alignment horizontal="center"/>
    </xf>
    <xf numFmtId="0" fontId="58" fillId="0" borderId="0" xfId="0" quotePrefix="1" applyNumberFormat="1" applyFont="1" applyFill="1" applyAlignment="1" applyProtection="1">
      <alignment horizontal="center"/>
      <protection locked="0"/>
    </xf>
    <xf numFmtId="165" fontId="54" fillId="0" borderId="0" xfId="0" applyNumberFormat="1" applyFont="1" applyFill="1" applyAlignment="1" applyProtection="1">
      <alignment horizontal="center"/>
      <protection locked="0"/>
    </xf>
    <xf numFmtId="3" fontId="58" fillId="0" borderId="0" xfId="0" applyNumberFormat="1" applyFont="1" applyFill="1" applyBorder="1" applyAlignment="1"/>
    <xf numFmtId="0" fontId="54" fillId="0" borderId="0" xfId="0" quotePrefix="1" applyNumberFormat="1" applyFont="1" applyFill="1" applyAlignment="1">
      <alignment horizontal="left" indent="3"/>
    </xf>
    <xf numFmtId="165" fontId="54" fillId="0" borderId="0" xfId="0" applyNumberFormat="1" applyFont="1" applyFill="1" applyAlignment="1"/>
    <xf numFmtId="3" fontId="58" fillId="0" borderId="0" xfId="0" quotePrefix="1" applyNumberFormat="1" applyFont="1" applyFill="1" applyAlignment="1">
      <alignment horizontal="center"/>
    </xf>
    <xf numFmtId="165" fontId="54" fillId="0" borderId="0" xfId="0" quotePrefix="1" applyNumberFormat="1" applyFont="1" applyFill="1" applyAlignment="1">
      <alignment horizontal="center"/>
    </xf>
    <xf numFmtId="3" fontId="58" fillId="0" borderId="0" xfId="0" applyNumberFormat="1" applyFont="1" applyFill="1" applyAlignment="1">
      <alignment horizontal="center"/>
    </xf>
    <xf numFmtId="3" fontId="54" fillId="0" borderId="3" xfId="0" quotePrefix="1" applyNumberFormat="1" applyFont="1" applyFill="1" applyBorder="1" applyAlignment="1">
      <alignment horizontal="center"/>
    </xf>
    <xf numFmtId="3" fontId="54" fillId="0" borderId="0" xfId="0" quotePrefix="1" applyNumberFormat="1" applyFont="1" applyFill="1" applyAlignment="1">
      <alignment horizontal="left" indent="2"/>
    </xf>
    <xf numFmtId="197" fontId="54" fillId="0" borderId="0" xfId="1" applyNumberFormat="1" applyFont="1" applyFill="1" applyAlignment="1" applyProtection="1">
      <protection locked="0"/>
    </xf>
    <xf numFmtId="3" fontId="54" fillId="0" borderId="0" xfId="0" quotePrefix="1" applyNumberFormat="1" applyFont="1" applyFill="1" applyAlignment="1">
      <alignment horizontal="left" indent="1"/>
    </xf>
    <xf numFmtId="0" fontId="58" fillId="0" borderId="0" xfId="0" quotePrefix="1" applyNumberFormat="1" applyFont="1" applyFill="1" applyAlignment="1" applyProtection="1">
      <alignment horizontal="left"/>
      <protection locked="0"/>
    </xf>
    <xf numFmtId="0" fontId="66" fillId="0" borderId="0" xfId="0" applyNumberFormat="1" applyFont="1" applyFill="1" applyAlignment="1" applyProtection="1">
      <alignment horizontal="center"/>
      <protection locked="0"/>
    </xf>
    <xf numFmtId="0" fontId="58" fillId="0" borderId="0" xfId="0" applyNumberFormat="1" applyFont="1" applyFill="1" applyProtection="1">
      <protection locked="0"/>
    </xf>
    <xf numFmtId="0" fontId="54" fillId="0" borderId="3" xfId="0" quotePrefix="1" applyNumberFormat="1" applyFont="1" applyFill="1" applyBorder="1" applyAlignment="1" applyProtection="1">
      <alignment horizontal="center"/>
      <protection locked="0"/>
    </xf>
    <xf numFmtId="0" fontId="54" fillId="0" borderId="3" xfId="0" applyNumberFormat="1" applyFont="1" applyFill="1" applyBorder="1" applyAlignment="1" applyProtection="1">
      <alignment horizontal="center"/>
      <protection locked="0"/>
    </xf>
    <xf numFmtId="10" fontId="54" fillId="0" borderId="0" xfId="0" applyNumberFormat="1" applyFont="1" applyFill="1" applyAlignment="1"/>
    <xf numFmtId="168" fontId="54" fillId="0" borderId="0" xfId="0" applyNumberFormat="1" applyFont="1" applyFill="1" applyAlignment="1"/>
    <xf numFmtId="186" fontId="54" fillId="0" borderId="0" xfId="1" applyNumberFormat="1" applyFont="1" applyFill="1" applyAlignment="1"/>
    <xf numFmtId="175" fontId="54" fillId="0" borderId="3" xfId="1" applyNumberFormat="1" applyFont="1" applyFill="1" applyBorder="1" applyAlignment="1"/>
    <xf numFmtId="186" fontId="54" fillId="0" borderId="3" xfId="0" applyNumberFormat="1" applyFont="1" applyFill="1" applyBorder="1" applyAlignment="1"/>
    <xf numFmtId="0" fontId="54" fillId="0" borderId="0" xfId="0" applyNumberFormat="1" applyFont="1" applyFill="1" applyAlignment="1" applyProtection="1">
      <protection locked="0"/>
    </xf>
    <xf numFmtId="197" fontId="54" fillId="0" borderId="0" xfId="0" applyNumberFormat="1" applyFont="1" applyFill="1" applyBorder="1" applyProtection="1">
      <protection locked="0"/>
    </xf>
    <xf numFmtId="164" fontId="54" fillId="0" borderId="3" xfId="0" quotePrefix="1" applyNumberFormat="1" applyFont="1" applyFill="1" applyBorder="1" applyAlignment="1">
      <alignment horizontal="left"/>
    </xf>
    <xf numFmtId="0" fontId="54" fillId="0" borderId="3" xfId="0" applyNumberFormat="1" applyFont="1" applyFill="1" applyBorder="1"/>
    <xf numFmtId="164" fontId="54" fillId="0" borderId="3" xfId="0" applyNumberFormat="1" applyFont="1" applyFill="1" applyBorder="1" applyAlignment="1"/>
    <xf numFmtId="0" fontId="54" fillId="0" borderId="0" xfId="0" applyNumberFormat="1" applyFont="1" applyFill="1" applyBorder="1" applyProtection="1">
      <protection locked="0"/>
    </xf>
    <xf numFmtId="197" fontId="57" fillId="0" borderId="0" xfId="0" applyNumberFormat="1" applyFont="1" applyFill="1" applyBorder="1" applyProtection="1">
      <protection locked="0"/>
    </xf>
    <xf numFmtId="0" fontId="58" fillId="0" borderId="0" xfId="0" quotePrefix="1" applyNumberFormat="1" applyFont="1" applyFill="1" applyBorder="1" applyAlignment="1" applyProtection="1">
      <alignment horizontal="left"/>
      <protection locked="0"/>
    </xf>
    <xf numFmtId="197" fontId="54" fillId="0" borderId="0" xfId="0" applyNumberFormat="1" applyFont="1" applyFill="1" applyBorder="1" applyProtection="1"/>
    <xf numFmtId="167" fontId="54" fillId="0" borderId="0" xfId="0" applyNumberFormat="1" applyFont="1" applyFill="1" applyProtection="1">
      <protection locked="0"/>
    </xf>
    <xf numFmtId="166" fontId="54" fillId="0" borderId="0" xfId="0" applyNumberFormat="1" applyFont="1" applyFill="1" applyProtection="1">
      <protection locked="0"/>
    </xf>
    <xf numFmtId="196" fontId="54" fillId="0" borderId="0" xfId="2" applyNumberFormat="1" applyFont="1" applyFill="1" applyBorder="1" applyProtection="1"/>
    <xf numFmtId="170" fontId="54" fillId="0" borderId="0" xfId="2" applyNumberFormat="1" applyFont="1" applyFill="1" applyBorder="1" applyAlignment="1" applyProtection="1">
      <protection locked="0"/>
    </xf>
    <xf numFmtId="164" fontId="62" fillId="0" borderId="0" xfId="0" applyNumberFormat="1" applyFont="1" applyFill="1" applyAlignment="1"/>
    <xf numFmtId="0" fontId="54" fillId="0" borderId="3" xfId="0" applyNumberFormat="1" applyFont="1" applyFill="1" applyBorder="1" applyAlignment="1" applyProtection="1">
      <protection locked="0"/>
    </xf>
    <xf numFmtId="0" fontId="54" fillId="0" borderId="3" xfId="0" applyNumberFormat="1" applyFont="1" applyFill="1" applyBorder="1" applyProtection="1">
      <protection locked="0"/>
    </xf>
    <xf numFmtId="175" fontId="57" fillId="0" borderId="0" xfId="1" applyNumberFormat="1" applyFont="1" applyFill="1" applyBorder="1" applyAlignment="1" applyProtection="1">
      <protection locked="0"/>
    </xf>
    <xf numFmtId="3" fontId="56" fillId="0" borderId="0" xfId="0" applyNumberFormat="1" applyFont="1" applyFill="1" applyAlignment="1">
      <alignment horizontal="left"/>
    </xf>
    <xf numFmtId="3" fontId="85" fillId="0" borderId="0" xfId="0" applyNumberFormat="1" applyFont="1" applyAlignment="1" applyProtection="1"/>
    <xf numFmtId="37" fontId="85" fillId="0" borderId="0" xfId="0" applyFont="1" applyFill="1" applyProtection="1"/>
    <xf numFmtId="37" fontId="85" fillId="36" borderId="2" xfId="0" applyFont="1" applyFill="1" applyBorder="1" applyProtection="1"/>
    <xf numFmtId="37" fontId="85" fillId="36" borderId="22" xfId="0" applyFont="1" applyFill="1" applyBorder="1" applyProtection="1"/>
    <xf numFmtId="164" fontId="85" fillId="0" borderId="0" xfId="0" applyNumberFormat="1" applyFont="1" applyFill="1" applyAlignment="1" applyProtection="1"/>
    <xf numFmtId="42" fontId="54" fillId="0" borderId="0" xfId="0" applyNumberFormat="1" applyFont="1" applyFill="1" applyProtection="1"/>
    <xf numFmtId="170" fontId="54" fillId="0" borderId="0" xfId="2" applyNumberFormat="1" applyFont="1" applyFill="1" applyAlignment="1" applyProtection="1">
      <alignment horizontal="right"/>
    </xf>
    <xf numFmtId="193" fontId="54" fillId="0" borderId="0" xfId="2" applyNumberFormat="1" applyFont="1" applyFill="1" applyAlignment="1" applyProtection="1">
      <alignment horizontal="right"/>
    </xf>
    <xf numFmtId="194" fontId="54" fillId="0" borderId="0" xfId="1" applyNumberFormat="1" applyFont="1" applyFill="1" applyAlignment="1" applyProtection="1"/>
    <xf numFmtId="175" fontId="54" fillId="0" borderId="0" xfId="1" applyNumberFormat="1" applyFont="1" applyFill="1" applyAlignment="1" applyProtection="1"/>
    <xf numFmtId="194" fontId="57" fillId="0" borderId="0" xfId="1" applyNumberFormat="1" applyFont="1" applyFill="1" applyAlignment="1" applyProtection="1"/>
    <xf numFmtId="170" fontId="54" fillId="0" borderId="0" xfId="2" applyNumberFormat="1" applyFont="1" applyFill="1" applyAlignment="1" applyProtection="1"/>
    <xf numFmtId="175" fontId="54" fillId="0" borderId="0" xfId="1" applyNumberFormat="1" applyFont="1" applyFill="1" applyProtection="1"/>
    <xf numFmtId="175" fontId="57" fillId="0" borderId="0" xfId="1" applyNumberFormat="1" applyFont="1" applyFill="1" applyProtection="1"/>
    <xf numFmtId="195" fontId="54" fillId="0" borderId="0" xfId="2" applyNumberFormat="1" applyFont="1" applyFill="1" applyAlignment="1" applyProtection="1">
      <alignment horizontal="right"/>
    </xf>
    <xf numFmtId="3" fontId="58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vertical="center"/>
    </xf>
    <xf numFmtId="169" fontId="54" fillId="0" borderId="0" xfId="0" applyNumberFormat="1" applyFont="1" applyFill="1" applyAlignment="1">
      <alignment vertical="center"/>
    </xf>
    <xf numFmtId="197" fontId="65" fillId="0" borderId="0" xfId="1" applyNumberFormat="1" applyFont="1" applyFill="1" applyBorder="1" applyAlignment="1"/>
    <xf numFmtId="10" fontId="54" fillId="0" borderId="0" xfId="3" applyNumberFormat="1" applyFont="1" applyFill="1" applyBorder="1" applyAlignment="1">
      <alignment horizontal="right"/>
    </xf>
    <xf numFmtId="10" fontId="54" fillId="0" borderId="0" xfId="3" applyNumberFormat="1" applyFont="1" applyFill="1" applyBorder="1" applyAlignment="1"/>
    <xf numFmtId="187" fontId="54" fillId="0" borderId="0" xfId="1" applyNumberFormat="1" applyFont="1" applyFill="1" applyBorder="1" applyAlignment="1">
      <alignment horizontal="right"/>
    </xf>
    <xf numFmtId="10" fontId="58" fillId="0" borderId="0" xfId="0" quotePrefix="1" applyNumberFormat="1" applyFont="1" applyFill="1" applyAlignment="1">
      <alignment horizontal="left"/>
    </xf>
    <xf numFmtId="170" fontId="54" fillId="0" borderId="0" xfId="2" applyNumberFormat="1" applyFont="1" applyFill="1" applyBorder="1" applyAlignment="1">
      <alignment horizontal="right"/>
    </xf>
    <xf numFmtId="174" fontId="54" fillId="0" borderId="0" xfId="0" applyNumberFormat="1" applyFont="1" applyFill="1" applyAlignment="1"/>
    <xf numFmtId="170" fontId="57" fillId="0" borderId="0" xfId="2" applyNumberFormat="1" applyFont="1" applyFill="1" applyBorder="1" applyAlignment="1"/>
    <xf numFmtId="170" fontId="69" fillId="0" borderId="0" xfId="2" applyNumberFormat="1" applyFont="1" applyFill="1" applyBorder="1" applyAlignment="1"/>
    <xf numFmtId="196" fontId="54" fillId="0" borderId="0" xfId="2" applyNumberFormat="1" applyFont="1" applyFill="1" applyAlignment="1" applyProtection="1">
      <alignment horizontal="right"/>
    </xf>
    <xf numFmtId="197" fontId="54" fillId="0" borderId="0" xfId="1" applyNumberFormat="1" applyFont="1" applyFill="1" applyAlignment="1" applyProtection="1"/>
    <xf numFmtId="197" fontId="57" fillId="0" borderId="0" xfId="1" applyNumberFormat="1" applyFont="1" applyFill="1" applyAlignment="1" applyProtection="1"/>
    <xf numFmtId="196" fontId="54" fillId="0" borderId="0" xfId="2" applyNumberFormat="1" applyFont="1" applyFill="1" applyAlignment="1" applyProtection="1"/>
    <xf numFmtId="197" fontId="54" fillId="0" borderId="0" xfId="1" applyNumberFormat="1" applyFont="1" applyFill="1" applyProtection="1"/>
    <xf numFmtId="197" fontId="57" fillId="0" borderId="0" xfId="1" applyNumberFormat="1" applyFont="1" applyFill="1" applyProtection="1"/>
    <xf numFmtId="0" fontId="58" fillId="0" borderId="0" xfId="0" applyNumberFormat="1" applyFont="1" applyFill="1" applyAlignment="1" applyProtection="1">
      <alignment horizontal="left"/>
    </xf>
    <xf numFmtId="195" fontId="54" fillId="0" borderId="0" xfId="2" applyNumberFormat="1" applyFont="1" applyFill="1" applyProtection="1"/>
    <xf numFmtId="10" fontId="54" fillId="0" borderId="0" xfId="3" applyNumberFormat="1" applyFont="1" applyFill="1" applyAlignment="1">
      <alignment horizontal="right"/>
    </xf>
    <xf numFmtId="10" fontId="54" fillId="0" borderId="0" xfId="1" quotePrefix="1" applyNumberFormat="1" applyFont="1" applyFill="1" applyAlignment="1" applyProtection="1">
      <alignment horizontal="center"/>
    </xf>
    <xf numFmtId="37" fontId="61" fillId="0" borderId="0" xfId="0" applyFont="1" applyFill="1" applyAlignment="1">
      <alignment horizontal="center" wrapText="1"/>
    </xf>
    <xf numFmtId="175" fontId="61" fillId="0" borderId="0" xfId="0" applyNumberFormat="1" applyFont="1" applyFill="1"/>
    <xf numFmtId="168" fontId="61" fillId="0" borderId="0" xfId="0" applyNumberFormat="1" applyFont="1" applyFill="1"/>
    <xf numFmtId="37" fontId="89" fillId="36" borderId="0" xfId="0" applyFont="1" applyFill="1" applyProtection="1">
      <protection locked="0"/>
    </xf>
    <xf numFmtId="42" fontId="57" fillId="0" borderId="0" xfId="0" applyNumberFormat="1" applyFont="1" applyFill="1" applyBorder="1" applyAlignment="1" applyProtection="1">
      <alignment horizontal="right"/>
    </xf>
    <xf numFmtId="196" fontId="57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>
      <alignment horizontal="right"/>
    </xf>
    <xf numFmtId="3" fontId="58" fillId="0" borderId="0" xfId="0" applyNumberFormat="1" applyFont="1" applyFill="1" applyAlignment="1" applyProtection="1">
      <alignment horizontal="left"/>
    </xf>
    <xf numFmtId="37" fontId="58" fillId="0" borderId="0" xfId="0" applyFont="1" applyFill="1" applyAlignment="1" applyProtection="1">
      <alignment horizontal="left"/>
    </xf>
    <xf numFmtId="167" fontId="54" fillId="0" borderId="0" xfId="0" applyNumberFormat="1" applyFont="1" applyFill="1" applyProtection="1"/>
    <xf numFmtId="3" fontId="54" fillId="0" borderId="0" xfId="0" quotePrefix="1" applyNumberFormat="1" applyFont="1" applyFill="1" applyAlignment="1">
      <alignment horizontal="center"/>
    </xf>
    <xf numFmtId="38" fontId="54" fillId="0" borderId="0" xfId="0" applyNumberFormat="1" applyFont="1" applyFill="1" applyAlignment="1" applyProtection="1"/>
    <xf numFmtId="38" fontId="54" fillId="0" borderId="0" xfId="0" applyNumberFormat="1" applyFont="1" applyFill="1" applyAlignment="1"/>
    <xf numFmtId="0" fontId="66" fillId="0" borderId="0" xfId="0" applyNumberFormat="1" applyFont="1" applyFill="1" applyAlignment="1" applyProtection="1"/>
    <xf numFmtId="0" fontId="58" fillId="0" borderId="0" xfId="0" applyNumberFormat="1" applyFont="1" applyFill="1" applyAlignment="1" applyProtection="1">
      <alignment horizontal="left" indent="1"/>
    </xf>
    <xf numFmtId="37" fontId="89" fillId="0" borderId="0" xfId="0" applyFont="1" applyFill="1" applyProtection="1"/>
    <xf numFmtId="37" fontId="58" fillId="0" borderId="0" xfId="0" quotePrefix="1" applyFont="1" applyFill="1" applyAlignment="1" applyProtection="1">
      <alignment horizontal="right"/>
    </xf>
    <xf numFmtId="175" fontId="58" fillId="0" borderId="0" xfId="1" quotePrefix="1" applyNumberFormat="1" applyFont="1" applyFill="1" applyAlignment="1" applyProtection="1">
      <alignment horizontal="left"/>
    </xf>
    <xf numFmtId="9" fontId="58" fillId="0" borderId="0" xfId="3" quotePrefix="1" applyFont="1" applyFill="1" applyAlignment="1" applyProtection="1">
      <alignment horizontal="right"/>
    </xf>
    <xf numFmtId="10" fontId="58" fillId="0" borderId="0" xfId="0" applyNumberFormat="1" applyFont="1" applyFill="1" applyProtection="1">
      <protection locked="0"/>
    </xf>
    <xf numFmtId="3" fontId="58" fillId="0" borderId="0" xfId="0" applyNumberFormat="1" applyFont="1" applyFill="1" applyAlignment="1" applyProtection="1">
      <alignment horizontal="right"/>
    </xf>
    <xf numFmtId="175" fontId="58" fillId="0" borderId="0" xfId="1" applyNumberFormat="1" applyFont="1" applyFill="1" applyAlignment="1" applyProtection="1"/>
    <xf numFmtId="43" fontId="58" fillId="0" borderId="0" xfId="154" applyFont="1" applyFill="1" applyAlignment="1" applyProtection="1">
      <alignment horizontal="center"/>
      <protection locked="0"/>
    </xf>
    <xf numFmtId="170" fontId="99" fillId="42" borderId="33" xfId="2" applyNumberFormat="1" applyFont="1" applyFill="1" applyBorder="1" applyAlignment="1" applyProtection="1">
      <alignment vertical="center"/>
    </xf>
    <xf numFmtId="185" fontId="99" fillId="42" borderId="33" xfId="2" applyNumberFormat="1" applyFont="1" applyFill="1" applyBorder="1" applyAlignment="1" applyProtection="1">
      <alignment vertical="center"/>
    </xf>
    <xf numFmtId="170" fontId="100" fillId="42" borderId="33" xfId="2" applyNumberFormat="1" applyFont="1" applyFill="1" applyBorder="1" applyAlignment="1" applyProtection="1">
      <alignment vertical="center"/>
    </xf>
    <xf numFmtId="185" fontId="100" fillId="42" borderId="33" xfId="2" applyNumberFormat="1" applyFont="1" applyFill="1" applyBorder="1" applyAlignment="1" applyProtection="1">
      <alignment vertical="center"/>
    </xf>
    <xf numFmtId="170" fontId="101" fillId="42" borderId="33" xfId="2" applyNumberFormat="1" applyFont="1" applyFill="1" applyBorder="1" applyAlignment="1" applyProtection="1">
      <alignment vertical="center"/>
    </xf>
    <xf numFmtId="183" fontId="61" fillId="0" borderId="0" xfId="0" applyNumberFormat="1" applyFont="1" applyFill="1"/>
    <xf numFmtId="198" fontId="61" fillId="0" borderId="0" xfId="0" applyNumberFormat="1" applyFont="1" applyFill="1"/>
    <xf numFmtId="37" fontId="87" fillId="0" borderId="0" xfId="0" applyFont="1" applyFill="1" applyAlignment="1" applyProtection="1">
      <alignment horizontal="center"/>
    </xf>
    <xf numFmtId="37" fontId="85" fillId="0" borderId="0" xfId="0" applyFont="1" applyAlignment="1" applyProtection="1">
      <alignment wrapText="1"/>
    </xf>
    <xf numFmtId="37" fontId="58" fillId="0" borderId="0" xfId="0" applyFont="1" applyAlignment="1" applyProtection="1">
      <alignment wrapText="1"/>
    </xf>
    <xf numFmtId="37" fontId="79" fillId="0" borderId="0" xfId="0" applyFont="1" applyFill="1" applyProtection="1">
      <protection locked="0"/>
    </xf>
    <xf numFmtId="170" fontId="103" fillId="42" borderId="33" xfId="2" applyNumberFormat="1" applyFont="1" applyFill="1" applyBorder="1" applyAlignment="1" applyProtection="1">
      <alignment vertical="center"/>
    </xf>
    <xf numFmtId="185" fontId="103" fillId="42" borderId="33" xfId="2" applyNumberFormat="1" applyFont="1" applyFill="1" applyBorder="1" applyAlignment="1" applyProtection="1">
      <alignment vertical="center"/>
    </xf>
    <xf numFmtId="0" fontId="79" fillId="0" borderId="0" xfId="159" applyFont="1"/>
    <xf numFmtId="0" fontId="92" fillId="0" borderId="0" xfId="159" applyFont="1" applyFill="1" applyProtection="1"/>
    <xf numFmtId="0" fontId="92" fillId="0" borderId="0" xfId="159" applyFont="1" applyProtection="1"/>
    <xf numFmtId="0" fontId="92" fillId="41" borderId="36" xfId="159" applyFont="1" applyFill="1" applyBorder="1" applyProtection="1"/>
    <xf numFmtId="0" fontId="92" fillId="41" borderId="35" xfId="159" applyFont="1" applyFill="1" applyBorder="1" applyAlignment="1" applyProtection="1">
      <alignment vertical="top"/>
    </xf>
    <xf numFmtId="0" fontId="92" fillId="41" borderId="34" xfId="159" applyFont="1" applyFill="1" applyBorder="1" applyProtection="1"/>
    <xf numFmtId="0" fontId="92" fillId="41" borderId="32" xfId="159" applyFont="1" applyFill="1" applyBorder="1" applyProtection="1"/>
    <xf numFmtId="0" fontId="97" fillId="41" borderId="0" xfId="159" applyFont="1" applyFill="1" applyBorder="1" applyAlignment="1" applyProtection="1">
      <alignment horizontal="left" vertical="center"/>
    </xf>
    <xf numFmtId="0" fontId="98" fillId="41" borderId="0" xfId="159" applyFont="1" applyFill="1" applyBorder="1" applyAlignment="1" applyProtection="1">
      <alignment horizontal="left" vertical="center"/>
    </xf>
    <xf numFmtId="0" fontId="92" fillId="41" borderId="0" xfId="159" applyFont="1" applyFill="1" applyBorder="1" applyAlignment="1" applyProtection="1">
      <alignment vertical="top" wrapText="1"/>
    </xf>
    <xf numFmtId="0" fontId="92" fillId="41" borderId="0" xfId="159" applyFont="1" applyFill="1" applyBorder="1" applyAlignment="1" applyProtection="1">
      <alignment vertical="top"/>
    </xf>
    <xf numFmtId="0" fontId="92" fillId="41" borderId="31" xfId="159" applyFont="1" applyFill="1" applyBorder="1" applyProtection="1"/>
    <xf numFmtId="0" fontId="79" fillId="0" borderId="0" xfId="159" applyFont="1" applyFill="1"/>
    <xf numFmtId="0" fontId="93" fillId="0" borderId="0" xfId="159" applyFont="1" applyFill="1" applyAlignment="1" applyProtection="1">
      <alignment horizontal="center"/>
    </xf>
    <xf numFmtId="0" fontId="96" fillId="41" borderId="0" xfId="159" applyFont="1" applyFill="1" applyBorder="1" applyProtection="1"/>
    <xf numFmtId="0" fontId="98" fillId="0" borderId="0" xfId="159" applyFont="1" applyFill="1" applyAlignment="1" applyProtection="1">
      <alignment horizontal="left"/>
    </xf>
    <xf numFmtId="0" fontId="95" fillId="41" borderId="0" xfId="159" applyFont="1" applyFill="1" applyBorder="1" applyAlignment="1" applyProtection="1">
      <alignment horizontal="center" wrapText="1"/>
    </xf>
    <xf numFmtId="0" fontId="79" fillId="41" borderId="0" xfId="159" applyFont="1" applyFill="1"/>
    <xf numFmtId="0" fontId="92" fillId="41" borderId="0" xfId="159" applyFont="1" applyFill="1" applyBorder="1" applyAlignment="1" applyProtection="1">
      <alignment horizontal="right" vertical="top"/>
    </xf>
    <xf numFmtId="0" fontId="92" fillId="41" borderId="0" xfId="159" applyFont="1" applyFill="1" applyBorder="1" applyProtection="1"/>
    <xf numFmtId="0" fontId="96" fillId="41" borderId="0" xfId="159" applyFont="1" applyFill="1" applyBorder="1" applyAlignment="1" applyProtection="1">
      <alignment horizontal="center"/>
    </xf>
    <xf numFmtId="0" fontId="95" fillId="41" borderId="0" xfId="159" applyFont="1" applyFill="1" applyBorder="1" applyAlignment="1" applyProtection="1">
      <alignment horizontal="center"/>
    </xf>
    <xf numFmtId="0" fontId="92" fillId="41" borderId="0" xfId="159" applyFont="1" applyFill="1" applyProtection="1"/>
    <xf numFmtId="0" fontId="92" fillId="41" borderId="30" xfId="159" applyFont="1" applyFill="1" applyBorder="1" applyProtection="1"/>
    <xf numFmtId="0" fontId="92" fillId="41" borderId="29" xfId="159" applyFont="1" applyFill="1" applyBorder="1" applyProtection="1"/>
    <xf numFmtId="0" fontId="92" fillId="41" borderId="28" xfId="159" applyFont="1" applyFill="1" applyBorder="1" applyProtection="1"/>
    <xf numFmtId="0" fontId="92" fillId="43" borderId="27" xfId="159" applyFont="1" applyFill="1" applyBorder="1" applyAlignment="1" applyProtection="1">
      <alignment vertical="center"/>
    </xf>
    <xf numFmtId="0" fontId="92" fillId="43" borderId="26" xfId="159" applyFont="1" applyFill="1" applyBorder="1" applyAlignment="1" applyProtection="1">
      <alignment vertical="center"/>
    </xf>
    <xf numFmtId="0" fontId="94" fillId="43" borderId="26" xfId="159" applyFont="1" applyFill="1" applyBorder="1" applyAlignment="1" applyProtection="1">
      <alignment vertical="center"/>
    </xf>
    <xf numFmtId="0" fontId="94" fillId="43" borderId="25" xfId="159" applyFont="1" applyFill="1" applyBorder="1" applyAlignment="1" applyProtection="1">
      <alignment vertical="center"/>
    </xf>
    <xf numFmtId="0" fontId="91" fillId="0" borderId="0" xfId="159" applyFont="1"/>
    <xf numFmtId="0" fontId="90" fillId="0" borderId="0" xfId="159" applyFont="1"/>
    <xf numFmtId="0" fontId="102" fillId="0" borderId="0" xfId="159" applyFont="1"/>
    <xf numFmtId="199" fontId="101" fillId="42" borderId="33" xfId="2" applyNumberFormat="1" applyFont="1" applyFill="1" applyBorder="1" applyAlignment="1" applyProtection="1">
      <alignment vertical="center"/>
    </xf>
    <xf numFmtId="0" fontId="92" fillId="0" borderId="0" xfId="159" quotePrefix="1" applyFont="1" applyProtection="1"/>
    <xf numFmtId="9" fontId="89" fillId="36" borderId="0" xfId="3" applyFont="1" applyFill="1" applyProtection="1">
      <protection locked="0"/>
    </xf>
    <xf numFmtId="37" fontId="89" fillId="36" borderId="20" xfId="0" applyFont="1" applyFill="1" applyBorder="1" applyProtection="1"/>
    <xf numFmtId="37" fontId="89" fillId="36" borderId="21" xfId="0" applyFont="1" applyFill="1" applyBorder="1" applyProtection="1"/>
    <xf numFmtId="37" fontId="89" fillId="36" borderId="2" xfId="0" applyFont="1" applyFill="1" applyBorder="1" applyProtection="1"/>
    <xf numFmtId="37" fontId="89" fillId="36" borderId="22" xfId="0" applyFont="1" applyFill="1" applyBorder="1" applyProtection="1"/>
    <xf numFmtId="190" fontId="89" fillId="36" borderId="0" xfId="0" applyNumberFormat="1" applyFont="1" applyFill="1" applyProtection="1">
      <protection locked="0"/>
    </xf>
    <xf numFmtId="175" fontId="89" fillId="37" borderId="0" xfId="1" applyNumberFormat="1" applyFont="1" applyFill="1" applyProtection="1">
      <protection locked="0"/>
    </xf>
    <xf numFmtId="37" fontId="89" fillId="37" borderId="0" xfId="0" applyFont="1" applyFill="1" applyProtection="1"/>
    <xf numFmtId="0" fontId="58" fillId="0" borderId="0" xfId="0" quotePrefix="1" applyNumberFormat="1" applyFont="1" applyFill="1" applyAlignment="1" applyProtection="1">
      <alignment horizontal="left" indent="1"/>
    </xf>
    <xf numFmtId="37" fontId="58" fillId="0" borderId="0" xfId="0" applyFont="1" applyFill="1" applyAlignment="1" applyProtection="1">
      <alignment horizontal="center"/>
    </xf>
    <xf numFmtId="37" fontId="89" fillId="37" borderId="0" xfId="0" applyFont="1" applyFill="1" applyAlignment="1" applyProtection="1">
      <alignment horizontal="center"/>
      <protection locked="0"/>
    </xf>
    <xf numFmtId="43" fontId="89" fillId="36" borderId="0" xfId="154" quotePrefix="1" applyFont="1" applyFill="1" applyAlignment="1" applyProtection="1">
      <alignment horizontal="left"/>
      <protection locked="0"/>
    </xf>
    <xf numFmtId="43" fontId="89" fillId="36" borderId="0" xfId="154" applyFont="1" applyFill="1" applyProtection="1">
      <protection locked="0"/>
    </xf>
    <xf numFmtId="43" fontId="89" fillId="36" borderId="0" xfId="154" applyFont="1" applyFill="1" applyAlignment="1" applyProtection="1">
      <alignment horizontal="center"/>
      <protection locked="0"/>
    </xf>
    <xf numFmtId="43" fontId="89" fillId="36" borderId="24" xfId="154" applyFont="1" applyFill="1" applyBorder="1" applyProtection="1">
      <protection locked="0"/>
    </xf>
    <xf numFmtId="43" fontId="89" fillId="36" borderId="0" xfId="154" quotePrefix="1" applyFont="1" applyFill="1" applyAlignment="1" applyProtection="1">
      <alignment horizontal="center"/>
      <protection locked="0"/>
    </xf>
    <xf numFmtId="14" fontId="91" fillId="0" borderId="0" xfId="159" applyNumberFormat="1" applyFont="1" applyAlignment="1">
      <alignment horizontal="left"/>
    </xf>
    <xf numFmtId="0" fontId="95" fillId="41" borderId="0" xfId="159" applyFont="1" applyFill="1" applyBorder="1" applyAlignment="1" applyProtection="1">
      <alignment horizontal="center" wrapText="1"/>
    </xf>
    <xf numFmtId="37" fontId="58" fillId="40" borderId="0" xfId="0" quotePrefix="1" applyFont="1" applyFill="1" applyAlignment="1" applyProtection="1">
      <alignment horizontal="center" wrapText="1"/>
    </xf>
    <xf numFmtId="37" fontId="87" fillId="0" borderId="18" xfId="0" applyFont="1" applyBorder="1" applyAlignment="1" applyProtection="1">
      <alignment horizontal="center"/>
    </xf>
    <xf numFmtId="37" fontId="87" fillId="0" borderId="19" xfId="0" applyFont="1" applyBorder="1" applyAlignment="1" applyProtection="1">
      <alignment horizontal="center"/>
    </xf>
    <xf numFmtId="37" fontId="58" fillId="0" borderId="0" xfId="0" applyFont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horizontal="right"/>
    </xf>
    <xf numFmtId="3" fontId="54" fillId="0" borderId="0" xfId="0" quotePrefix="1" applyNumberFormat="1" applyFont="1" applyFill="1" applyBorder="1" applyAlignment="1" applyProtection="1">
      <alignment horizontal="left" wrapText="1"/>
    </xf>
    <xf numFmtId="3" fontId="54" fillId="0" borderId="0" xfId="0" applyNumberFormat="1" applyFont="1" applyFill="1" applyBorder="1" applyAlignment="1" applyProtection="1">
      <alignment wrapText="1"/>
    </xf>
    <xf numFmtId="37" fontId="55" fillId="0" borderId="3" xfId="0" quotePrefix="1" applyFont="1" applyFill="1" applyBorder="1" applyAlignment="1">
      <alignment horizontal="center"/>
    </xf>
  </cellXfs>
  <cellStyles count="160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29" xfId="157"/>
    <cellStyle name="Normal 29 2" xfId="158"/>
    <cellStyle name="Normal 29 3" xfId="159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99"/>
      <color rgb="FF333399"/>
      <color rgb="FFFFFF99"/>
      <color rgb="FF99FF99"/>
      <color rgb="FF007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theme" Target="theme/theme1.xml"/><Relationship Id="rId52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PUE-2011-00013%20KU%20Rate%20Case%20-%20Capital%20Structure\KU%202011%20rate%20cas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08%20Reporting\11%20Nov%2008\Generation%20Summary%20Nov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%20Dividends%20Declared%20L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Energy%20Services\Reporting\2014%20Reporting\02%20February%202014\Gen%20%20Services\Revised%20Gen%20Services%20Feb%20Accru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8UPDATE\LGE\SEP\MWHCU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%20Modelling%20Worksh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946\Local%20Settings\Temporary%20Internet%20Files\Content.Outlook\1911PQE2\J019-0119-0212%20PAA%20TRANSFER%20UNAMORT%20DEBT%20EXP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Service/2012/03-31-2012/FERC%20Spare%20Parts/J111%20-%20KU%20Spare%20Parts%20Inventory%20Deferral%2003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04941\Downloads\Cost%20of%20Service\2012\03-31-2012\FERC%20Spare%20Parts\J111%20-%20KU%20Spare%20Parts%20Inventory%20Deferral%2003%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windows\TEMP\MWHCUSTMarch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3%20-%20CFO%20Update%20&amp;%20Adj%20to%20Target\Audit%20Services\0264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6Plan\Utility%20Plan\Supporting%20Schedules\Gross%20Margin\Gross%20Margin%202006-2008%20Pl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LGE\2015\JE098%20-%20Adjust%20Bad%20Debt%20Reserve\JE098%20Adj%20Bad%20Debt%20Reserve%202015.12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nthly%20Closing\2013%20Journal%20Entries%20and%20Support\08%20-%20August\LGE\IMEA-IMPA\J130%20-%20Fuel%20for%20Disallowed%20Trimble%20County%20-%20TC2%20-%2008.1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5UPDATE\NIACGRPH.XLW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0%20Reporting\01%20Jan%202010\SharePoint%20Upload\Plant%20Files\BR%20CT%20Jan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1%20Reporting\01%20Jan%202011\Fcst\GH%20Start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DIM\STEXCEL\02\Database\KUVA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.0100%20Dividends%20Declared%20L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nthly%20Reconciliations\2007\01-2007\LGEclranalysis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4\AUG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110VA%20(5)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el%20Adjustment%20Factor%20Monthly%20Filings\Support%20Documents\Weather\2015\WeatherAndCommodityReportCombined11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5\SEP%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5%20-%20Supply%20Chain%20Changes\000000%20-%202010%20MT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VOICES\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ent&amp;SUb Ratios"/>
      <sheetName val="cap structure"/>
      <sheetName val="Avg Int Rates"/>
      <sheetName val="LTD Costs"/>
      <sheetName val="LTD Costs (2)"/>
      <sheetName val="Fixed Rate Bonds YTM"/>
      <sheetName val="STD Adjustment"/>
      <sheetName val="case history"/>
      <sheetName val="Sheet2"/>
    </sheetNames>
    <sheetDataSet>
      <sheetData sheetId="0"/>
      <sheetData sheetId="1"/>
      <sheetData sheetId="2"/>
      <sheetData sheetId="3"/>
      <sheetData sheetId="4">
        <row r="46">
          <cell r="S46">
            <v>1810448.77966</v>
          </cell>
        </row>
      </sheetData>
      <sheetData sheetId="5">
        <row r="48">
          <cell r="K48">
            <v>1806362.41466</v>
          </cell>
        </row>
      </sheetData>
      <sheetData sheetId="6">
        <row r="25">
          <cell r="D25">
            <v>1.8333333333333333E-3</v>
          </cell>
        </row>
      </sheetData>
      <sheetData sheetId="7">
        <row r="25">
          <cell r="D25">
            <v>1.8333333333333333E-3</v>
          </cell>
        </row>
      </sheetData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report"/>
      <sheetName val="Contents"/>
      <sheetName val="Summary"/>
      <sheetName val="Controllable"/>
      <sheetName val="Capital"/>
      <sheetName val="Capital Support"/>
      <sheetName val="Outage Sched (2)"/>
      <sheetName val="Outage Sched"/>
      <sheetName val="Other Variances"/>
      <sheetName val="Company Summ PY"/>
      <sheetName val="Variance Summary (2)"/>
      <sheetName val="Generation KPIs (2)"/>
      <sheetName val="Generation MWHs (2)"/>
      <sheetName val="Outage Chart"/>
      <sheetName val="Engineering"/>
      <sheetName val="Headcount"/>
      <sheetName val="Historical"/>
      <sheetName val="Total Project Sanction"/>
      <sheetName val="ARO New"/>
      <sheetName val="Prelim Eng"/>
      <sheetName val="MWH-08"/>
      <sheetName val="Generation MWHs"/>
      <sheetName val="Cover"/>
      <sheetName val="Notes"/>
      <sheetName val="ARO"/>
      <sheetName val="Outage Cost"/>
      <sheetName val="Generation"/>
      <sheetName val="RB Current MO BM Graphs"/>
      <sheetName val="YTD BM Graphs"/>
      <sheetName val="FY BM Graphs"/>
      <sheetName val="Key Metrics"/>
      <sheetName val="KPI for Gen Plan"/>
      <sheetName val="Capital Projects"/>
      <sheetName val="Cap Interest"/>
      <sheetName val="Outages by Unit"/>
      <sheetName val="Category"/>
      <sheetName val="Major Projects"/>
      <sheetName val="Summary Total"/>
      <sheetName val="Sum Cap"/>
      <sheetName val="Company Summary"/>
      <sheetName val="OFA =&gt;"/>
      <sheetName val="CAP PY Detail"/>
      <sheetName val="PY Other Gen Company"/>
      <sheetName val="OFA Import"/>
      <sheetName val="Outages"/>
      <sheetName val="Gen 12 month"/>
      <sheetName val="Other COS Gen 12 month"/>
      <sheetName val="Other COS Trans 12 month"/>
      <sheetName val="Other COS"/>
      <sheetName val="Maintenance"/>
      <sheetName val="Variables"/>
      <sheetName val="Other"/>
      <sheetName val="FH FBM 12 month"/>
      <sheetName val="Gen BTL 12 month"/>
      <sheetName val="Gen BTL Prior Year"/>
      <sheetName val="Trans BTL Pr Year"/>
      <sheetName val="Sum Cont Cost"/>
      <sheetName val="Disc ==&gt;"/>
      <sheetName val="Cap Disc"/>
      <sheetName val="No Longer Used==&gt;"/>
      <sheetName val="Sum Other COS"/>
      <sheetName val="Sum FH"/>
      <sheetName val="BTL Summary"/>
      <sheetName val="Sum O&amp;M"/>
      <sheetName val="Other COS Gen"/>
      <sheetName val="FH FBM"/>
      <sheetName val="BTL"/>
      <sheetName val="O&amp;M PY Detail"/>
      <sheetName val="Other COS PY"/>
      <sheetName val="FH Prior Year Detail"/>
      <sheetName val="Sum CWIP"/>
      <sheetName val="Sum Ret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Planned Duration 1</v>
          </cell>
        </row>
        <row r="4">
          <cell r="B4" t="str">
            <v>StartDate</v>
          </cell>
          <cell r="C4" t="str">
            <v>EndDate</v>
          </cell>
        </row>
        <row r="6">
          <cell r="B6">
            <v>38787</v>
          </cell>
          <cell r="C6">
            <v>38810</v>
          </cell>
        </row>
        <row r="7">
          <cell r="B7">
            <v>38815</v>
          </cell>
          <cell r="C7">
            <v>38845</v>
          </cell>
        </row>
        <row r="8">
          <cell r="B8">
            <v>38780</v>
          </cell>
          <cell r="C8">
            <v>38789</v>
          </cell>
        </row>
        <row r="9">
          <cell r="B9">
            <v>39025</v>
          </cell>
          <cell r="C9">
            <v>39048</v>
          </cell>
        </row>
        <row r="10">
          <cell r="B10">
            <v>38808</v>
          </cell>
          <cell r="C10">
            <v>38817</v>
          </cell>
        </row>
        <row r="11">
          <cell r="B11">
            <v>38990</v>
          </cell>
          <cell r="C11">
            <v>39020</v>
          </cell>
        </row>
        <row r="12">
          <cell r="B12">
            <v>38983</v>
          </cell>
          <cell r="C12">
            <v>39006</v>
          </cell>
        </row>
        <row r="13">
          <cell r="B13">
            <v>38997</v>
          </cell>
          <cell r="C13">
            <v>39020</v>
          </cell>
        </row>
        <row r="14">
          <cell r="B14">
            <v>38843</v>
          </cell>
          <cell r="C14">
            <v>38866</v>
          </cell>
        </row>
        <row r="15">
          <cell r="B15">
            <v>38794</v>
          </cell>
          <cell r="C15">
            <v>38810</v>
          </cell>
        </row>
        <row r="16">
          <cell r="B16">
            <v>39039</v>
          </cell>
          <cell r="C16">
            <v>39055</v>
          </cell>
        </row>
        <row r="17">
          <cell r="B17">
            <v>39053</v>
          </cell>
          <cell r="C17">
            <v>39069</v>
          </cell>
        </row>
        <row r="21">
          <cell r="B21">
            <v>39011</v>
          </cell>
          <cell r="C21">
            <v>39027</v>
          </cell>
        </row>
        <row r="22">
          <cell r="B22">
            <v>38794</v>
          </cell>
          <cell r="C22">
            <v>38803</v>
          </cell>
        </row>
        <row r="26">
          <cell r="B26">
            <v>38829</v>
          </cell>
          <cell r="C26">
            <v>38852</v>
          </cell>
        </row>
        <row r="27">
          <cell r="B27">
            <v>38976</v>
          </cell>
          <cell r="C27">
            <v>38999</v>
          </cell>
        </row>
        <row r="29">
          <cell r="B29">
            <v>38829</v>
          </cell>
          <cell r="C29">
            <v>38852</v>
          </cell>
        </row>
        <row r="30">
          <cell r="B30">
            <v>39046</v>
          </cell>
          <cell r="C30">
            <v>39069</v>
          </cell>
        </row>
        <row r="31">
          <cell r="B31">
            <v>38808</v>
          </cell>
          <cell r="C31">
            <v>38831</v>
          </cell>
        </row>
        <row r="32">
          <cell r="B32">
            <v>38836</v>
          </cell>
          <cell r="C32">
            <v>38859</v>
          </cell>
        </row>
        <row r="33">
          <cell r="B33">
            <v>38976</v>
          </cell>
          <cell r="C33">
            <v>38999</v>
          </cell>
        </row>
        <row r="34">
          <cell r="B34">
            <v>39053</v>
          </cell>
          <cell r="C34">
            <v>39062</v>
          </cell>
        </row>
        <row r="35">
          <cell r="B35">
            <v>38822</v>
          </cell>
          <cell r="C35">
            <v>38838</v>
          </cell>
        </row>
        <row r="36">
          <cell r="B36">
            <v>38752</v>
          </cell>
          <cell r="C36">
            <v>38810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CODE"/>
      <sheetName val="JUL 06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</sheetNames>
    <sheetDataSet>
      <sheetData sheetId="0" refreshError="1">
        <row r="6">
          <cell r="B6">
            <v>593473001</v>
          </cell>
          <cell r="C6">
            <v>1015200</v>
          </cell>
        </row>
        <row r="7">
          <cell r="B7">
            <v>596953001</v>
          </cell>
          <cell r="C7">
            <v>27458391</v>
          </cell>
        </row>
        <row r="8">
          <cell r="B8">
            <v>1000000615001</v>
          </cell>
          <cell r="C8">
            <v>2080800</v>
          </cell>
        </row>
        <row r="9">
          <cell r="B9">
            <v>1000000719001</v>
          </cell>
          <cell r="C9">
            <v>1728000</v>
          </cell>
        </row>
        <row r="10">
          <cell r="B10">
            <v>1000593434001</v>
          </cell>
          <cell r="C10">
            <v>13593600</v>
          </cell>
        </row>
        <row r="11">
          <cell r="B11">
            <v>1000596121001</v>
          </cell>
          <cell r="C11">
            <v>13392000</v>
          </cell>
        </row>
        <row r="12">
          <cell r="B12">
            <v>1000596969001</v>
          </cell>
          <cell r="C12">
            <v>14191000</v>
          </cell>
        </row>
        <row r="13">
          <cell r="B13">
            <v>1000620164001</v>
          </cell>
          <cell r="C13">
            <v>3362400</v>
          </cell>
        </row>
        <row r="14">
          <cell r="B14">
            <v>2000003059001</v>
          </cell>
          <cell r="C14">
            <v>1085172</v>
          </cell>
        </row>
        <row r="15">
          <cell r="B15">
            <v>3000001502001</v>
          </cell>
          <cell r="C15">
            <v>87200</v>
          </cell>
        </row>
        <row r="16">
          <cell r="B16">
            <v>3000001518001</v>
          </cell>
          <cell r="C16">
            <v>229440</v>
          </cell>
        </row>
        <row r="17">
          <cell r="B17">
            <v>3000001564001</v>
          </cell>
          <cell r="C17">
            <v>2467200</v>
          </cell>
        </row>
        <row r="18">
          <cell r="B18">
            <v>4000596813001</v>
          </cell>
          <cell r="C18">
            <v>7200000</v>
          </cell>
        </row>
        <row r="19">
          <cell r="B19">
            <v>5000596177001</v>
          </cell>
          <cell r="C19">
            <v>734400</v>
          </cell>
        </row>
        <row r="20">
          <cell r="B20">
            <v>6000596818001</v>
          </cell>
          <cell r="C20">
            <v>3144000</v>
          </cell>
        </row>
        <row r="21">
          <cell r="B21">
            <v>7000000299001</v>
          </cell>
          <cell r="C21">
            <v>640800</v>
          </cell>
        </row>
        <row r="22">
          <cell r="B22">
            <v>7000596830001</v>
          </cell>
          <cell r="C22">
            <v>19440000</v>
          </cell>
        </row>
        <row r="23">
          <cell r="B23">
            <v>7000723656001</v>
          </cell>
          <cell r="C23">
            <v>1191600</v>
          </cell>
        </row>
        <row r="24">
          <cell r="B24">
            <v>8000001387001</v>
          </cell>
          <cell r="C24">
            <v>1243200</v>
          </cell>
        </row>
        <row r="25">
          <cell r="B25">
            <v>8000001644001</v>
          </cell>
          <cell r="C25">
            <v>1305600</v>
          </cell>
        </row>
        <row r="26">
          <cell r="B26">
            <v>8000001852001</v>
          </cell>
          <cell r="C26">
            <v>5059200</v>
          </cell>
        </row>
        <row r="27">
          <cell r="B27">
            <v>8000002112001</v>
          </cell>
          <cell r="C27">
            <v>1366351</v>
          </cell>
        </row>
        <row r="28">
          <cell r="B28">
            <v>8000002479001</v>
          </cell>
          <cell r="C28">
            <v>422400</v>
          </cell>
        </row>
        <row r="29">
          <cell r="B29">
            <v>8000002505001</v>
          </cell>
          <cell r="C29">
            <v>291840</v>
          </cell>
        </row>
        <row r="30">
          <cell r="B30">
            <v>8000002512001</v>
          </cell>
          <cell r="C30">
            <v>2016000</v>
          </cell>
        </row>
        <row r="31">
          <cell r="B31">
            <v>8000002567001</v>
          </cell>
          <cell r="C31">
            <v>1406400</v>
          </cell>
        </row>
        <row r="32">
          <cell r="B32">
            <v>8000002662001</v>
          </cell>
          <cell r="C32">
            <v>2512800</v>
          </cell>
        </row>
        <row r="33">
          <cell r="B33">
            <v>9000000087001</v>
          </cell>
          <cell r="C33">
            <v>1183200</v>
          </cell>
        </row>
        <row r="34">
          <cell r="B34">
            <v>9000000182001</v>
          </cell>
          <cell r="C34">
            <v>13147200</v>
          </cell>
        </row>
        <row r="35">
          <cell r="B35">
            <v>9000000633001</v>
          </cell>
          <cell r="C35">
            <v>14812800</v>
          </cell>
        </row>
        <row r="36">
          <cell r="B36">
            <v>9000000656001</v>
          </cell>
          <cell r="C36">
            <v>11621400</v>
          </cell>
        </row>
        <row r="37">
          <cell r="B37">
            <v>9000000663001</v>
          </cell>
          <cell r="C37">
            <v>8078400</v>
          </cell>
        </row>
        <row r="38">
          <cell r="B38">
            <v>9000000695001</v>
          </cell>
          <cell r="C38">
            <v>4771200</v>
          </cell>
        </row>
        <row r="39">
          <cell r="B39">
            <v>9000000737001</v>
          </cell>
          <cell r="C39">
            <v>6864000</v>
          </cell>
        </row>
        <row r="40">
          <cell r="B40">
            <v>9000003017001</v>
          </cell>
          <cell r="C40">
            <v>1641600</v>
          </cell>
        </row>
        <row r="41">
          <cell r="B41">
            <v>9999999999999</v>
          </cell>
          <cell r="C41">
            <v>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oforma - circ ref"/>
      <sheetName val="Proforma - avoid"/>
      <sheetName val="Proforma - Macro"/>
      <sheetName val="TV "/>
      <sheetName val="JV Standalone"/>
      <sheetName val="Interest"/>
    </sheetNames>
    <sheetDataSet>
      <sheetData sheetId="0" refreshError="1">
        <row r="8">
          <cell r="D8">
            <v>0.3</v>
          </cell>
          <cell r="E8">
            <v>0.3</v>
          </cell>
          <cell r="F8">
            <v>0.3</v>
          </cell>
          <cell r="G8">
            <v>0.3</v>
          </cell>
          <cell r="H8">
            <v>0.3</v>
          </cell>
        </row>
        <row r="10">
          <cell r="D10">
            <v>0.06</v>
          </cell>
          <cell r="E10">
            <v>0.06</v>
          </cell>
          <cell r="F10">
            <v>0.06</v>
          </cell>
          <cell r="G10">
            <v>0.06</v>
          </cell>
          <cell r="H10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$20.93M"/>
      <sheetName val="$2.4M"/>
      <sheetName val="$7.4M"/>
      <sheetName val="$7.2M"/>
      <sheetName val="$96M"/>
      <sheetName val="Sheet1"/>
      <sheetName val="186004-2002"/>
      <sheetName val="186004-2003"/>
      <sheetName val="186004-2004"/>
      <sheetName val="186004-2005"/>
      <sheetName val="186004-2006 "/>
      <sheetName val="Current TB Balances"/>
      <sheetName val="186004-2007"/>
      <sheetName val="186004-2009"/>
      <sheetName val="186004-2010"/>
      <sheetName val="Loss amortization tables"/>
      <sheetName val="Loss Input"/>
      <sheetName val="J019-0119"/>
      <sheetName val="Debt Exp Input"/>
      <sheetName val="Expense Amortization Tables"/>
      <sheetName val="J136-0110-1002"/>
      <sheetName val="J159-0110-0903"/>
      <sheetName val="J131-0110-1103"/>
      <sheetName val="J123-0110-1203"/>
      <sheetName val="J131-0110-1104"/>
      <sheetName val="J142-0110-1104 "/>
      <sheetName val="J127-0110-120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J14" t="str">
            <v>J019-0119-0212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/>
      <sheetData sheetId="1">
        <row r="14">
          <cell r="J14" t="str">
            <v>J111-0110-0312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/>
      <sheetData sheetId="1">
        <row r="14">
          <cell r="J14" t="str">
            <v>J111-0110-0312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rpt"/>
      <sheetName val="data import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2000 Budget"/>
      <sheetName val="99 Budget"/>
      <sheetName val="H"/>
      <sheetName val="Module1"/>
      <sheetName val="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s"/>
      <sheetName val="ToC"/>
      <sheetName val="Changes"/>
      <sheetName val="Budget - PY"/>
      <sheetName val="Year 1"/>
      <sheetName val="Year 2"/>
      <sheetName val="Year 3"/>
      <sheetName val="Annual Trend"/>
      <sheetName val="Plan vs Plan"/>
      <sheetName val="Labor Calculations --&gt;"/>
      <sheetName val="Ex - Y1"/>
      <sheetName val="Ex - Y2"/>
      <sheetName val="Ex - Y3"/>
      <sheetName val="NE - Y1"/>
      <sheetName val="NE - Y2"/>
      <sheetName val="NE - Y3"/>
      <sheetName val="PT - Y1"/>
      <sheetName val="PT - Y2"/>
      <sheetName val="PT - Y3"/>
      <sheetName val="Support --&gt;"/>
      <sheetName val="database"/>
      <sheetName val="CFO Detail"/>
      <sheetName val="CFO Total $s"/>
      <sheetName val="CFO #s"/>
      <sheetName val="Project Listing"/>
      <sheetName val="LOB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Review Checklist"/>
      <sheetName val="Trend Chart"/>
      <sheetName val="J098"/>
      <sheetName val="Calculations"/>
      <sheetName val="Inputs"/>
      <sheetName val="A216810396964DCDB399904ED81BA8E"/>
      <sheetName val="CM EiS Report"/>
      <sheetName val="Data"/>
      <sheetName val="Error Checks"/>
      <sheetName val="VersionHist"/>
      <sheetName val="Executive 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Process Documentation"/>
      <sheetName val="BneLog"/>
      <sheetName val="Journal 1"/>
      <sheetName val="Journal Summary"/>
      <sheetName val="TC 2 Fuel and Reactant Costs"/>
      <sheetName val="LGE TC2 Costs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Category</v>
          </cell>
        </row>
      </sheetData>
      <sheetData sheetId="8">
        <row r="11">
          <cell r="K11">
            <v>68614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Graph Info"/>
      <sheetName val="Input"/>
      <sheetName val="NIACGRPH"/>
    </sheetNames>
    <definedNames>
      <definedName name="Printing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Summary"/>
      <sheetName val="Tab 2 Internal Labor"/>
      <sheetName val="Tab 3 Residential Contractors"/>
      <sheetName val="Tab 4 All Other Nonlabor"/>
      <sheetName val="Tab 5 OS FH OCOS"/>
      <sheetName val="Tab 6 Gross Margin"/>
      <sheetName val="Tab 7 Capital investment"/>
      <sheetName val="Tab 8 Capital Removal"/>
      <sheetName val="Tab 9 Total Capital"/>
      <sheetName val="Tab 10 All Projects"/>
      <sheetName val="Nonlabor Data Dump"/>
      <sheetName val="Budget NL Dump"/>
      <sheetName val="Calendar Control"/>
      <sheetName val="Org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0">
          <cell r="A180" t="str">
            <v>Recover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Indirect NEEDS UPDATING"/>
      <sheetName val="PP Data Dump NEEDS UPDATING"/>
      <sheetName val="Upload Detail NEEDS UPDATING"/>
      <sheetName val="Tab 1 Summary"/>
      <sheetName val="Tab 2 Internal Labor"/>
      <sheetName val="Tab 3 Residential Contractors"/>
      <sheetName val="Tab 4 All Other Nonlabor"/>
      <sheetName val="Tab 5 FH NL"/>
      <sheetName val="Tab 6 Gross Margin"/>
      <sheetName val="Tab 7 Capital investment"/>
      <sheetName val="Tab 8 Capital Removal"/>
      <sheetName val="Tab 9 Total Capital"/>
      <sheetName val="Tab 10 All Projects"/>
      <sheetName val="Act"/>
      <sheetName val="Fcst"/>
      <sheetName val="Bdgt"/>
      <sheetName val="Sheet1"/>
      <sheetName val="Calendar Control"/>
      <sheetName val="Orgs"/>
      <sheetName val="Macro1"/>
      <sheetName val="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V Voucher"/>
      <sheetName val="500CR p1"/>
      <sheetName val="500CR p2"/>
      <sheetName val="500CR p3"/>
      <sheetName val="500T"/>
      <sheetName val="500C"/>
      <sheetName val="500X p1"/>
      <sheetName val="500X p2"/>
      <sheetName val="4562 p1"/>
      <sheetName val="4562 p2"/>
      <sheetName val="Apport Wks"/>
      <sheetName val="Supp Sched"/>
      <sheetName val="Est Pay"/>
      <sheetName val="Route Sheet"/>
      <sheetName val="Info Page"/>
      <sheetName val="PR"/>
      <sheetName val="W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I7" t="b">
            <v>0</v>
          </cell>
        </row>
      </sheetData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SEPT 06"/>
      <sheetName val="OCT 06"/>
      <sheetName val="Nov 06"/>
      <sheetName val="CODE"/>
      <sheetName val="Dec 06"/>
      <sheetName val="OCT NOV DEC 06 SUPP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131027"/>
      <sheetName val="Cash"/>
      <sheetName val="DAY 5 BALANCES"/>
      <sheetName val="BALANCE"/>
      <sheetName val="Main"/>
      <sheetName val="Misc"/>
      <sheetName val="25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Sch AB"/>
      <sheetName val="500 Sch AB p2"/>
      <sheetName val="500 V Voucher"/>
      <sheetName val="500CR p1"/>
      <sheetName val="500CR p2"/>
      <sheetName val="500CR p3"/>
      <sheetName val="500T"/>
      <sheetName val="500C"/>
      <sheetName val="500 EL"/>
      <sheetName val="500X p1"/>
      <sheetName val="500X p2"/>
      <sheetName val="Apport Wks"/>
      <sheetName val="Supp Sched"/>
      <sheetName val="Est Pay"/>
      <sheetName val="Route Sheet"/>
      <sheetName val="Info Page"/>
      <sheetName val="PR"/>
      <sheetName val="State 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>
        <row r="2">
          <cell r="E2" t="str">
            <v xml:space="preserve"> </v>
          </cell>
        </row>
        <row r="29">
          <cell r="E29" t="str">
            <v>Kentucky Utilities Company</v>
          </cell>
        </row>
        <row r="36">
          <cell r="E36" t="str">
            <v>61-0247570</v>
          </cell>
        </row>
      </sheetData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LoadSummary"/>
      <sheetName val="LG&amp;E_Summary"/>
      <sheetName val="KU_Summary"/>
      <sheetName val="LG&amp;E_Billing"/>
      <sheetName val="KU_Billing"/>
      <sheetName val="VA_Billing"/>
      <sheetName val="Detail"/>
      <sheetName val="KU Loads (MWh)"/>
      <sheetName val="LG&amp;E Loads (MWh)"/>
      <sheetName val="LG&amp;E Loads (Mcf)"/>
      <sheetName val="Summary"/>
      <sheetName val="Inpu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>
        <row r="4">
          <cell r="C4">
            <v>11</v>
          </cell>
        </row>
        <row r="5">
          <cell r="C5">
            <v>2015</v>
          </cell>
        </row>
      </sheetData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Cash"/>
      <sheetName val="DAY 5 BALANCES"/>
      <sheetName val="BALANCE"/>
      <sheetName val="Main"/>
      <sheetName val="Misc"/>
      <sheetName val="25TH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&amp;M Data"/>
      <sheetName val="Other Data"/>
      <sheetName val="O&amp;M Cost Table"/>
      <sheetName val="Off-Duty"/>
      <sheetName val="Headcount"/>
      <sheetName val="Database"/>
      <sheetName val="Ex"/>
      <sheetName val="NE"/>
      <sheetName val="PT"/>
      <sheetName val="Training &amp; Travel"/>
      <sheetName val="Current MTP"/>
      <sheetName val="Target Calc--Previous MTP"/>
      <sheetName val="Target Calc--CY Target Adj"/>
      <sheetName val="Target Calc--Burden Rate"/>
      <sheetName val="Target Calc--Previous MTP (Adj)"/>
      <sheetName val="Variances"/>
      <sheetName val="Annual Trend"/>
      <sheetName val="Changes"/>
      <sheetName val="Policy Notes"/>
      <sheetName val="Allocation %s"/>
      <sheetName val="Allocations - LG&amp;E"/>
      <sheetName val="Allocations - KU"/>
      <sheetName val="Allocations - ECC"/>
      <sheetName val="Allocations - WKE"/>
      <sheetName val="000000 - 2010 M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7">
          <cell r="C7">
            <v>0</v>
          </cell>
        </row>
        <row r="8">
          <cell r="C8" t="str">
            <v>021000 - CEO</v>
          </cell>
        </row>
        <row r="9">
          <cell r="C9" t="str">
            <v>026050 - CFO</v>
          </cell>
        </row>
        <row r="10">
          <cell r="C10" t="str">
            <v xml:space="preserve">  - CFO - PwC Audits </v>
          </cell>
        </row>
        <row r="11">
          <cell r="C11" t="str">
            <v xml:space="preserve">  - CFO - Other Audits </v>
          </cell>
        </row>
        <row r="12">
          <cell r="C12" t="str">
            <v xml:space="preserve">026400 - Audit Services </v>
          </cell>
        </row>
        <row r="13">
          <cell r="C13" t="str">
            <v xml:space="preserve">026400A - IT &amp; Operational Audit </v>
          </cell>
        </row>
        <row r="14">
          <cell r="C14" t="str">
            <v xml:space="preserve">026400B - Financial &amp; Contract Audit </v>
          </cell>
        </row>
        <row r="15">
          <cell r="C15" t="str">
            <v>026330 - Treasurer</v>
          </cell>
        </row>
        <row r="16">
          <cell r="C16" t="str">
            <v>026075 - Trading Controls</v>
          </cell>
        </row>
        <row r="17">
          <cell r="C17" t="str">
            <v>026350 - Risk Management</v>
          </cell>
        </row>
        <row r="18">
          <cell r="C18" t="str">
            <v>026370 - Cash Management</v>
          </cell>
        </row>
        <row r="19">
          <cell r="C19" t="str">
            <v xml:space="preserve">026390 - Credit &amp; Contract Administration </v>
          </cell>
        </row>
        <row r="20">
          <cell r="C20" t="str">
            <v>026130 - Controller</v>
          </cell>
        </row>
        <row r="21">
          <cell r="C21" t="str">
            <v xml:space="preserve">026060 - Energy Marketing Accounting </v>
          </cell>
        </row>
        <row r="22">
          <cell r="C22" t="str">
            <v xml:space="preserve">026190 - Corporate Accounting </v>
          </cell>
        </row>
        <row r="23">
          <cell r="C23" t="str">
            <v>026135 - Utility Accounting &amp; Reporting</v>
          </cell>
        </row>
        <row r="24">
          <cell r="C24" t="str">
            <v>026080 - Revenue Accounting</v>
          </cell>
        </row>
        <row r="25">
          <cell r="C25" t="str">
            <v>026120 - Property Accounting</v>
          </cell>
        </row>
        <row r="26">
          <cell r="C26" t="str">
            <v>026150 - Financial Accounting &amp; Reporting</v>
          </cell>
        </row>
        <row r="27">
          <cell r="C27" t="str">
            <v>026160 - Regulatory Accounting &amp; Reporting</v>
          </cell>
        </row>
        <row r="28">
          <cell r="C28" t="str">
            <v xml:space="preserve">026045 - Corporate Tax </v>
          </cell>
        </row>
        <row r="29">
          <cell r="C29" t="str">
            <v>026045 - Tax Compliance</v>
          </cell>
        </row>
        <row r="30">
          <cell r="C30" t="str">
            <v>026045 - Tax Accounting</v>
          </cell>
        </row>
        <row r="31">
          <cell r="C31" t="str">
            <v>026310 - Payroll</v>
          </cell>
        </row>
        <row r="32">
          <cell r="C32" t="str">
            <v>026025 - Corporate Planning &amp; Development</v>
          </cell>
        </row>
        <row r="33">
          <cell r="C33" t="str">
            <v xml:space="preserve">026145 - Financial Analysis </v>
          </cell>
        </row>
        <row r="34">
          <cell r="C34" t="str">
            <v xml:space="preserve">029250 - Corporate Development </v>
          </cell>
        </row>
        <row r="35">
          <cell r="C35" t="str">
            <v>026020 - Financial Planning &amp; Controlling</v>
          </cell>
        </row>
        <row r="36">
          <cell r="C36" t="str">
            <v xml:space="preserve">026110 - Financial Systems (Oracle Business Support) </v>
          </cell>
        </row>
        <row r="37">
          <cell r="C37" t="str">
            <v xml:space="preserve">026140 - Financial Planning </v>
          </cell>
        </row>
        <row r="38">
          <cell r="C38" t="str">
            <v>025410 - Supply Chain</v>
          </cell>
        </row>
        <row r="39">
          <cell r="C39" t="str">
            <v xml:space="preserve">025410 - Supply Chain (Stores Allocation) </v>
          </cell>
        </row>
        <row r="40">
          <cell r="C40" t="str">
            <v xml:space="preserve">015324 - Materials Logistics : Stores (Lexington Area) 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Invoice"/>
      <sheetName val="INVOICE"/>
    </sheetNames>
    <sheetDataSet>
      <sheetData sheetId="0" refreshError="1">
        <row r="15">
          <cell r="E15" t="str">
            <v>KY</v>
          </cell>
        </row>
        <row r="28">
          <cell r="D28" t="b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K32"/>
  <sheetViews>
    <sheetView showGridLines="0" tabSelected="1" zoomScaleNormal="100" workbookViewId="0">
      <pane ySplit="3" topLeftCell="A4" activePane="bottomLeft" state="frozen"/>
      <selection pane="bottomLeft" activeCell="Q25" sqref="Q25"/>
    </sheetView>
  </sheetViews>
  <sheetFormatPr defaultColWidth="9.33203125" defaultRowHeight="12.75" x14ac:dyDescent="0.2"/>
  <cols>
    <col min="1" max="1" width="3.1640625" style="618" customWidth="1"/>
    <col min="2" max="2" width="2" style="619" customWidth="1"/>
    <col min="3" max="3" width="6.83203125" style="619" customWidth="1"/>
    <col min="4" max="4" width="50.83203125" style="619" customWidth="1"/>
    <col min="5" max="5" width="2.83203125" style="619" customWidth="1"/>
    <col min="6" max="6" width="21.83203125" style="619" customWidth="1"/>
    <col min="7" max="7" width="2.83203125" style="619" customWidth="1"/>
    <col min="8" max="8" width="17.83203125" style="619" customWidth="1"/>
    <col min="9" max="9" width="19.83203125" style="619" customWidth="1"/>
    <col min="10" max="10" width="2" style="619" customWidth="1"/>
    <col min="11" max="11" width="4.33203125" style="618" customWidth="1"/>
    <col min="12" max="12" width="9.33203125" style="617"/>
    <col min="13" max="13" width="12.83203125" style="617" bestFit="1" customWidth="1"/>
    <col min="14" max="16384" width="9.33203125" style="617"/>
  </cols>
  <sheetData>
    <row r="1" spans="1:11" ht="18.75" x14ac:dyDescent="0.3">
      <c r="A1" s="617"/>
      <c r="B1" s="649" t="s">
        <v>986</v>
      </c>
      <c r="C1" s="648"/>
      <c r="D1" s="617"/>
      <c r="E1" s="617"/>
      <c r="F1" s="617"/>
      <c r="G1" s="617"/>
      <c r="H1" s="617"/>
      <c r="I1" s="617"/>
      <c r="J1" s="617"/>
      <c r="K1" s="617"/>
    </row>
    <row r="2" spans="1:11" ht="15.75" x14ac:dyDescent="0.25">
      <c r="A2" s="617"/>
      <c r="B2" s="647" t="s">
        <v>965</v>
      </c>
      <c r="C2" s="647"/>
      <c r="D2" s="647"/>
      <c r="E2" s="617"/>
      <c r="F2" s="617"/>
      <c r="G2" s="617"/>
      <c r="H2" s="617"/>
      <c r="I2" s="617"/>
      <c r="J2" s="617"/>
      <c r="K2" s="617"/>
    </row>
    <row r="3" spans="1:11" ht="15.75" x14ac:dyDescent="0.25">
      <c r="A3" s="617"/>
      <c r="B3" s="668">
        <f>'OATT Input Data'!B4</f>
        <v>43465</v>
      </c>
      <c r="C3" s="668"/>
      <c r="D3" s="668"/>
      <c r="E3" s="617"/>
      <c r="F3" s="617"/>
      <c r="G3" s="617"/>
      <c r="H3" s="617"/>
      <c r="I3" s="617"/>
      <c r="J3" s="617"/>
      <c r="K3" s="617"/>
    </row>
    <row r="4" spans="1:11" s="629" customFormat="1" ht="13.5" thickBot="1" x14ac:dyDescent="0.25">
      <c r="A4" s="618"/>
      <c r="B4" s="618"/>
      <c r="C4" s="618"/>
      <c r="D4" s="618"/>
      <c r="E4" s="618"/>
      <c r="F4" s="618"/>
      <c r="G4" s="618"/>
      <c r="H4" s="618"/>
      <c r="I4" s="618"/>
      <c r="J4" s="630"/>
      <c r="K4" s="630"/>
    </row>
    <row r="5" spans="1:11" ht="13.5" thickBot="1" x14ac:dyDescent="0.25">
      <c r="B5" s="646" t="str">
        <f>"Disclosures Related to Transmission Formula Rate Update for 12 Months Ended "&amp;TEXT($B$3,"Mmmm d, yyyy")</f>
        <v>Disclosures Related to Transmission Formula Rate Update for 12 Months Ended December 31, 2018</v>
      </c>
      <c r="C5" s="645"/>
      <c r="D5" s="645"/>
      <c r="E5" s="644"/>
      <c r="F5" s="644"/>
      <c r="G5" s="644"/>
      <c r="H5" s="644"/>
      <c r="I5" s="644"/>
      <c r="J5" s="643"/>
      <c r="K5" s="630"/>
    </row>
    <row r="6" spans="1:11" ht="6" customHeight="1" x14ac:dyDescent="0.2">
      <c r="B6" s="642"/>
      <c r="C6" s="641"/>
      <c r="D6" s="641"/>
      <c r="E6" s="641"/>
      <c r="F6" s="641"/>
      <c r="G6" s="641"/>
      <c r="H6" s="641"/>
      <c r="I6" s="641"/>
      <c r="J6" s="640"/>
      <c r="K6" s="630"/>
    </row>
    <row r="7" spans="1:11" x14ac:dyDescent="0.2">
      <c r="B7" s="628"/>
      <c r="C7" s="636" t="s">
        <v>957</v>
      </c>
      <c r="D7" s="636"/>
      <c r="E7" s="636"/>
      <c r="F7" s="639"/>
      <c r="G7" s="636"/>
      <c r="H7" s="636"/>
      <c r="I7" s="636"/>
      <c r="J7" s="623"/>
      <c r="K7" s="630"/>
    </row>
    <row r="8" spans="1:11" ht="6" customHeight="1" x14ac:dyDescent="0.2">
      <c r="B8" s="628"/>
      <c r="C8" s="636"/>
      <c r="D8" s="636"/>
      <c r="E8" s="636"/>
      <c r="F8" s="634"/>
      <c r="G8" s="636"/>
      <c r="H8" s="636"/>
      <c r="I8" s="636"/>
      <c r="J8" s="623"/>
      <c r="K8" s="630"/>
    </row>
    <row r="9" spans="1:11" ht="11.1" customHeight="1" x14ac:dyDescent="0.2">
      <c r="B9" s="628"/>
      <c r="C9" s="636"/>
      <c r="D9" s="636"/>
      <c r="E9" s="636"/>
      <c r="F9" s="669" t="s">
        <v>1000</v>
      </c>
      <c r="G9" s="636"/>
      <c r="H9" s="669" t="str">
        <f>"Resulted in Increase (Decrease) to 2018 Rates"</f>
        <v>Resulted in Increase (Decrease) to 2018 Rates</v>
      </c>
      <c r="I9" s="669"/>
      <c r="J9" s="623"/>
      <c r="K9" s="630"/>
    </row>
    <row r="10" spans="1:11" ht="11.1" customHeight="1" x14ac:dyDescent="0.2">
      <c r="B10" s="628"/>
      <c r="C10" s="636"/>
      <c r="D10" s="636"/>
      <c r="E10" s="636"/>
      <c r="F10" s="669"/>
      <c r="G10" s="636"/>
      <c r="H10" s="669"/>
      <c r="I10" s="669"/>
      <c r="J10" s="623"/>
      <c r="K10" s="630"/>
    </row>
    <row r="11" spans="1:11" ht="11.1" customHeight="1" x14ac:dyDescent="0.2">
      <c r="B11" s="628"/>
      <c r="C11" s="636"/>
      <c r="D11" s="636"/>
      <c r="E11" s="636"/>
      <c r="F11" s="669"/>
      <c r="G11" s="636"/>
      <c r="H11" s="669"/>
      <c r="I11" s="669"/>
      <c r="J11" s="623"/>
      <c r="K11" s="630"/>
    </row>
    <row r="12" spans="1:11" ht="15" customHeight="1" x14ac:dyDescent="0.35">
      <c r="B12" s="628"/>
      <c r="C12" s="636"/>
      <c r="D12" s="638" t="s">
        <v>869</v>
      </c>
      <c r="E12" s="636"/>
      <c r="F12" s="669"/>
      <c r="G12" s="636"/>
      <c r="H12" s="669"/>
      <c r="I12" s="669"/>
      <c r="J12" s="623"/>
      <c r="K12" s="630"/>
    </row>
    <row r="13" spans="1:11" ht="30" x14ac:dyDescent="0.35">
      <c r="B13" s="628"/>
      <c r="C13" s="631" t="s">
        <v>958</v>
      </c>
      <c r="D13" s="637"/>
      <c r="E13" s="636"/>
      <c r="F13" s="634"/>
      <c r="G13" s="636"/>
      <c r="H13" s="633" t="s">
        <v>966</v>
      </c>
      <c r="I13" s="633" t="s">
        <v>967</v>
      </c>
      <c r="J13" s="623"/>
      <c r="K13" s="630"/>
    </row>
    <row r="14" spans="1:11" ht="13.5" customHeight="1" thickBot="1" x14ac:dyDescent="0.25">
      <c r="B14" s="628"/>
      <c r="C14" s="635" t="s">
        <v>959</v>
      </c>
      <c r="D14" s="626" t="s">
        <v>1020</v>
      </c>
      <c r="E14" s="625"/>
      <c r="F14" s="615">
        <v>19122.82</v>
      </c>
      <c r="G14" s="625"/>
      <c r="H14" s="616">
        <v>0</v>
      </c>
      <c r="I14" s="616">
        <v>0</v>
      </c>
      <c r="J14" s="623"/>
      <c r="K14" s="632"/>
    </row>
    <row r="15" spans="1:11" ht="13.5" customHeight="1" thickBot="1" x14ac:dyDescent="0.25">
      <c r="B15" s="628"/>
      <c r="C15" s="635" t="s">
        <v>960</v>
      </c>
      <c r="D15" s="626" t="s">
        <v>1021</v>
      </c>
      <c r="E15" s="625"/>
      <c r="F15" s="615">
        <v>3624.07</v>
      </c>
      <c r="G15" s="625"/>
      <c r="H15" s="616">
        <v>0</v>
      </c>
      <c r="I15" s="616">
        <v>0</v>
      </c>
      <c r="J15" s="623"/>
      <c r="K15" s="632"/>
    </row>
    <row r="16" spans="1:11" ht="15.75" customHeight="1" thickBot="1" x14ac:dyDescent="0.25">
      <c r="B16" s="628"/>
      <c r="C16" s="635" t="s">
        <v>1018</v>
      </c>
      <c r="D16" s="626" t="s">
        <v>1019</v>
      </c>
      <c r="E16" s="625"/>
      <c r="F16" s="615">
        <v>13401</v>
      </c>
      <c r="G16" s="625"/>
      <c r="H16" s="616">
        <v>0</v>
      </c>
      <c r="I16" s="616">
        <v>0</v>
      </c>
      <c r="J16" s="623"/>
      <c r="K16" s="632"/>
    </row>
    <row r="17" spans="1:11" ht="15.75" hidden="1" customHeight="1" thickBot="1" x14ac:dyDescent="0.25">
      <c r="B17" s="628"/>
      <c r="C17" s="635" t="s">
        <v>961</v>
      </c>
      <c r="D17" s="626"/>
      <c r="E17" s="625"/>
      <c r="F17" s="615">
        <v>0</v>
      </c>
      <c r="G17" s="625"/>
      <c r="H17" s="616">
        <v>0</v>
      </c>
      <c r="I17" s="616">
        <v>0</v>
      </c>
      <c r="J17" s="623"/>
      <c r="K17" s="632"/>
    </row>
    <row r="18" spans="1:11" ht="15.75" hidden="1" customHeight="1" thickBot="1" x14ac:dyDescent="0.25">
      <c r="B18" s="628"/>
      <c r="C18" s="635" t="s">
        <v>962</v>
      </c>
      <c r="D18" s="626"/>
      <c r="E18" s="625"/>
      <c r="F18" s="615">
        <v>0</v>
      </c>
      <c r="G18" s="625"/>
      <c r="H18" s="616">
        <v>0</v>
      </c>
      <c r="I18" s="616">
        <v>0</v>
      </c>
      <c r="J18" s="623"/>
      <c r="K18" s="632"/>
    </row>
    <row r="19" spans="1:11" ht="15.75" hidden="1" customHeight="1" thickBot="1" x14ac:dyDescent="0.25">
      <c r="B19" s="628"/>
      <c r="C19" s="635" t="s">
        <v>987</v>
      </c>
      <c r="D19" s="626"/>
      <c r="E19" s="625"/>
      <c r="F19" s="615">
        <v>0</v>
      </c>
      <c r="G19" s="625"/>
      <c r="H19" s="616">
        <v>0</v>
      </c>
      <c r="I19" s="616">
        <v>0</v>
      </c>
      <c r="J19" s="623"/>
      <c r="K19" s="632"/>
    </row>
    <row r="20" spans="1:11" ht="15" hidden="1" customHeight="1" thickBot="1" x14ac:dyDescent="0.25">
      <c r="B20" s="628"/>
      <c r="C20" s="635" t="s">
        <v>988</v>
      </c>
      <c r="D20" s="626"/>
      <c r="E20" s="625"/>
      <c r="F20" s="615">
        <v>0</v>
      </c>
      <c r="G20" s="625"/>
      <c r="H20" s="616">
        <v>0</v>
      </c>
      <c r="I20" s="616">
        <v>0</v>
      </c>
      <c r="J20" s="623"/>
      <c r="K20" s="632"/>
    </row>
    <row r="21" spans="1:11" ht="13.5" hidden="1" thickBot="1" x14ac:dyDescent="0.25">
      <c r="B21" s="628"/>
      <c r="C21" s="635" t="s">
        <v>989</v>
      </c>
      <c r="D21" s="626"/>
      <c r="E21" s="625"/>
      <c r="F21" s="615">
        <v>0</v>
      </c>
      <c r="G21" s="625"/>
      <c r="H21" s="616">
        <v>0</v>
      </c>
      <c r="I21" s="616">
        <v>0</v>
      </c>
      <c r="J21" s="623"/>
      <c r="K21" s="632"/>
    </row>
    <row r="22" spans="1:11" ht="13.5" hidden="1" thickBot="1" x14ac:dyDescent="0.25">
      <c r="B22" s="628"/>
      <c r="C22" s="635" t="s">
        <v>990</v>
      </c>
      <c r="D22" s="626"/>
      <c r="E22" s="625"/>
      <c r="F22" s="615">
        <v>0</v>
      </c>
      <c r="G22" s="625"/>
      <c r="H22" s="616">
        <v>0</v>
      </c>
      <c r="I22" s="616">
        <v>0</v>
      </c>
      <c r="J22" s="623"/>
      <c r="K22" s="632"/>
    </row>
    <row r="23" spans="1:11" ht="13.5" hidden="1" thickBot="1" x14ac:dyDescent="0.25">
      <c r="B23" s="628"/>
      <c r="C23" s="635" t="s">
        <v>996</v>
      </c>
      <c r="D23" s="626"/>
      <c r="E23" s="625"/>
      <c r="F23" s="615">
        <v>0</v>
      </c>
      <c r="G23" s="625"/>
      <c r="H23" s="616">
        <v>0</v>
      </c>
      <c r="I23" s="616">
        <v>0</v>
      </c>
      <c r="J23" s="623"/>
      <c r="K23" s="632"/>
    </row>
    <row r="24" spans="1:11" ht="13.5" hidden="1" thickBot="1" x14ac:dyDescent="0.25">
      <c r="B24" s="628"/>
      <c r="C24" s="635" t="s">
        <v>995</v>
      </c>
      <c r="D24" s="626"/>
      <c r="E24" s="625"/>
      <c r="F24" s="615">
        <v>0</v>
      </c>
      <c r="G24" s="625"/>
      <c r="H24" s="616">
        <v>0</v>
      </c>
      <c r="I24" s="616">
        <v>0</v>
      </c>
      <c r="J24" s="623"/>
      <c r="K24" s="632"/>
    </row>
    <row r="25" spans="1:11" ht="15.75" customHeight="1" x14ac:dyDescent="0.2">
      <c r="B25" s="628"/>
      <c r="C25" s="627"/>
      <c r="D25" s="626"/>
      <c r="E25" s="625"/>
      <c r="F25" s="625"/>
      <c r="G25" s="625"/>
      <c r="H25" s="625"/>
      <c r="I25" s="625"/>
      <c r="J25" s="623"/>
      <c r="K25" s="632"/>
    </row>
    <row r="26" spans="1:11" ht="30" x14ac:dyDescent="0.35">
      <c r="B26" s="628"/>
      <c r="C26" s="631"/>
      <c r="D26" s="626"/>
      <c r="E26" s="625"/>
      <c r="F26" s="633" t="s">
        <v>1001</v>
      </c>
      <c r="G26" s="625"/>
      <c r="H26" s="669" t="s">
        <v>1002</v>
      </c>
      <c r="I26" s="669"/>
      <c r="J26" s="623"/>
      <c r="K26" s="632"/>
    </row>
    <row r="27" spans="1:11" ht="15.75" customHeight="1" x14ac:dyDescent="0.35">
      <c r="B27" s="628"/>
      <c r="C27" s="631" t="s">
        <v>963</v>
      </c>
      <c r="D27" s="626"/>
      <c r="E27" s="625"/>
      <c r="F27" s="634"/>
      <c r="G27" s="625"/>
      <c r="H27" s="633" t="str">
        <f>H13</f>
        <v>NITS Monthly Rate ($/kW)</v>
      </c>
      <c r="I27" s="633" t="str">
        <f>I13</f>
        <v>PTP Monthly Rate ($/kW)</v>
      </c>
      <c r="J27" s="623"/>
      <c r="K27" s="632"/>
    </row>
    <row r="28" spans="1:11" ht="14.45" customHeight="1" thickBot="1" x14ac:dyDescent="0.25">
      <c r="B28" s="628"/>
      <c r="C28" s="631"/>
      <c r="D28" s="626" t="s">
        <v>964</v>
      </c>
      <c r="E28" s="625"/>
      <c r="F28" s="604">
        <v>167665728</v>
      </c>
      <c r="G28" s="625"/>
      <c r="H28" s="605">
        <v>2.0643333333333334</v>
      </c>
      <c r="I28" s="605">
        <v>2.036</v>
      </c>
      <c r="J28" s="623"/>
      <c r="K28" s="630"/>
    </row>
    <row r="29" spans="1:11" s="629" customFormat="1" ht="15.75" thickBot="1" x14ac:dyDescent="0.25">
      <c r="A29" s="618"/>
      <c r="B29" s="628"/>
      <c r="C29" s="627"/>
      <c r="D29" s="626" t="s">
        <v>998</v>
      </c>
      <c r="E29" s="625"/>
      <c r="F29" s="606">
        <f>SUM(F$14:F$25)</f>
        <v>36147.89</v>
      </c>
      <c r="G29" s="624"/>
      <c r="H29" s="607">
        <v>0</v>
      </c>
      <c r="I29" s="607">
        <v>0</v>
      </c>
      <c r="J29" s="623"/>
      <c r="K29" s="630"/>
    </row>
    <row r="30" spans="1:11" ht="15.75" thickBot="1" x14ac:dyDescent="0.25">
      <c r="B30" s="628"/>
      <c r="C30" s="627"/>
      <c r="D30" s="626" t="s">
        <v>997</v>
      </c>
      <c r="E30" s="625"/>
      <c r="F30" s="608">
        <f>+F28-F29</f>
        <v>167629580.11000001</v>
      </c>
      <c r="G30" s="624"/>
      <c r="H30" s="650">
        <f>+H28-H29</f>
        <v>2.0643333333333334</v>
      </c>
      <c r="I30" s="650">
        <f>+I28-I29</f>
        <v>2.036</v>
      </c>
      <c r="J30" s="623"/>
    </row>
    <row r="31" spans="1:11" ht="8.1" customHeight="1" thickBot="1" x14ac:dyDescent="0.25">
      <c r="B31" s="622"/>
      <c r="C31" s="621"/>
      <c r="D31" s="621"/>
      <c r="E31" s="621"/>
      <c r="F31" s="621"/>
      <c r="G31" s="621"/>
      <c r="H31" s="621"/>
      <c r="I31" s="621"/>
      <c r="J31" s="620"/>
    </row>
    <row r="32" spans="1:11" x14ac:dyDescent="0.2">
      <c r="C32" s="651" t="s">
        <v>999</v>
      </c>
    </row>
  </sheetData>
  <mergeCells count="4">
    <mergeCell ref="B3:D3"/>
    <mergeCell ref="F9:F12"/>
    <mergeCell ref="H26:I26"/>
    <mergeCell ref="H9:I12"/>
  </mergeCells>
  <conditionalFormatting sqref="H23:I24 F23:F24 F14:F21 H14:I21">
    <cfRule type="cellIs" dxfId="17" priority="19" operator="equal">
      <formula>"Yes"</formula>
    </cfRule>
    <cfRule type="cellIs" dxfId="16" priority="20" operator="equal">
      <formula>"No"</formula>
    </cfRule>
  </conditionalFormatting>
  <conditionalFormatting sqref="F30">
    <cfRule type="cellIs" dxfId="15" priority="17" operator="equal">
      <formula>"Yes"</formula>
    </cfRule>
    <cfRule type="cellIs" dxfId="14" priority="18" operator="equal">
      <formula>"No"</formula>
    </cfRule>
  </conditionalFormatting>
  <conditionalFormatting sqref="H29:I29">
    <cfRule type="cellIs" dxfId="13" priority="15" operator="equal">
      <formula>"Yes"</formula>
    </cfRule>
    <cfRule type="cellIs" dxfId="12" priority="16" operator="equal">
      <formula>"No"</formula>
    </cfRule>
  </conditionalFormatting>
  <conditionalFormatting sqref="F28">
    <cfRule type="cellIs" dxfId="11" priority="13" operator="equal">
      <formula>"Yes"</formula>
    </cfRule>
    <cfRule type="cellIs" dxfId="10" priority="14" operator="equal">
      <formula>"No"</formula>
    </cfRule>
  </conditionalFormatting>
  <conditionalFormatting sqref="H28:I28">
    <cfRule type="cellIs" dxfId="9" priority="11" operator="equal">
      <formula>"Yes"</formula>
    </cfRule>
    <cfRule type="cellIs" dxfId="8" priority="12" operator="equal">
      <formula>"No"</formula>
    </cfRule>
  </conditionalFormatting>
  <conditionalFormatting sqref="F29">
    <cfRule type="cellIs" dxfId="7" priority="9" operator="equal">
      <formula>"Yes"</formula>
    </cfRule>
    <cfRule type="cellIs" dxfId="6" priority="10" operator="equal">
      <formula>"No"</formula>
    </cfRule>
  </conditionalFormatting>
  <conditionalFormatting sqref="H22:I22 F22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H30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I30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landscape" r:id="rId1"/>
  <headerFooter>
    <oddFooter>&amp;L&amp;"Arial Narrow,Regular"&amp;Z&amp;F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5"/>
  <sheetViews>
    <sheetView topLeftCell="A25" workbookViewId="0">
      <selection activeCell="H60" sqref="H60"/>
    </sheetView>
  </sheetViews>
  <sheetFormatPr defaultColWidth="9.33203125" defaultRowHeight="15.75" x14ac:dyDescent="0.25"/>
  <cols>
    <col min="1" max="1" width="9" style="126" customWidth="1"/>
    <col min="2" max="2" width="2.1640625" style="126" customWidth="1"/>
    <col min="3" max="3" width="75.5" style="126" bestFit="1" customWidth="1"/>
    <col min="4" max="4" width="31.1640625" style="126" customWidth="1"/>
    <col min="5" max="5" width="24.1640625" style="126" customWidth="1"/>
    <col min="6" max="6" width="15" style="126" customWidth="1"/>
    <col min="7" max="7" width="20.6640625" style="126" customWidth="1"/>
    <col min="8" max="8" width="18.5" style="126" customWidth="1"/>
    <col min="9" max="9" width="8.6640625" style="126" customWidth="1"/>
    <col min="10" max="10" width="23" style="126" customWidth="1"/>
    <col min="11" max="11" width="9.33203125" style="126" customWidth="1"/>
    <col min="12" max="12" width="11.6640625" style="126" customWidth="1"/>
    <col min="13" max="13" width="2.83203125" style="126" customWidth="1"/>
    <col min="14" max="14" width="41" style="31" customWidth="1"/>
    <col min="15" max="15" width="48.83203125" style="31" customWidth="1"/>
    <col min="16" max="16" width="23.5" style="31" customWidth="1"/>
    <col min="17" max="17" width="20.5" style="31" customWidth="1"/>
    <col min="18" max="18" width="20.83203125" style="31" customWidth="1"/>
    <col min="19" max="19" width="23.6640625" style="31" bestFit="1" customWidth="1"/>
    <col min="20" max="20" width="22.1640625" style="31" bestFit="1" customWidth="1"/>
    <col min="21" max="21" width="23" style="31" bestFit="1" customWidth="1"/>
    <col min="22" max="22" width="19.83203125" style="31" customWidth="1"/>
    <col min="23" max="23" width="20.33203125" style="31" customWidth="1"/>
    <col min="24" max="24" width="23.5" style="31" bestFit="1" customWidth="1"/>
    <col min="25" max="25" width="21.6640625" style="31" bestFit="1" customWidth="1"/>
    <col min="26" max="26" width="16.1640625" style="31" customWidth="1"/>
    <col min="27" max="28" width="23.5" style="31" bestFit="1" customWidth="1"/>
    <col min="29" max="29" width="21.33203125" style="31" bestFit="1" customWidth="1"/>
    <col min="30" max="30" width="23.5" style="31" bestFit="1" customWidth="1"/>
    <col min="31" max="31" width="21.33203125" style="31" bestFit="1" customWidth="1"/>
    <col min="32" max="32" width="20.6640625" style="31" bestFit="1" customWidth="1"/>
    <col min="33" max="43" width="9.33203125" style="31"/>
    <col min="44" max="16384" width="9.33203125" style="126"/>
  </cols>
  <sheetData>
    <row r="1" spans="1:32" s="126" customFormat="1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47"/>
      <c r="N1" s="21"/>
      <c r="O1" s="37"/>
      <c r="P1" s="38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126" customFormat="1" x14ac:dyDescent="0.25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"/>
      <c r="L2" s="2"/>
      <c r="M2" s="247"/>
      <c r="N2" s="21"/>
      <c r="O2" s="21"/>
      <c r="P2" s="3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26" customFormat="1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1"/>
      <c r="O3" s="21"/>
      <c r="P3" s="39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126" customFormat="1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12/31/2018</v>
      </c>
      <c r="K4" s="4"/>
      <c r="L4" s="4"/>
      <c r="M4" s="4"/>
      <c r="N4" s="21"/>
      <c r="O4" s="21"/>
      <c r="P4" s="2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26" customFormat="1" x14ac:dyDescent="0.25">
      <c r="A5" s="272" t="s">
        <v>187</v>
      </c>
      <c r="B5" s="1"/>
      <c r="C5" s="2"/>
      <c r="E5" s="1"/>
      <c r="F5" s="9"/>
      <c r="G5" s="9"/>
      <c r="H5" s="9"/>
      <c r="I5" s="2"/>
      <c r="J5" s="238" t="s">
        <v>123</v>
      </c>
      <c r="K5" s="251"/>
      <c r="L5" s="251"/>
      <c r="M5" s="4"/>
      <c r="N5" s="21"/>
      <c r="O5" s="21"/>
      <c r="P5" s="2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26" customFormat="1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1"/>
      <c r="O6" s="21"/>
      <c r="P6" s="2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26" customFormat="1" x14ac:dyDescent="0.25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"/>
      <c r="L7" s="2"/>
      <c r="M7" s="4"/>
      <c r="N7" s="46"/>
      <c r="O7" s="46"/>
      <c r="P7" s="2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26" customFormat="1" x14ac:dyDescent="0.25">
      <c r="C8" s="129" t="s">
        <v>18</v>
      </c>
      <c r="D8" s="129" t="s">
        <v>19</v>
      </c>
      <c r="E8" s="129" t="s">
        <v>20</v>
      </c>
      <c r="F8" s="130" t="s">
        <v>0</v>
      </c>
      <c r="G8" s="130"/>
      <c r="H8" s="131" t="s">
        <v>21</v>
      </c>
      <c r="I8" s="130"/>
      <c r="J8" s="132" t="s">
        <v>22</v>
      </c>
      <c r="K8" s="130"/>
      <c r="L8" s="129"/>
      <c r="M8" s="130"/>
      <c r="N8" s="30"/>
      <c r="O8" s="46"/>
      <c r="P8" s="2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26" customFormat="1" x14ac:dyDescent="0.25">
      <c r="C9" s="127"/>
      <c r="D9" s="133" t="s">
        <v>23</v>
      </c>
      <c r="E9" s="130"/>
      <c r="F9" s="130"/>
      <c r="G9" s="130"/>
      <c r="H9" s="129"/>
      <c r="I9" s="130"/>
      <c r="J9" s="134" t="s">
        <v>24</v>
      </c>
      <c r="K9" s="130"/>
      <c r="L9" s="129"/>
      <c r="M9" s="130"/>
      <c r="N9" s="30"/>
      <c r="O9" s="30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26" customFormat="1" x14ac:dyDescent="0.25">
      <c r="A10" s="129" t="s">
        <v>1</v>
      </c>
      <c r="C10" s="127"/>
      <c r="D10" s="135" t="s">
        <v>25</v>
      </c>
      <c r="E10" s="134" t="s">
        <v>26</v>
      </c>
      <c r="F10" s="136"/>
      <c r="G10" s="134" t="s">
        <v>27</v>
      </c>
      <c r="I10" s="136"/>
      <c r="J10" s="137" t="s">
        <v>28</v>
      </c>
      <c r="K10" s="130"/>
      <c r="L10" s="129"/>
      <c r="M10" s="128"/>
      <c r="N10" s="30"/>
      <c r="O10" s="30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26" customFormat="1" ht="16.5" thickBot="1" x14ac:dyDescent="0.3">
      <c r="A11" s="138" t="s">
        <v>3</v>
      </c>
      <c r="C11" s="139" t="s">
        <v>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28"/>
      <c r="N11" s="46"/>
      <c r="O11" s="46"/>
      <c r="P11" s="2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26" customFormat="1" x14ac:dyDescent="0.25">
      <c r="A12" s="129"/>
      <c r="C12" s="127"/>
      <c r="D12" s="130"/>
      <c r="E12" s="130"/>
      <c r="F12" s="130"/>
      <c r="G12" s="130"/>
      <c r="H12" s="130"/>
      <c r="I12" s="130"/>
      <c r="J12" s="130"/>
      <c r="K12" s="130"/>
      <c r="L12" s="130"/>
      <c r="M12" s="128"/>
      <c r="N12" s="46"/>
      <c r="O12" s="46"/>
      <c r="P12" s="20"/>
      <c r="Q12" s="31"/>
      <c r="R12" s="31"/>
      <c r="S12" s="140"/>
      <c r="T12" s="140"/>
      <c r="U12" s="31"/>
      <c r="V12" s="31"/>
      <c r="W12" s="31"/>
      <c r="X12" s="31"/>
      <c r="Y12" s="31"/>
      <c r="Z12" s="31"/>
      <c r="AA12" s="31"/>
      <c r="AB12" s="141"/>
      <c r="AC12" s="31"/>
      <c r="AD12" s="31"/>
      <c r="AE12" s="31"/>
      <c r="AF12" s="31"/>
    </row>
    <row r="13" spans="1:32" s="126" customFormat="1" x14ac:dyDescent="0.25">
      <c r="A13" s="129"/>
      <c r="C13" s="127" t="s">
        <v>30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28"/>
      <c r="N13" s="46"/>
      <c r="O13" s="46"/>
      <c r="P13" s="20"/>
      <c r="Q13" s="31"/>
      <c r="R13" s="31"/>
      <c r="S13" s="20"/>
      <c r="T13" s="141"/>
      <c r="U13" s="20"/>
      <c r="V13" s="141"/>
      <c r="W13" s="31"/>
      <c r="X13" s="31"/>
      <c r="Y13" s="31"/>
      <c r="Z13" s="31"/>
      <c r="AA13" s="31"/>
      <c r="AB13" s="65"/>
      <c r="AC13" s="141"/>
      <c r="AD13" s="142"/>
      <c r="AE13" s="142"/>
      <c r="AF13" s="142"/>
    </row>
    <row r="14" spans="1:32" s="126" customFormat="1" x14ac:dyDescent="0.25">
      <c r="A14" s="129">
        <v>1</v>
      </c>
      <c r="C14" s="127" t="s">
        <v>31</v>
      </c>
      <c r="D14" s="242" t="s">
        <v>175</v>
      </c>
      <c r="E14" s="145">
        <f>'OATT Input Data'!$E$111</f>
        <v>9894150328</v>
      </c>
      <c r="F14" s="9"/>
      <c r="G14" s="9" t="s">
        <v>32</v>
      </c>
      <c r="H14" s="460"/>
      <c r="I14" s="9"/>
      <c r="J14" s="145"/>
      <c r="K14" s="9"/>
      <c r="L14" s="130"/>
      <c r="M14" s="128"/>
      <c r="N14" s="143"/>
      <c r="O14" s="46"/>
      <c r="P14" s="46"/>
      <c r="Q14" s="46"/>
      <c r="R14" s="46"/>
      <c r="S14" s="144"/>
      <c r="T14" s="145"/>
      <c r="U14" s="144"/>
      <c r="V14" s="145"/>
      <c r="W14" s="31"/>
      <c r="X14" s="31"/>
      <c r="Y14" s="31"/>
      <c r="Z14" s="31"/>
      <c r="AA14" s="31"/>
      <c r="AB14" s="65"/>
      <c r="AC14" s="65"/>
      <c r="AD14" s="65"/>
      <c r="AE14" s="65"/>
      <c r="AF14" s="65"/>
    </row>
    <row r="15" spans="1:32" s="126" customFormat="1" x14ac:dyDescent="0.25">
      <c r="A15" s="129">
        <v>2</v>
      </c>
      <c r="C15" s="127" t="s">
        <v>33</v>
      </c>
      <c r="D15" s="242" t="s">
        <v>176</v>
      </c>
      <c r="E15" s="461">
        <f>'OATT Input Data'!$E$112</f>
        <v>1502513484</v>
      </c>
      <c r="F15" s="9"/>
      <c r="G15" s="9" t="s">
        <v>9</v>
      </c>
      <c r="H15" s="460">
        <f>'PTP Pg 4 of 5'!$J$16</f>
        <v>0.96060000000000001</v>
      </c>
      <c r="I15" s="9"/>
      <c r="J15" s="145">
        <f>ROUND(E15*H15,0)</f>
        <v>1443314453</v>
      </c>
      <c r="K15" s="9"/>
      <c r="L15" s="130"/>
      <c r="M15" s="128"/>
      <c r="N15" s="31"/>
      <c r="O15" s="46"/>
      <c r="P15" s="46"/>
      <c r="Q15" s="46"/>
      <c r="R15" s="46"/>
      <c r="S15" s="144"/>
      <c r="T15" s="145"/>
      <c r="U15" s="144"/>
      <c r="V15" s="145"/>
      <c r="W15" s="31"/>
      <c r="X15" s="31"/>
      <c r="Y15" s="31"/>
      <c r="Z15" s="31"/>
      <c r="AA15" s="31"/>
      <c r="AB15" s="65"/>
      <c r="AC15" s="65"/>
      <c r="AD15" s="65"/>
      <c r="AE15" s="65"/>
      <c r="AF15" s="65"/>
    </row>
    <row r="16" spans="1:32" s="126" customFormat="1" x14ac:dyDescent="0.25">
      <c r="A16" s="129">
        <v>3</v>
      </c>
      <c r="C16" s="127" t="s">
        <v>34</v>
      </c>
      <c r="D16" s="242" t="s">
        <v>177</v>
      </c>
      <c r="E16" s="48">
        <f>'OATT Input Data'!$E$113</f>
        <v>3349898233</v>
      </c>
      <c r="F16" s="9"/>
      <c r="G16" s="9" t="s">
        <v>32</v>
      </c>
      <c r="H16" s="460"/>
      <c r="I16" s="9"/>
      <c r="J16" s="48"/>
      <c r="K16" s="9"/>
      <c r="L16" s="130"/>
      <c r="M16" s="128"/>
      <c r="N16" s="31"/>
      <c r="O16" s="46"/>
      <c r="P16" s="46"/>
      <c r="Q16" s="46"/>
      <c r="R16" s="46"/>
      <c r="S16" s="144"/>
      <c r="T16" s="145"/>
      <c r="U16" s="144"/>
      <c r="V16" s="145"/>
      <c r="W16" s="31"/>
      <c r="X16" s="31"/>
      <c r="Y16" s="31"/>
      <c r="Z16" s="31"/>
      <c r="AA16" s="31"/>
      <c r="AB16" s="65"/>
      <c r="AC16" s="31"/>
      <c r="AD16" s="31"/>
      <c r="AE16" s="31"/>
      <c r="AF16" s="31"/>
    </row>
    <row r="17" spans="1:31" s="126" customFormat="1" x14ac:dyDescent="0.25">
      <c r="A17" s="129">
        <v>4</v>
      </c>
      <c r="C17" s="127" t="s">
        <v>35</v>
      </c>
      <c r="D17" s="242" t="s">
        <v>178</v>
      </c>
      <c r="E17" s="48">
        <f>'OATT Input Data'!$E$114+'OATT Input Data'!$E$110</f>
        <v>351481427</v>
      </c>
      <c r="F17" s="9"/>
      <c r="G17" s="9" t="s">
        <v>36</v>
      </c>
      <c r="H17" s="460">
        <f>'PTP Pg 4 of 5'!$J$33</f>
        <v>7.0959999999999995E-2</v>
      </c>
      <c r="I17" s="9"/>
      <c r="J17" s="48">
        <f>ROUND(E17*H17,0)</f>
        <v>24941122</v>
      </c>
      <c r="K17" s="9"/>
      <c r="L17" s="130"/>
      <c r="M17" s="130"/>
      <c r="N17" s="31"/>
      <c r="O17" s="146"/>
      <c r="P17" s="46"/>
      <c r="Q17" s="46"/>
      <c r="R17" s="46"/>
      <c r="S17" s="144"/>
      <c r="T17" s="145"/>
      <c r="U17" s="144"/>
      <c r="V17" s="145"/>
      <c r="W17" s="31"/>
      <c r="X17" s="31"/>
      <c r="Y17" s="31"/>
      <c r="Z17" s="31"/>
      <c r="AA17" s="31"/>
      <c r="AB17" s="65"/>
      <c r="AC17" s="31"/>
      <c r="AD17" s="31"/>
      <c r="AE17" s="31"/>
    </row>
    <row r="18" spans="1:31" s="126" customFormat="1" ht="18" x14ac:dyDescent="0.4">
      <c r="A18" s="129">
        <v>5</v>
      </c>
      <c r="C18" s="127" t="s">
        <v>37</v>
      </c>
      <c r="D18" s="242" t="s">
        <v>179</v>
      </c>
      <c r="E18" s="462">
        <f>'OATT Input Data'!$E$115</f>
        <v>198854311.25999999</v>
      </c>
      <c r="F18" s="9"/>
      <c r="G18" s="9" t="s">
        <v>38</v>
      </c>
      <c r="H18" s="460">
        <f>'PTP Pg 4 of 5'!$J$41</f>
        <v>6.5170000000000006E-2</v>
      </c>
      <c r="I18" s="9"/>
      <c r="J18" s="462">
        <f>ROUND(E18*H18,0)</f>
        <v>12959335</v>
      </c>
      <c r="K18" s="9"/>
      <c r="L18" s="130"/>
      <c r="M18" s="130"/>
      <c r="N18" s="31"/>
      <c r="O18" s="161"/>
      <c r="P18" s="46"/>
      <c r="Q18" s="46"/>
      <c r="R18" s="46"/>
      <c r="S18" s="144"/>
      <c r="T18" s="145"/>
      <c r="U18" s="144"/>
      <c r="V18" s="145"/>
      <c r="W18" s="31"/>
      <c r="X18" s="31"/>
      <c r="Y18" s="31"/>
      <c r="Z18" s="31"/>
      <c r="AA18" s="31"/>
      <c r="AB18" s="65"/>
      <c r="AC18" s="31"/>
      <c r="AD18" s="31"/>
      <c r="AE18" s="31"/>
    </row>
    <row r="19" spans="1:31" s="126" customFormat="1" x14ac:dyDescent="0.25">
      <c r="A19" s="129">
        <v>6</v>
      </c>
      <c r="C19" s="147" t="s">
        <v>173</v>
      </c>
      <c r="D19" s="245" t="s">
        <v>266</v>
      </c>
      <c r="E19" s="145">
        <f>ROUND(SUM(E14:E18),0)</f>
        <v>15296897783</v>
      </c>
      <c r="F19" s="9"/>
      <c r="G19" s="9" t="s">
        <v>39</v>
      </c>
      <c r="H19" s="463">
        <f>ROUND(J19/E19,5)</f>
        <v>9.6829999999999999E-2</v>
      </c>
      <c r="I19" s="9"/>
      <c r="J19" s="145">
        <f>ROUND(SUM(J15,J17:J18),0)</f>
        <v>1481214910</v>
      </c>
      <c r="K19" s="9"/>
      <c r="L19" s="148"/>
      <c r="M19" s="128"/>
      <c r="N19" s="31"/>
      <c r="O19" s="46"/>
      <c r="P19" s="46"/>
      <c r="Q19" s="31"/>
      <c r="R19" s="31"/>
      <c r="S19" s="144"/>
      <c r="T19" s="14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26" customFormat="1" x14ac:dyDescent="0.25">
      <c r="C20" s="127"/>
      <c r="D20" s="245"/>
      <c r="E20" s="48"/>
      <c r="F20" s="9"/>
      <c r="G20" s="9"/>
      <c r="H20" s="464"/>
      <c r="I20" s="9"/>
      <c r="J20" s="48"/>
      <c r="K20" s="9"/>
      <c r="L20" s="148"/>
      <c r="M20" s="128"/>
      <c r="N20" s="46"/>
      <c r="O20" s="46"/>
      <c r="P20" s="2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26" customFormat="1" x14ac:dyDescent="0.25">
      <c r="C21" s="127" t="s">
        <v>40</v>
      </c>
      <c r="D21" s="245" t="s">
        <v>252</v>
      </c>
      <c r="E21" s="48"/>
      <c r="F21" s="9"/>
      <c r="G21" s="9"/>
      <c r="H21" s="9"/>
      <c r="I21" s="9"/>
      <c r="J21" s="48"/>
      <c r="K21" s="9"/>
      <c r="L21" s="130"/>
      <c r="M21" s="128"/>
      <c r="N21" s="46"/>
      <c r="O21" s="46"/>
      <c r="P21" s="31"/>
      <c r="Q21" s="31"/>
      <c r="R21" s="31"/>
      <c r="S21" s="31"/>
      <c r="T21" s="31"/>
      <c r="U21" s="31"/>
      <c r="V21" s="31"/>
      <c r="W21" s="31"/>
      <c r="X21" s="31"/>
      <c r="Y21" s="143"/>
      <c r="Z21" s="31"/>
      <c r="AA21" s="31"/>
      <c r="AB21" s="31"/>
      <c r="AC21" s="31"/>
      <c r="AD21" s="31"/>
      <c r="AE21" s="143"/>
    </row>
    <row r="22" spans="1:31" s="126" customFormat="1" x14ac:dyDescent="0.25">
      <c r="A22" s="129">
        <v>7</v>
      </c>
      <c r="C22" s="127" t="str">
        <f>+C14</f>
        <v xml:space="preserve">  Production</v>
      </c>
      <c r="D22" s="242" t="s">
        <v>190</v>
      </c>
      <c r="E22" s="145">
        <f>SUM('OATT Input Data'!$E$121:$E$123)</f>
        <v>3477993547.4500003</v>
      </c>
      <c r="F22" s="9"/>
      <c r="G22" s="9" t="s">
        <v>32</v>
      </c>
      <c r="H22" s="460"/>
      <c r="I22" s="9"/>
      <c r="J22" s="145"/>
      <c r="K22" s="9"/>
      <c r="L22" s="130"/>
      <c r="M22" s="128"/>
      <c r="N22" s="46"/>
      <c r="O22" s="149"/>
      <c r="P22" s="46"/>
      <c r="Q22" s="46"/>
      <c r="R22" s="31"/>
      <c r="S22" s="144"/>
      <c r="T22" s="145"/>
      <c r="U22" s="144"/>
      <c r="V22" s="145"/>
      <c r="W22" s="31"/>
      <c r="X22" s="65"/>
      <c r="Y22" s="65"/>
      <c r="Z22" s="31"/>
      <c r="AA22" s="65"/>
      <c r="AB22" s="65"/>
      <c r="AC22" s="65"/>
      <c r="AD22" s="65"/>
      <c r="AE22" s="65"/>
    </row>
    <row r="23" spans="1:31" s="126" customFormat="1" x14ac:dyDescent="0.25">
      <c r="A23" s="129">
        <v>8</v>
      </c>
      <c r="C23" s="127" t="str">
        <f>+C15</f>
        <v xml:space="preserve">  Transmission</v>
      </c>
      <c r="D23" s="242" t="s">
        <v>180</v>
      </c>
      <c r="E23" s="48">
        <f>'OATT Input Data'!$E$124</f>
        <v>498014717.15999997</v>
      </c>
      <c r="F23" s="9"/>
      <c r="G23" s="9" t="s">
        <v>9</v>
      </c>
      <c r="H23" s="164">
        <f>+H15</f>
        <v>0.96060000000000001</v>
      </c>
      <c r="I23" s="9"/>
      <c r="J23" s="145">
        <f>ROUND(E23*H23,0)</f>
        <v>478392937</v>
      </c>
      <c r="K23" s="9"/>
      <c r="L23" s="130"/>
      <c r="M23" s="128"/>
      <c r="N23" s="46"/>
      <c r="O23" s="52"/>
      <c r="P23" s="46"/>
      <c r="Q23" s="46"/>
      <c r="R23" s="31"/>
      <c r="S23" s="145"/>
      <c r="T23" s="145"/>
      <c r="U23" s="145"/>
      <c r="V23" s="145"/>
      <c r="W23" s="31"/>
      <c r="X23" s="65"/>
      <c r="Y23" s="65"/>
      <c r="Z23" s="31"/>
      <c r="AA23" s="65"/>
      <c r="AB23" s="65"/>
      <c r="AC23" s="65"/>
      <c r="AD23" s="65"/>
      <c r="AE23" s="65"/>
    </row>
    <row r="24" spans="1:31" s="126" customFormat="1" x14ac:dyDescent="0.25">
      <c r="A24" s="129">
        <v>9</v>
      </c>
      <c r="C24" s="127" t="str">
        <f>+C16</f>
        <v xml:space="preserve">  Distribution</v>
      </c>
      <c r="D24" s="242" t="s">
        <v>181</v>
      </c>
      <c r="E24" s="48">
        <f>'OATT Input Data'!$E$125</f>
        <v>1185188892.4400001</v>
      </c>
      <c r="F24" s="9"/>
      <c r="G24" s="9" t="str">
        <f>+G16</f>
        <v>NA</v>
      </c>
      <c r="H24" s="460"/>
      <c r="I24" s="9"/>
      <c r="J24" s="48"/>
      <c r="K24" s="9"/>
      <c r="L24" s="130"/>
      <c r="M24" s="128"/>
      <c r="N24" s="46"/>
      <c r="O24" s="149"/>
      <c r="P24" s="46"/>
      <c r="Q24" s="46"/>
      <c r="R24" s="31"/>
      <c r="S24" s="144"/>
      <c r="T24" s="145"/>
      <c r="U24" s="65"/>
      <c r="V24" s="145"/>
      <c r="W24" s="31"/>
      <c r="X24" s="65"/>
      <c r="Y24" s="65"/>
      <c r="Z24" s="31"/>
      <c r="AA24" s="65"/>
      <c r="AB24" s="65"/>
      <c r="AC24" s="65"/>
      <c r="AD24" s="31"/>
      <c r="AE24" s="31"/>
    </row>
    <row r="25" spans="1:31" s="126" customFormat="1" x14ac:dyDescent="0.25">
      <c r="A25" s="129">
        <v>10</v>
      </c>
      <c r="C25" s="127" t="str">
        <f>+C17</f>
        <v xml:space="preserve">  General &amp; Intangible</v>
      </c>
      <c r="D25" s="242" t="s">
        <v>182</v>
      </c>
      <c r="E25" s="48">
        <f>'OATT Input Data'!$E$120+'OATT Input Data'!$E$126</f>
        <v>152338554.69700003</v>
      </c>
      <c r="F25" s="9"/>
      <c r="G25" s="9" t="str">
        <f>+G17</f>
        <v>W/S</v>
      </c>
      <c r="H25" s="460">
        <f>+H17</f>
        <v>7.0959999999999995E-2</v>
      </c>
      <c r="I25" s="9"/>
      <c r="J25" s="48">
        <f>ROUND(E25*H25,0)</f>
        <v>10809944</v>
      </c>
      <c r="K25" s="9"/>
      <c r="L25" s="130"/>
      <c r="M25" s="128"/>
      <c r="N25" s="46"/>
      <c r="O25" s="149"/>
      <c r="P25" s="46"/>
      <c r="Q25" s="46"/>
      <c r="R25" s="31"/>
      <c r="S25" s="145"/>
      <c r="T25" s="145"/>
      <c r="U25" s="145"/>
      <c r="V25" s="145"/>
      <c r="W25" s="31"/>
      <c r="X25" s="65"/>
      <c r="Y25" s="65"/>
      <c r="Z25" s="31"/>
      <c r="AA25" s="31"/>
      <c r="AB25" s="65"/>
      <c r="AC25" s="31"/>
      <c r="AD25" s="31"/>
      <c r="AE25" s="31"/>
    </row>
    <row r="26" spans="1:31" s="126" customFormat="1" ht="18" x14ac:dyDescent="0.4">
      <c r="A26" s="129">
        <v>11</v>
      </c>
      <c r="C26" s="127" t="str">
        <f>+C18</f>
        <v xml:space="preserve">  Common</v>
      </c>
      <c r="D26" s="242" t="s">
        <v>179</v>
      </c>
      <c r="E26" s="462">
        <f>'OATT Input Data'!$E$127</f>
        <v>112991363.54000001</v>
      </c>
      <c r="F26" s="9"/>
      <c r="G26" s="9" t="str">
        <f>+G18</f>
        <v>CE</v>
      </c>
      <c r="H26" s="460">
        <f>+H18</f>
        <v>6.5170000000000006E-2</v>
      </c>
      <c r="I26" s="9"/>
      <c r="J26" s="462">
        <f>ROUND(E26*H26,0)</f>
        <v>7363647</v>
      </c>
      <c r="K26" s="9"/>
      <c r="L26" s="130"/>
      <c r="M26" s="128"/>
      <c r="N26" s="46"/>
      <c r="O26" s="150"/>
      <c r="P26" s="46"/>
      <c r="Q26" s="46"/>
      <c r="R26" s="31"/>
      <c r="S26" s="144"/>
      <c r="T26" s="145"/>
      <c r="U26" s="65"/>
      <c r="V26" s="145"/>
      <c r="W26" s="31"/>
      <c r="X26" s="31"/>
      <c r="Y26" s="31"/>
      <c r="Z26" s="31"/>
      <c r="AA26" s="31"/>
      <c r="AB26" s="65"/>
      <c r="AC26" s="31"/>
      <c r="AD26" s="31"/>
      <c r="AE26" s="31"/>
    </row>
    <row r="27" spans="1:31" s="126" customFormat="1" x14ac:dyDescent="0.25">
      <c r="A27" s="129">
        <v>12</v>
      </c>
      <c r="C27" s="147" t="s">
        <v>172</v>
      </c>
      <c r="D27" s="245" t="s">
        <v>267</v>
      </c>
      <c r="E27" s="145">
        <f>ROUND(SUM(E22:E26),0)</f>
        <v>5426527075</v>
      </c>
      <c r="F27" s="9"/>
      <c r="G27" s="9"/>
      <c r="H27" s="9"/>
      <c r="I27" s="9"/>
      <c r="J27" s="145">
        <f>ROUND(SUM(J23,J25:J26),0)</f>
        <v>496566528</v>
      </c>
      <c r="K27" s="9"/>
      <c r="L27" s="130"/>
      <c r="M27" s="128"/>
      <c r="N27" s="151"/>
      <c r="O27" s="30"/>
      <c r="P27" s="46"/>
      <c r="Q27" s="46"/>
      <c r="R27" s="31"/>
      <c r="S27" s="145"/>
      <c r="T27" s="145"/>
      <c r="U27" s="31"/>
      <c r="V27" s="31"/>
      <c r="W27" s="143"/>
      <c r="X27" s="65"/>
      <c r="Y27" s="31"/>
      <c r="Z27" s="31"/>
      <c r="AA27" s="31"/>
      <c r="AB27" s="65"/>
      <c r="AC27" s="31"/>
      <c r="AD27" s="31"/>
      <c r="AE27" s="31"/>
    </row>
    <row r="28" spans="1:31" s="126" customFormat="1" x14ac:dyDescent="0.25">
      <c r="A28" s="129"/>
      <c r="D28" s="9" t="s">
        <v>0</v>
      </c>
      <c r="E28" s="48"/>
      <c r="F28" s="9"/>
      <c r="G28" s="9"/>
      <c r="H28" s="464"/>
      <c r="I28" s="9"/>
      <c r="J28" s="48"/>
      <c r="K28" s="9"/>
      <c r="L28" s="148"/>
      <c r="M28" s="128"/>
      <c r="N28" s="46"/>
      <c r="O28" s="46"/>
      <c r="P28" s="20"/>
      <c r="Q28" s="31"/>
      <c r="R28" s="31"/>
      <c r="S28" s="31"/>
      <c r="T28" s="31"/>
      <c r="U28" s="31"/>
      <c r="V28" s="31"/>
      <c r="W28" s="31"/>
      <c r="X28" s="65"/>
      <c r="Y28" s="31"/>
      <c r="Z28" s="31"/>
      <c r="AA28" s="31"/>
      <c r="AB28" s="65"/>
      <c r="AC28" s="31"/>
      <c r="AD28" s="31"/>
      <c r="AE28" s="31"/>
    </row>
    <row r="29" spans="1:31" s="126" customFormat="1" x14ac:dyDescent="0.25">
      <c r="A29" s="129"/>
      <c r="C29" s="127" t="s">
        <v>42</v>
      </c>
      <c r="D29" s="9"/>
      <c r="E29" s="48"/>
      <c r="F29" s="9"/>
      <c r="G29" s="9"/>
      <c r="H29" s="9"/>
      <c r="I29" s="9"/>
      <c r="J29" s="48"/>
      <c r="K29" s="9"/>
      <c r="L29" s="130"/>
      <c r="M29" s="128"/>
      <c r="N29" s="46"/>
      <c r="O29" s="46"/>
      <c r="P29" s="46"/>
      <c r="Q29" s="46"/>
      <c r="R29" s="31"/>
      <c r="S29" s="144"/>
      <c r="T29" s="145"/>
      <c r="U29" s="144"/>
      <c r="V29" s="31"/>
      <c r="W29" s="31"/>
      <c r="X29" s="65"/>
      <c r="Y29" s="31"/>
      <c r="Z29" s="31"/>
      <c r="AA29" s="31"/>
      <c r="AB29" s="31"/>
      <c r="AC29" s="31"/>
      <c r="AD29" s="31"/>
      <c r="AE29" s="31"/>
    </row>
    <row r="30" spans="1:31" s="126" customFormat="1" x14ac:dyDescent="0.25">
      <c r="A30" s="129">
        <v>13</v>
      </c>
      <c r="C30" s="127" t="str">
        <f>+C22</f>
        <v xml:space="preserve">  Production</v>
      </c>
      <c r="D30" s="245" t="s">
        <v>268</v>
      </c>
      <c r="E30" s="145">
        <f>E14-E22</f>
        <v>6416156780.5499992</v>
      </c>
      <c r="F30" s="9"/>
      <c r="G30" s="9"/>
      <c r="H30" s="464"/>
      <c r="I30" s="9"/>
      <c r="J30" s="145"/>
      <c r="K30" s="9"/>
      <c r="L30" s="148"/>
      <c r="M30" s="128"/>
      <c r="N30" s="46"/>
      <c r="O30" s="46"/>
      <c r="P30" s="46"/>
      <c r="Q30" s="46"/>
      <c r="R30" s="31"/>
      <c r="S30" s="144"/>
      <c r="T30" s="145"/>
      <c r="U30" s="144"/>
      <c r="V30" s="31"/>
      <c r="W30" s="31"/>
      <c r="X30" s="65"/>
      <c r="Y30" s="65"/>
      <c r="Z30" s="31"/>
      <c r="AA30" s="31"/>
      <c r="AB30" s="143"/>
      <c r="AC30" s="143"/>
      <c r="AD30" s="31"/>
      <c r="AE30" s="31"/>
    </row>
    <row r="31" spans="1:31" s="126" customFormat="1" x14ac:dyDescent="0.25">
      <c r="A31" s="129">
        <v>14</v>
      </c>
      <c r="C31" s="127" t="str">
        <f>+C23</f>
        <v xml:space="preserve">  Transmission</v>
      </c>
      <c r="D31" s="245" t="s">
        <v>269</v>
      </c>
      <c r="E31" s="48">
        <f t="shared" ref="E31:E34" si="0">E15-E23</f>
        <v>1004498766.84</v>
      </c>
      <c r="F31" s="9"/>
      <c r="G31" s="9"/>
      <c r="H31" s="460"/>
      <c r="I31" s="9"/>
      <c r="J31" s="145">
        <f>J15-J23</f>
        <v>964921516</v>
      </c>
      <c r="K31" s="9"/>
      <c r="L31" s="148"/>
      <c r="M31" s="128"/>
      <c r="N31" s="46"/>
      <c r="O31" s="46"/>
      <c r="P31" s="46"/>
      <c r="Q31" s="46"/>
      <c r="R31" s="31"/>
      <c r="S31" s="144"/>
      <c r="T31" s="145"/>
      <c r="U31" s="144"/>
      <c r="V31" s="31"/>
      <c r="W31" s="31"/>
      <c r="X31" s="31"/>
      <c r="Y31" s="65"/>
      <c r="Z31" s="31"/>
      <c r="AA31" s="65"/>
      <c r="AB31" s="65"/>
      <c r="AC31" s="31"/>
      <c r="AD31" s="31"/>
      <c r="AE31" s="31"/>
    </row>
    <row r="32" spans="1:31" s="126" customFormat="1" x14ac:dyDescent="0.25">
      <c r="A32" s="129">
        <v>15</v>
      </c>
      <c r="C32" s="127" t="str">
        <f>+C24</f>
        <v xml:space="preserve">  Distribution</v>
      </c>
      <c r="D32" s="245" t="s">
        <v>270</v>
      </c>
      <c r="E32" s="48">
        <f t="shared" si="0"/>
        <v>2164709340.5599999</v>
      </c>
      <c r="F32" s="9"/>
      <c r="G32" s="9"/>
      <c r="H32" s="464"/>
      <c r="I32" s="9"/>
      <c r="J32" s="48"/>
      <c r="K32" s="9"/>
      <c r="L32" s="148"/>
      <c r="M32" s="128"/>
      <c r="N32" s="46"/>
      <c r="O32" s="83"/>
      <c r="P32" s="46"/>
      <c r="Q32" s="31"/>
      <c r="R32" s="143"/>
      <c r="S32" s="144"/>
      <c r="T32" s="145"/>
      <c r="U32" s="145"/>
      <c r="V32" s="31"/>
      <c r="W32" s="31"/>
      <c r="X32" s="65"/>
      <c r="Y32" s="65"/>
      <c r="Z32" s="31"/>
      <c r="AA32" s="65"/>
      <c r="AB32" s="65"/>
      <c r="AC32" s="152"/>
      <c r="AD32" s="31"/>
      <c r="AE32" s="31"/>
    </row>
    <row r="33" spans="1:28" s="126" customFormat="1" x14ac:dyDescent="0.25">
      <c r="A33" s="129">
        <v>16</v>
      </c>
      <c r="C33" s="127" t="str">
        <f>+C25</f>
        <v xml:space="preserve">  General &amp; Intangible</v>
      </c>
      <c r="D33" s="245" t="s">
        <v>271</v>
      </c>
      <c r="E33" s="48">
        <f t="shared" si="0"/>
        <v>199142872.30299997</v>
      </c>
      <c r="F33" s="9"/>
      <c r="G33" s="9"/>
      <c r="H33" s="464"/>
      <c r="I33" s="9"/>
      <c r="J33" s="48">
        <f>J17-J25</f>
        <v>14131178</v>
      </c>
      <c r="K33" s="9"/>
      <c r="L33" s="148"/>
      <c r="M33" s="128"/>
      <c r="N33" s="46"/>
      <c r="O33" s="30"/>
      <c r="P33" s="20"/>
      <c r="Q33" s="31"/>
      <c r="R33" s="31"/>
      <c r="S33" s="31"/>
      <c r="T33" s="31"/>
      <c r="U33" s="31"/>
      <c r="V33" s="31"/>
      <c r="W33" s="31"/>
      <c r="X33" s="65"/>
      <c r="Y33" s="65"/>
      <c r="Z33" s="31"/>
      <c r="AA33" s="65"/>
      <c r="AB33" s="65"/>
    </row>
    <row r="34" spans="1:28" s="126" customFormat="1" ht="18" x14ac:dyDescent="0.4">
      <c r="A34" s="129">
        <v>17</v>
      </c>
      <c r="C34" s="127" t="str">
        <f>+C26</f>
        <v xml:space="preserve">  Common</v>
      </c>
      <c r="D34" s="245" t="s">
        <v>272</v>
      </c>
      <c r="E34" s="462">
        <f t="shared" si="0"/>
        <v>85862947.719999984</v>
      </c>
      <c r="F34" s="9"/>
      <c r="G34" s="9"/>
      <c r="H34" s="464"/>
      <c r="I34" s="9"/>
      <c r="J34" s="462">
        <f>J18-J26</f>
        <v>5595688</v>
      </c>
      <c r="K34" s="9"/>
      <c r="L34" s="148"/>
      <c r="M34" s="128"/>
      <c r="N34" s="46"/>
      <c r="O34" s="30"/>
      <c r="P34" s="20"/>
      <c r="Q34" s="31"/>
      <c r="R34" s="31"/>
      <c r="S34" s="31"/>
      <c r="T34" s="31"/>
      <c r="U34" s="31"/>
      <c r="V34" s="31"/>
      <c r="W34" s="31"/>
      <c r="X34" s="65"/>
      <c r="Y34" s="31"/>
      <c r="Z34" s="31"/>
      <c r="AA34" s="31"/>
      <c r="AB34" s="65"/>
    </row>
    <row r="35" spans="1:28" s="126" customFormat="1" x14ac:dyDescent="0.25">
      <c r="A35" s="129">
        <v>18</v>
      </c>
      <c r="C35" s="147" t="s">
        <v>171</v>
      </c>
      <c r="D35" s="245" t="s">
        <v>273</v>
      </c>
      <c r="E35" s="145">
        <f>ROUND(SUM(E30:E34),0)</f>
        <v>9870370708</v>
      </c>
      <c r="F35" s="9"/>
      <c r="G35" s="9" t="s">
        <v>321</v>
      </c>
      <c r="H35" s="463">
        <f>ROUND(J35/E35,5)</f>
        <v>9.9760000000000001E-2</v>
      </c>
      <c r="I35" s="9"/>
      <c r="J35" s="145">
        <f>ROUND(SUM(J31,J33:J34),0)</f>
        <v>984648382</v>
      </c>
      <c r="K35" s="9"/>
      <c r="L35" s="130"/>
      <c r="M35" s="128"/>
      <c r="N35" s="153"/>
      <c r="O35" s="46"/>
      <c r="P35" s="20"/>
      <c r="Q35" s="31"/>
      <c r="R35" s="31"/>
      <c r="S35" s="31"/>
      <c r="T35" s="31"/>
      <c r="U35" s="31"/>
      <c r="V35" s="31"/>
      <c r="W35" s="31"/>
      <c r="X35" s="65"/>
      <c r="Y35" s="31"/>
      <c r="Z35" s="31"/>
      <c r="AA35" s="31"/>
      <c r="AB35" s="31"/>
    </row>
    <row r="36" spans="1:28" s="126" customFormat="1" x14ac:dyDescent="0.25">
      <c r="A36" s="129"/>
      <c r="D36" s="9"/>
      <c r="E36" s="48"/>
      <c r="F36" s="9"/>
      <c r="G36" s="1"/>
      <c r="H36" s="1"/>
      <c r="I36" s="9"/>
      <c r="J36" s="48"/>
      <c r="K36" s="9"/>
      <c r="L36" s="148"/>
      <c r="M36" s="128"/>
      <c r="N36" s="46"/>
      <c r="O36" s="46"/>
      <c r="P36" s="2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65"/>
    </row>
    <row r="37" spans="1:28" s="126" customFormat="1" x14ac:dyDescent="0.25">
      <c r="A37" s="129"/>
      <c r="C37" s="147" t="s">
        <v>191</v>
      </c>
      <c r="D37" s="245" t="s">
        <v>253</v>
      </c>
      <c r="E37" s="48"/>
      <c r="F37" s="9"/>
      <c r="G37" s="9"/>
      <c r="H37" s="9"/>
      <c r="I37" s="9"/>
      <c r="J37" s="48"/>
      <c r="K37" s="9"/>
      <c r="L37" s="130"/>
      <c r="M37" s="128"/>
      <c r="N37" s="46"/>
      <c r="O37" s="46"/>
      <c r="P37" s="20"/>
      <c r="Q37" s="31"/>
      <c r="R37" s="31"/>
      <c r="S37" s="31"/>
      <c r="T37" s="31"/>
      <c r="U37" s="31"/>
      <c r="V37" s="46"/>
      <c r="W37" s="31"/>
      <c r="X37" s="31"/>
      <c r="Y37" s="31"/>
      <c r="Z37" s="31"/>
      <c r="AA37" s="31"/>
      <c r="AB37" s="31"/>
    </row>
    <row r="38" spans="1:28" s="126" customFormat="1" x14ac:dyDescent="0.25">
      <c r="A38" s="129">
        <v>19</v>
      </c>
      <c r="C38" s="127" t="s">
        <v>44</v>
      </c>
      <c r="D38" s="242" t="s">
        <v>380</v>
      </c>
      <c r="E38" s="409">
        <f>'OATT Input Data'!$E$133*-1</f>
        <v>0</v>
      </c>
      <c r="F38" s="9"/>
      <c r="G38" s="9" t="s">
        <v>32</v>
      </c>
      <c r="H38" s="164"/>
      <c r="I38" s="9"/>
      <c r="J38" s="145"/>
      <c r="K38" s="9"/>
      <c r="L38" s="148"/>
      <c r="M38" s="128"/>
      <c r="N38" s="154"/>
      <c r="O38" s="30"/>
      <c r="P38" s="46"/>
      <c r="Q38" s="46"/>
      <c r="R38" s="31"/>
      <c r="S38" s="145"/>
      <c r="T38" s="145"/>
      <c r="U38" s="145"/>
      <c r="V38" s="145"/>
      <c r="W38" s="31"/>
      <c r="X38" s="31"/>
      <c r="Y38" s="31"/>
      <c r="Z38" s="31"/>
      <c r="AA38" s="31"/>
      <c r="AB38" s="31"/>
    </row>
    <row r="39" spans="1:28" s="126" customFormat="1" x14ac:dyDescent="0.25">
      <c r="A39" s="129">
        <f>A38+1</f>
        <v>20</v>
      </c>
      <c r="C39" s="127" t="s">
        <v>45</v>
      </c>
      <c r="D39" s="242" t="s">
        <v>261</v>
      </c>
      <c r="E39" s="48">
        <f>'OATT Input Data'!$E$136*-1</f>
        <v>-2302319709</v>
      </c>
      <c r="F39" s="9"/>
      <c r="G39" s="9" t="s">
        <v>46</v>
      </c>
      <c r="H39" s="460">
        <f>+H35</f>
        <v>9.9760000000000001E-2</v>
      </c>
      <c r="I39" s="9"/>
      <c r="J39" s="145">
        <f t="shared" ref="J39:J46" si="1">ROUND(E39*H39,0)</f>
        <v>-229679414</v>
      </c>
      <c r="K39" s="9"/>
      <c r="L39" s="148"/>
      <c r="M39" s="128"/>
      <c r="N39" s="154"/>
      <c r="O39" s="30"/>
      <c r="P39" s="46"/>
      <c r="Q39" s="46"/>
      <c r="R39" s="31"/>
      <c r="S39" s="144"/>
      <c r="T39" s="145"/>
      <c r="U39" s="144"/>
      <c r="V39" s="145"/>
      <c r="W39" s="31"/>
      <c r="X39" s="31"/>
      <c r="Y39" s="31"/>
      <c r="Z39" s="31"/>
      <c r="AA39" s="31"/>
      <c r="AB39" s="31"/>
    </row>
    <row r="40" spans="1:28" s="126" customFormat="1" x14ac:dyDescent="0.25">
      <c r="A40" s="129">
        <f>A39+1</f>
        <v>21</v>
      </c>
      <c r="C40" s="127" t="s">
        <v>47</v>
      </c>
      <c r="D40" s="330" t="s">
        <v>262</v>
      </c>
      <c r="E40" s="48">
        <f>'OATT Input Data'!$E$141*-1</f>
        <v>-267889429</v>
      </c>
      <c r="F40" s="9"/>
      <c r="G40" s="9" t="s">
        <v>46</v>
      </c>
      <c r="H40" s="460">
        <f>+H39</f>
        <v>9.9760000000000001E-2</v>
      </c>
      <c r="I40" s="9"/>
      <c r="J40" s="48">
        <f t="shared" si="1"/>
        <v>-26724649</v>
      </c>
      <c r="K40" s="9"/>
      <c r="L40" s="148"/>
      <c r="M40" s="128"/>
      <c r="N40" s="154"/>
      <c r="O40" s="30"/>
      <c r="P40" s="46"/>
      <c r="Q40" s="46"/>
      <c r="R40" s="31"/>
      <c r="S40" s="144"/>
      <c r="T40" s="144"/>
      <c r="U40" s="144"/>
      <c r="V40" s="144"/>
      <c r="W40" s="31"/>
      <c r="X40" s="31"/>
      <c r="Y40" s="31"/>
      <c r="Z40" s="31"/>
      <c r="AA40" s="31"/>
      <c r="AB40" s="31"/>
    </row>
    <row r="41" spans="1:28" s="126" customFormat="1" x14ac:dyDescent="0.25">
      <c r="A41" s="129">
        <f>A40+1</f>
        <v>22</v>
      </c>
      <c r="C41" s="127" t="s">
        <v>48</v>
      </c>
      <c r="D41" s="330" t="s">
        <v>263</v>
      </c>
      <c r="E41" s="48">
        <f>'OATT Input Data'!$E$146</f>
        <v>241124379</v>
      </c>
      <c r="F41" s="9"/>
      <c r="G41" s="9" t="str">
        <f>+G40</f>
        <v>NP</v>
      </c>
      <c r="H41" s="460">
        <f>+H40</f>
        <v>9.9760000000000001E-2</v>
      </c>
      <c r="I41" s="9"/>
      <c r="J41" s="48">
        <f t="shared" si="1"/>
        <v>24054568</v>
      </c>
      <c r="K41" s="9"/>
      <c r="L41" s="148"/>
      <c r="M41" s="128"/>
      <c r="N41" s="154"/>
      <c r="O41" s="30"/>
      <c r="P41" s="46"/>
      <c r="Q41" s="46"/>
      <c r="R41" s="31"/>
      <c r="S41" s="144"/>
      <c r="T41" s="144"/>
      <c r="U41" s="144"/>
      <c r="V41" s="144"/>
      <c r="W41" s="31"/>
      <c r="X41" s="31"/>
      <c r="Y41" s="31"/>
      <c r="Z41" s="31"/>
      <c r="AA41" s="31"/>
      <c r="AB41" s="31"/>
    </row>
    <row r="42" spans="1:28" s="126" customFormat="1" x14ac:dyDescent="0.25">
      <c r="A42" s="129">
        <f>A41+1</f>
        <v>23</v>
      </c>
      <c r="C42" s="126" t="s">
        <v>49</v>
      </c>
      <c r="D42" s="242" t="s">
        <v>264</v>
      </c>
      <c r="E42" s="465">
        <f>'OATT Input Data'!$E$147*-1</f>
        <v>0</v>
      </c>
      <c r="F42" s="9"/>
      <c r="G42" s="9" t="s">
        <v>46</v>
      </c>
      <c r="H42" s="460">
        <f>+H40</f>
        <v>9.9760000000000001E-2</v>
      </c>
      <c r="I42" s="9"/>
      <c r="J42" s="465">
        <f t="shared" si="1"/>
        <v>0</v>
      </c>
      <c r="K42" s="9"/>
      <c r="L42" s="148"/>
      <c r="M42" s="128"/>
      <c r="N42" s="155"/>
      <c r="O42" s="30"/>
      <c r="P42" s="46"/>
      <c r="Q42" s="46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126" customFormat="1" x14ac:dyDescent="0.25">
      <c r="A43" s="129">
        <f t="shared" ref="A43:A47" si="2">A42+1</f>
        <v>24</v>
      </c>
      <c r="C43" s="2" t="s">
        <v>50</v>
      </c>
      <c r="D43" s="328" t="s">
        <v>287</v>
      </c>
      <c r="E43" s="465">
        <f>'OATT Input Data'!$E$160*-1</f>
        <v>-1980705.9923632231</v>
      </c>
      <c r="F43" s="9"/>
      <c r="G43" s="9" t="str">
        <f>G15</f>
        <v>TP</v>
      </c>
      <c r="H43" s="164">
        <f>H15</f>
        <v>0.96060000000000001</v>
      </c>
      <c r="I43" s="9"/>
      <c r="J43" s="465">
        <f t="shared" si="1"/>
        <v>-1902666</v>
      </c>
      <c r="K43" s="9"/>
      <c r="L43" s="148"/>
      <c r="M43" s="128"/>
      <c r="N43" s="155"/>
      <c r="O43" s="30"/>
      <c r="P43" s="46"/>
      <c r="Q43" s="4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126" customFormat="1" x14ac:dyDescent="0.25">
      <c r="A44" s="129">
        <f t="shared" si="2"/>
        <v>25</v>
      </c>
      <c r="C44" s="237" t="s">
        <v>51</v>
      </c>
      <c r="D44" s="328" t="s">
        <v>287</v>
      </c>
      <c r="E44" s="48">
        <f>'OATT Input Data'!$E$167*-1</f>
        <v>-19804113.215153173</v>
      </c>
      <c r="F44" s="9"/>
      <c r="G44" s="9"/>
      <c r="H44" s="467">
        <v>1</v>
      </c>
      <c r="I44" s="9"/>
      <c r="J44" s="48">
        <f t="shared" si="1"/>
        <v>-19804113</v>
      </c>
      <c r="K44" s="9"/>
      <c r="L44" s="148"/>
      <c r="M44" s="128"/>
      <c r="N44" s="156"/>
      <c r="O44" s="30"/>
      <c r="P44" s="46"/>
      <c r="Q44" s="4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126" customFormat="1" x14ac:dyDescent="0.25">
      <c r="A45" s="129">
        <f t="shared" si="2"/>
        <v>26</v>
      </c>
      <c r="C45" s="236" t="s">
        <v>183</v>
      </c>
      <c r="D45" s="1"/>
      <c r="E45" s="48">
        <f>'OATT Input Data'!$E$151*-1</f>
        <v>-612869.33000000007</v>
      </c>
      <c r="F45" s="9"/>
      <c r="G45" s="9" t="str">
        <f>$G$15</f>
        <v>TP</v>
      </c>
      <c r="H45" s="164">
        <f>$H$15</f>
        <v>0.96060000000000001</v>
      </c>
      <c r="I45" s="9"/>
      <c r="J45" s="48">
        <f t="shared" si="1"/>
        <v>-588722</v>
      </c>
      <c r="K45" s="9"/>
      <c r="L45" s="148"/>
      <c r="M45" s="128"/>
      <c r="N45" s="156"/>
      <c r="O45" s="30"/>
      <c r="P45" s="46"/>
      <c r="Q45" s="46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126" customFormat="1" ht="18" x14ac:dyDescent="0.4">
      <c r="A46" s="129">
        <f t="shared" si="2"/>
        <v>27</v>
      </c>
      <c r="C46" s="236" t="s">
        <v>184</v>
      </c>
      <c r="D46" s="1"/>
      <c r="E46" s="469">
        <f>'OATT Input Data'!$E$154*-1</f>
        <v>0</v>
      </c>
      <c r="F46" s="9"/>
      <c r="G46" s="9" t="str">
        <f>$G$18</f>
        <v>CE</v>
      </c>
      <c r="H46" s="164">
        <f>$H$18</f>
        <v>6.5170000000000006E-2</v>
      </c>
      <c r="I46" s="9"/>
      <c r="J46" s="469">
        <f t="shared" si="1"/>
        <v>0</v>
      </c>
      <c r="K46" s="9"/>
      <c r="L46" s="148"/>
      <c r="M46" s="128"/>
      <c r="N46" s="156"/>
      <c r="O46" s="30"/>
      <c r="P46" s="46"/>
      <c r="Q46" s="46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26" customFormat="1" x14ac:dyDescent="0.25">
      <c r="A47" s="129">
        <f t="shared" si="2"/>
        <v>28</v>
      </c>
      <c r="C47" s="147" t="s">
        <v>192</v>
      </c>
      <c r="D47" s="245" t="s">
        <v>265</v>
      </c>
      <c r="E47" s="145">
        <f>ROUND(SUM(E38:E46),0)</f>
        <v>-2351482448</v>
      </c>
      <c r="F47" s="9"/>
      <c r="G47" s="9"/>
      <c r="H47" s="9"/>
      <c r="I47" s="9"/>
      <c r="J47" s="145">
        <f>ROUND(SUM(J39:J46),0)</f>
        <v>-254644996</v>
      </c>
      <c r="K47" s="9"/>
      <c r="L47" s="130"/>
      <c r="M47" s="128"/>
      <c r="N47" s="156"/>
      <c r="O47" s="46"/>
      <c r="P47" s="2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126" customFormat="1" x14ac:dyDescent="0.25">
      <c r="A48" s="129"/>
      <c r="D48" s="9"/>
      <c r="E48" s="48"/>
      <c r="F48" s="9"/>
      <c r="G48" s="9"/>
      <c r="H48" s="464"/>
      <c r="I48" s="9"/>
      <c r="J48" s="48"/>
      <c r="K48" s="9"/>
      <c r="L48" s="148"/>
      <c r="M48" s="128"/>
      <c r="N48" s="64"/>
      <c r="O48" s="4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50" x14ac:dyDescent="0.25">
      <c r="A49" s="129">
        <f>A47+1</f>
        <v>29</v>
      </c>
      <c r="C49" s="127" t="s">
        <v>260</v>
      </c>
      <c r="D49" s="242" t="s">
        <v>335</v>
      </c>
      <c r="E49" s="409">
        <f>'OATT Input Data'!$E$169*-1</f>
        <v>0</v>
      </c>
      <c r="F49" s="9"/>
      <c r="G49" s="9" t="str">
        <f>+G23</f>
        <v>TP</v>
      </c>
      <c r="H49" s="460">
        <f>+H23</f>
        <v>0.96060000000000001</v>
      </c>
      <c r="I49" s="9"/>
      <c r="J49" s="409">
        <f>ROUND(E49*H49,0)</f>
        <v>0</v>
      </c>
      <c r="K49" s="9"/>
      <c r="L49" s="130"/>
      <c r="M49" s="128"/>
      <c r="N49" s="64"/>
      <c r="O49" s="46"/>
      <c r="P49" s="46"/>
      <c r="Q49" s="46"/>
    </row>
    <row r="50" spans="1:50" x14ac:dyDescent="0.25">
      <c r="A50" s="129"/>
      <c r="C50" s="127"/>
      <c r="D50" s="9"/>
      <c r="E50" s="48"/>
      <c r="F50" s="9"/>
      <c r="G50" s="9"/>
      <c r="H50" s="9"/>
      <c r="I50" s="9"/>
      <c r="J50" s="48"/>
      <c r="K50" s="9"/>
      <c r="L50" s="130"/>
      <c r="M50" s="128"/>
      <c r="N50" s="64"/>
      <c r="O50" s="46"/>
      <c r="P50" s="20"/>
    </row>
    <row r="51" spans="1:50" x14ac:dyDescent="0.25">
      <c r="A51" s="129"/>
      <c r="C51" s="147" t="s">
        <v>256</v>
      </c>
      <c r="D51" s="245" t="s">
        <v>255</v>
      </c>
      <c r="E51" s="48"/>
      <c r="F51" s="9"/>
      <c r="G51" s="9"/>
      <c r="H51" s="9"/>
      <c r="I51" s="9"/>
      <c r="J51" s="48"/>
      <c r="K51" s="9"/>
      <c r="L51" s="130"/>
      <c r="M51" s="128"/>
      <c r="N51" s="46"/>
      <c r="O51" s="46"/>
      <c r="P51" s="20"/>
    </row>
    <row r="52" spans="1:50" x14ac:dyDescent="0.25">
      <c r="A52" s="129">
        <f>A49+1</f>
        <v>30</v>
      </c>
      <c r="C52" s="236" t="s">
        <v>169</v>
      </c>
      <c r="D52" s="82" t="s">
        <v>52</v>
      </c>
      <c r="E52" s="145">
        <f>ROUND('NITS Pg 3 of 5'!$E$22/8,0)</f>
        <v>30820131</v>
      </c>
      <c r="F52" s="9"/>
      <c r="G52" s="9"/>
      <c r="H52" s="464"/>
      <c r="I52" s="9"/>
      <c r="J52" s="145">
        <f>ROUND('NITS Pg 3 of 5'!$J$22/8,0)</f>
        <v>7876293</v>
      </c>
      <c r="K52" s="4"/>
      <c r="L52" s="148"/>
      <c r="M52" s="128"/>
      <c r="N52" s="157"/>
      <c r="O52" s="158"/>
      <c r="P52" s="20"/>
    </row>
    <row r="53" spans="1:50" x14ac:dyDescent="0.25">
      <c r="A53" s="129">
        <f>A52+1</f>
        <v>31</v>
      </c>
      <c r="C53" s="236" t="s">
        <v>257</v>
      </c>
      <c r="D53" s="242" t="s">
        <v>383</v>
      </c>
      <c r="E53" s="48">
        <f>'OATT Input Data'!$E$176</f>
        <v>15641883.886112167</v>
      </c>
      <c r="F53" s="9"/>
      <c r="G53" s="9" t="s">
        <v>53</v>
      </c>
      <c r="H53" s="460">
        <f>'PTP Pg 4 of 5'!$J$25</f>
        <v>0.86294000000000004</v>
      </c>
      <c r="I53" s="9"/>
      <c r="J53" s="48">
        <f t="shared" ref="J53:J54" si="3">ROUND(E53*H53,0)</f>
        <v>13498007</v>
      </c>
      <c r="K53" s="9" t="s">
        <v>0</v>
      </c>
      <c r="L53" s="148"/>
      <c r="M53" s="128"/>
      <c r="N53" s="159"/>
      <c r="O53" s="158"/>
      <c r="P53" s="49"/>
      <c r="Q53" s="49"/>
    </row>
    <row r="54" spans="1:50" ht="18" x14ac:dyDescent="0.4">
      <c r="A54" s="129">
        <f t="shared" ref="A54:A55" si="4">A53+1</f>
        <v>32</v>
      </c>
      <c r="C54" s="237" t="s">
        <v>170</v>
      </c>
      <c r="D54" s="242" t="s">
        <v>419</v>
      </c>
      <c r="E54" s="470">
        <f>'OATT Input Data'!$E$182</f>
        <v>32367401</v>
      </c>
      <c r="F54" s="9"/>
      <c r="G54" s="9" t="s">
        <v>54</v>
      </c>
      <c r="H54" s="460">
        <f>+H19</f>
        <v>9.6829999999999999E-2</v>
      </c>
      <c r="I54" s="9"/>
      <c r="J54" s="462">
        <f t="shared" si="3"/>
        <v>3134135</v>
      </c>
      <c r="K54" s="9"/>
      <c r="L54" s="148"/>
      <c r="M54" s="128"/>
      <c r="N54" s="159"/>
      <c r="O54" s="30"/>
      <c r="P54" s="49"/>
      <c r="Q54" s="49"/>
    </row>
    <row r="55" spans="1:50" x14ac:dyDescent="0.25">
      <c r="A55" s="129">
        <f t="shared" si="4"/>
        <v>33</v>
      </c>
      <c r="C55" s="147" t="s">
        <v>193</v>
      </c>
      <c r="D55" s="245" t="str">
        <f>"Sum of Ls. "&amp;A52&amp;" - "&amp;A54</f>
        <v>Sum of Ls. 30 - 32</v>
      </c>
      <c r="E55" s="145">
        <f>ROUND(SUM(E52:E54),0)</f>
        <v>78829416</v>
      </c>
      <c r="F55" s="4"/>
      <c r="G55" s="4"/>
      <c r="H55" s="4"/>
      <c r="I55" s="4"/>
      <c r="J55" s="145">
        <f>ROUND(SUM(J52:J54),0)</f>
        <v>24508435</v>
      </c>
      <c r="K55" s="4"/>
      <c r="L55" s="128"/>
      <c r="M55" s="128"/>
      <c r="N55" s="151"/>
      <c r="O55" s="46"/>
      <c r="P55" s="20"/>
    </row>
    <row r="56" spans="1:50" x14ac:dyDescent="0.25">
      <c r="D56" s="9"/>
      <c r="E56" s="48"/>
      <c r="F56" s="9"/>
      <c r="G56" s="9"/>
      <c r="H56" s="9"/>
      <c r="I56" s="9"/>
      <c r="J56" s="48"/>
      <c r="K56" s="9"/>
      <c r="L56" s="130"/>
      <c r="M56" s="128"/>
      <c r="N56" s="46"/>
      <c r="O56" s="46"/>
      <c r="P56" s="20"/>
    </row>
    <row r="57" spans="1:50" x14ac:dyDescent="0.25">
      <c r="A57" s="129">
        <f>A55+1</f>
        <v>34</v>
      </c>
      <c r="C57" s="127" t="s">
        <v>258</v>
      </c>
      <c r="D57" s="245" t="s">
        <v>259</v>
      </c>
      <c r="E57" s="471">
        <f>ROUND(E55+E49+E47+E35,0)</f>
        <v>7597717676</v>
      </c>
      <c r="F57" s="9"/>
      <c r="G57" s="9"/>
      <c r="H57" s="464"/>
      <c r="I57" s="9"/>
      <c r="J57" s="471">
        <f>ROUND(J55+J49+J47+J35,0)</f>
        <v>754511821</v>
      </c>
      <c r="K57" s="9"/>
      <c r="L57" s="148"/>
      <c r="M57" s="130"/>
      <c r="N57" s="46"/>
      <c r="O57" s="46"/>
      <c r="P57" s="20"/>
    </row>
    <row r="58" spans="1:50" x14ac:dyDescent="0.25">
      <c r="A58" s="129"/>
      <c r="C58" s="127"/>
      <c r="D58" s="130"/>
      <c r="E58" s="130"/>
      <c r="F58" s="130"/>
      <c r="G58" s="130"/>
      <c r="H58" s="130"/>
      <c r="I58" s="130"/>
      <c r="J58" s="130"/>
      <c r="K58" s="9"/>
      <c r="L58" s="130"/>
      <c r="M58" s="130"/>
      <c r="N58" s="46"/>
      <c r="O58" s="46"/>
      <c r="P58" s="20"/>
    </row>
    <row r="59" spans="1:50" x14ac:dyDescent="0.25">
      <c r="K59" s="1"/>
      <c r="Q59" s="81"/>
      <c r="R59" s="81"/>
      <c r="S59" s="81"/>
      <c r="AR59" s="1"/>
      <c r="AS59" s="1"/>
      <c r="AT59" s="1"/>
      <c r="AU59" s="1"/>
      <c r="AV59" s="1"/>
      <c r="AW59" s="1"/>
      <c r="AX59" s="1"/>
    </row>
    <row r="60" spans="1:50" x14ac:dyDescent="0.25">
      <c r="K60" s="1"/>
      <c r="Q60" s="81"/>
      <c r="R60" s="81"/>
      <c r="S60" s="81"/>
      <c r="AR60" s="1"/>
      <c r="AS60" s="1"/>
      <c r="AT60" s="1"/>
      <c r="AU60" s="1"/>
      <c r="AV60" s="1"/>
      <c r="AW60" s="1"/>
      <c r="AX60" s="1"/>
    </row>
    <row r="61" spans="1:50" x14ac:dyDescent="0.25">
      <c r="K61" s="1"/>
      <c r="Q61" s="81"/>
      <c r="R61" s="81"/>
      <c r="S61" s="81"/>
      <c r="AR61" s="1"/>
      <c r="AS61" s="1"/>
      <c r="AT61" s="1"/>
      <c r="AU61" s="1"/>
      <c r="AV61" s="1"/>
      <c r="AW61" s="1"/>
      <c r="AX61" s="1"/>
    </row>
    <row r="62" spans="1:50" x14ac:dyDescent="0.25">
      <c r="K62" s="1"/>
      <c r="Q62" s="81"/>
      <c r="R62" s="81"/>
      <c r="S62" s="81"/>
      <c r="AR62" s="1"/>
      <c r="AS62" s="1"/>
      <c r="AT62" s="1"/>
      <c r="AU62" s="1"/>
      <c r="AV62" s="1"/>
      <c r="AW62" s="1"/>
      <c r="AX62" s="1"/>
    </row>
    <row r="63" spans="1:50" x14ac:dyDescent="0.25">
      <c r="K63" s="1"/>
      <c r="Q63" s="81"/>
      <c r="R63" s="81"/>
      <c r="S63" s="81"/>
      <c r="AR63" s="1"/>
      <c r="AS63" s="1"/>
      <c r="AT63" s="1"/>
      <c r="AU63" s="1"/>
      <c r="AV63" s="1"/>
      <c r="AW63" s="1"/>
      <c r="AX63" s="1"/>
    </row>
    <row r="64" spans="1:50" x14ac:dyDescent="0.25">
      <c r="K64" s="1"/>
      <c r="Q64" s="81"/>
      <c r="R64" s="81"/>
      <c r="S64" s="81"/>
      <c r="AR64" s="1"/>
      <c r="AS64" s="1"/>
      <c r="AT64" s="1"/>
      <c r="AU64" s="1"/>
      <c r="AV64" s="1"/>
      <c r="AW64" s="1"/>
      <c r="AX64" s="1"/>
    </row>
    <row r="65" spans="17:50" s="126" customFormat="1" x14ac:dyDescent="0.25">
      <c r="Q65" s="81"/>
      <c r="R65" s="81"/>
      <c r="S65" s="8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1"/>
      <c r="AS65" s="1"/>
      <c r="AT65" s="1"/>
      <c r="AU65" s="1"/>
      <c r="AV65" s="1"/>
      <c r="AW65" s="1"/>
      <c r="AX65" s="1"/>
    </row>
    <row r="66" spans="17:50" s="126" customFormat="1" x14ac:dyDescent="0.25">
      <c r="Q66" s="81"/>
      <c r="R66" s="81"/>
      <c r="S66" s="8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1"/>
      <c r="AS66" s="1"/>
      <c r="AT66" s="1"/>
      <c r="AU66" s="1"/>
      <c r="AV66" s="1"/>
      <c r="AW66" s="1"/>
      <c r="AX66" s="1"/>
    </row>
    <row r="67" spans="17:50" s="126" customFormat="1" x14ac:dyDescent="0.25">
      <c r="Q67" s="81"/>
      <c r="R67" s="81"/>
      <c r="S67" s="8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1"/>
      <c r="AS67" s="1"/>
      <c r="AT67" s="1"/>
      <c r="AU67" s="1"/>
      <c r="AV67" s="1"/>
      <c r="AW67" s="1"/>
      <c r="AX67" s="1"/>
    </row>
    <row r="68" spans="17:50" s="126" customFormat="1" x14ac:dyDescent="0.25">
      <c r="Q68" s="81"/>
      <c r="R68" s="81"/>
      <c r="S68" s="8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1"/>
      <c r="AS68" s="1"/>
      <c r="AT68" s="1"/>
      <c r="AU68" s="1"/>
      <c r="AV68" s="1"/>
      <c r="AW68" s="1"/>
      <c r="AX68" s="1"/>
    </row>
    <row r="69" spans="17:50" s="126" customFormat="1" x14ac:dyDescent="0.25">
      <c r="Q69" s="81"/>
      <c r="R69" s="81"/>
      <c r="S69" s="8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1"/>
      <c r="AS69" s="1"/>
      <c r="AT69" s="1"/>
      <c r="AU69" s="1"/>
      <c r="AV69" s="1"/>
      <c r="AW69" s="1"/>
      <c r="AX69" s="1"/>
    </row>
    <row r="70" spans="17:50" s="126" customFormat="1" x14ac:dyDescent="0.25">
      <c r="Q70" s="81"/>
      <c r="R70" s="81"/>
      <c r="S70" s="8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1"/>
      <c r="AS70" s="1"/>
      <c r="AT70" s="1"/>
      <c r="AU70" s="1"/>
      <c r="AV70" s="1"/>
      <c r="AW70" s="1"/>
      <c r="AX70" s="1"/>
    </row>
    <row r="71" spans="17:50" s="126" customFormat="1" x14ac:dyDescent="0.25">
      <c r="Q71" s="81"/>
      <c r="R71" s="81"/>
      <c r="S71" s="8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1"/>
      <c r="AS71" s="1"/>
      <c r="AT71" s="1"/>
      <c r="AU71" s="1"/>
      <c r="AV71" s="1"/>
      <c r="AW71" s="1"/>
      <c r="AX71" s="1"/>
    </row>
    <row r="72" spans="17:50" s="126" customFormat="1" x14ac:dyDescent="0.25">
      <c r="Q72" s="81"/>
      <c r="R72" s="81"/>
      <c r="S72" s="8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"/>
      <c r="AS72" s="1"/>
      <c r="AT72" s="1"/>
      <c r="AU72" s="1"/>
      <c r="AV72" s="1"/>
      <c r="AW72" s="1"/>
      <c r="AX72" s="1"/>
    </row>
    <row r="73" spans="17:50" s="126" customFormat="1" x14ac:dyDescent="0.25">
      <c r="Q73" s="81"/>
      <c r="R73" s="81"/>
      <c r="S73" s="8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1"/>
      <c r="AS73" s="1"/>
      <c r="AT73" s="1"/>
      <c r="AU73" s="1"/>
      <c r="AV73" s="1"/>
      <c r="AW73" s="1"/>
      <c r="AX73" s="1"/>
    </row>
    <row r="74" spans="17:50" s="126" customFormat="1" x14ac:dyDescent="0.25">
      <c r="Q74" s="81"/>
      <c r="R74" s="81"/>
      <c r="S74" s="8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1"/>
      <c r="AS74" s="1"/>
      <c r="AT74" s="1"/>
      <c r="AU74" s="1"/>
      <c r="AV74" s="1"/>
      <c r="AW74" s="1"/>
      <c r="AX74" s="1"/>
    </row>
    <row r="75" spans="17:50" s="126" customFormat="1" x14ac:dyDescent="0.25">
      <c r="Q75" s="81"/>
      <c r="R75" s="81"/>
      <c r="S75" s="8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1"/>
      <c r="AS75" s="1"/>
      <c r="AT75" s="1"/>
      <c r="AU75" s="1"/>
      <c r="AV75" s="1"/>
      <c r="AW75" s="1"/>
      <c r="AX75" s="1"/>
    </row>
    <row r="76" spans="17:50" s="126" customFormat="1" x14ac:dyDescent="0.25">
      <c r="Q76" s="81"/>
      <c r="R76" s="81"/>
      <c r="S76" s="8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1"/>
      <c r="AS76" s="1"/>
      <c r="AT76" s="1"/>
      <c r="AU76" s="1"/>
      <c r="AV76" s="1"/>
      <c r="AW76" s="1"/>
      <c r="AX76" s="1"/>
    </row>
    <row r="77" spans="17:50" s="126" customFormat="1" x14ac:dyDescent="0.25">
      <c r="Q77" s="81"/>
      <c r="R77" s="81"/>
      <c r="S77" s="8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"/>
      <c r="AS77" s="1"/>
      <c r="AT77" s="1"/>
      <c r="AU77" s="1"/>
      <c r="AV77" s="1"/>
      <c r="AW77" s="1"/>
      <c r="AX77" s="1"/>
    </row>
    <row r="78" spans="17:50" s="126" customFormat="1" x14ac:dyDescent="0.25">
      <c r="Q78" s="81"/>
      <c r="R78" s="81"/>
      <c r="S78" s="8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1"/>
      <c r="AS78" s="1"/>
      <c r="AT78" s="1"/>
      <c r="AU78" s="1"/>
      <c r="AV78" s="1"/>
      <c r="AW78" s="1"/>
      <c r="AX78" s="1"/>
    </row>
    <row r="79" spans="17:50" s="126" customFormat="1" x14ac:dyDescent="0.25">
      <c r="Q79" s="81"/>
      <c r="R79" s="81"/>
      <c r="S79" s="8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1"/>
      <c r="AS79" s="1"/>
      <c r="AT79" s="1"/>
      <c r="AU79" s="1"/>
      <c r="AV79" s="1"/>
      <c r="AW79" s="1"/>
      <c r="AX79" s="1"/>
    </row>
    <row r="80" spans="17:50" s="126" customFormat="1" x14ac:dyDescent="0.25">
      <c r="Q80" s="81"/>
      <c r="R80" s="81"/>
      <c r="S80" s="8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1"/>
      <c r="AS80" s="1"/>
      <c r="AT80" s="1"/>
      <c r="AU80" s="1"/>
      <c r="AV80" s="1"/>
      <c r="AW80" s="1"/>
      <c r="AX80" s="1"/>
    </row>
    <row r="81" spans="17:50" s="126" customFormat="1" x14ac:dyDescent="0.25">
      <c r="Q81" s="81"/>
      <c r="R81" s="81"/>
      <c r="S81" s="8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1"/>
      <c r="AS81" s="1"/>
      <c r="AT81" s="1"/>
      <c r="AU81" s="1"/>
      <c r="AV81" s="1"/>
      <c r="AW81" s="1"/>
      <c r="AX81" s="1"/>
    </row>
    <row r="82" spans="17:50" s="126" customFormat="1" x14ac:dyDescent="0.25">
      <c r="Q82" s="81"/>
      <c r="R82" s="81"/>
      <c r="S82" s="8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1"/>
      <c r="AS82" s="1"/>
      <c r="AT82" s="1"/>
      <c r="AU82" s="1"/>
      <c r="AV82" s="1"/>
      <c r="AW82" s="1"/>
      <c r="AX82" s="1"/>
    </row>
    <row r="83" spans="17:50" s="126" customFormat="1" x14ac:dyDescent="0.25">
      <c r="Q83" s="81"/>
      <c r="R83" s="81"/>
      <c r="S83" s="8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1"/>
      <c r="AS83" s="1"/>
      <c r="AT83" s="1"/>
      <c r="AU83" s="1"/>
      <c r="AV83" s="1"/>
      <c r="AW83" s="1"/>
      <c r="AX83" s="1"/>
    </row>
    <row r="84" spans="17:50" s="126" customFormat="1" x14ac:dyDescent="0.25">
      <c r="Q84" s="81"/>
      <c r="R84" s="81"/>
      <c r="S84" s="8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1"/>
      <c r="AS84" s="1"/>
      <c r="AT84" s="1"/>
      <c r="AU84" s="1"/>
      <c r="AV84" s="1"/>
      <c r="AW84" s="1"/>
      <c r="AX84" s="1"/>
    </row>
    <row r="85" spans="17:50" s="126" customFormat="1" x14ac:dyDescent="0.25">
      <c r="Q85" s="81"/>
      <c r="R85" s="81"/>
      <c r="S85" s="8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1"/>
      <c r="AS85" s="1"/>
      <c r="AT85" s="1"/>
      <c r="AU85" s="1"/>
      <c r="AV85" s="1"/>
      <c r="AW85" s="1"/>
      <c r="AX85" s="1"/>
    </row>
    <row r="86" spans="17:50" s="126" customFormat="1" x14ac:dyDescent="0.25">
      <c r="Q86" s="81"/>
      <c r="R86" s="81"/>
      <c r="S86" s="8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1"/>
      <c r="AS86" s="1"/>
      <c r="AT86" s="1"/>
      <c r="AU86" s="1"/>
      <c r="AV86" s="1"/>
      <c r="AW86" s="1"/>
      <c r="AX86" s="1"/>
    </row>
    <row r="87" spans="17:50" s="126" customFormat="1" x14ac:dyDescent="0.25">
      <c r="Q87" s="81"/>
      <c r="R87" s="81"/>
      <c r="S87" s="8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1"/>
      <c r="AS87" s="1"/>
      <c r="AT87" s="1"/>
      <c r="AU87" s="1"/>
      <c r="AV87" s="1"/>
      <c r="AW87" s="1"/>
      <c r="AX87" s="1"/>
    </row>
    <row r="88" spans="17:50" s="126" customFormat="1" x14ac:dyDescent="0.25">
      <c r="Q88" s="81"/>
      <c r="R88" s="81"/>
      <c r="S88" s="8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1"/>
      <c r="AS88" s="1"/>
      <c r="AT88" s="1"/>
      <c r="AU88" s="1"/>
      <c r="AV88" s="1"/>
      <c r="AW88" s="1"/>
      <c r="AX88" s="1"/>
    </row>
    <row r="89" spans="17:50" s="126" customFormat="1" x14ac:dyDescent="0.25">
      <c r="Q89" s="81"/>
      <c r="R89" s="81"/>
      <c r="S89" s="8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1"/>
      <c r="AS89" s="1"/>
      <c r="AT89" s="1"/>
      <c r="AU89" s="1"/>
      <c r="AV89" s="1"/>
      <c r="AW89" s="1"/>
      <c r="AX89" s="1"/>
    </row>
    <row r="90" spans="17:50" s="126" customFormat="1" x14ac:dyDescent="0.25">
      <c r="Q90" s="81"/>
      <c r="R90" s="81"/>
      <c r="S90" s="8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1"/>
      <c r="AS90" s="1"/>
      <c r="AT90" s="1"/>
      <c r="AU90" s="1"/>
      <c r="AV90" s="1"/>
      <c r="AW90" s="1"/>
      <c r="AX90" s="1"/>
    </row>
    <row r="91" spans="17:50" s="126" customFormat="1" x14ac:dyDescent="0.25">
      <c r="Q91" s="81"/>
      <c r="R91" s="81"/>
      <c r="S91" s="8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1"/>
      <c r="AS91" s="1"/>
      <c r="AT91" s="1"/>
      <c r="AU91" s="1"/>
      <c r="AV91" s="1"/>
      <c r="AW91" s="1"/>
      <c r="AX91" s="1"/>
    </row>
    <row r="92" spans="17:50" s="126" customFormat="1" x14ac:dyDescent="0.25">
      <c r="Q92" s="81"/>
      <c r="R92" s="81"/>
      <c r="S92" s="8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1"/>
      <c r="AS92" s="1"/>
      <c r="AT92" s="1"/>
      <c r="AU92" s="1"/>
      <c r="AV92" s="1"/>
      <c r="AW92" s="1"/>
      <c r="AX92" s="1"/>
    </row>
    <row r="93" spans="17:50" s="126" customFormat="1" x14ac:dyDescent="0.25">
      <c r="Q93" s="81"/>
      <c r="R93" s="81"/>
      <c r="S93" s="8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1"/>
      <c r="AS93" s="1"/>
      <c r="AT93" s="1"/>
      <c r="AU93" s="1"/>
      <c r="AV93" s="1"/>
      <c r="AW93" s="1"/>
      <c r="AX93" s="1"/>
    </row>
    <row r="94" spans="17:50" s="126" customFormat="1" x14ac:dyDescent="0.25">
      <c r="Q94" s="81"/>
      <c r="R94" s="81"/>
      <c r="S94" s="8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1"/>
      <c r="AS94" s="1"/>
      <c r="AT94" s="1"/>
      <c r="AU94" s="1"/>
      <c r="AV94" s="1"/>
      <c r="AW94" s="1"/>
      <c r="AX94" s="1"/>
    </row>
    <row r="95" spans="17:50" s="126" customFormat="1" x14ac:dyDescent="0.25">
      <c r="Q95" s="81"/>
      <c r="R95" s="81"/>
      <c r="S95" s="8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1"/>
      <c r="AS95" s="1"/>
      <c r="AT95" s="1"/>
      <c r="AU95" s="1"/>
      <c r="AV95" s="1"/>
      <c r="AW95" s="1"/>
      <c r="AX95" s="1"/>
    </row>
    <row r="96" spans="17:50" s="126" customFormat="1" x14ac:dyDescent="0.25">
      <c r="Q96" s="81"/>
      <c r="R96" s="81"/>
      <c r="S96" s="8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1"/>
      <c r="AS96" s="1"/>
      <c r="AT96" s="1"/>
      <c r="AU96" s="1"/>
      <c r="AV96" s="1"/>
      <c r="AW96" s="1"/>
      <c r="AX96" s="1"/>
    </row>
    <row r="97" spans="17:50" s="126" customFormat="1" x14ac:dyDescent="0.25">
      <c r="Q97" s="81"/>
      <c r="R97" s="81"/>
      <c r="S97" s="8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"/>
      <c r="AS97" s="1"/>
      <c r="AT97" s="1"/>
      <c r="AU97" s="1"/>
      <c r="AV97" s="1"/>
      <c r="AW97" s="1"/>
      <c r="AX97" s="1"/>
    </row>
    <row r="98" spans="17:50" s="126" customFormat="1" x14ac:dyDescent="0.25">
      <c r="Q98" s="81"/>
      <c r="R98" s="81"/>
      <c r="S98" s="8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1"/>
      <c r="AS98" s="1"/>
      <c r="AT98" s="1"/>
      <c r="AU98" s="1"/>
      <c r="AV98" s="1"/>
      <c r="AW98" s="1"/>
      <c r="AX98" s="1"/>
    </row>
    <row r="99" spans="17:50" s="126" customFormat="1" x14ac:dyDescent="0.25">
      <c r="Q99" s="81"/>
      <c r="R99" s="81"/>
      <c r="S99" s="8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1"/>
      <c r="AS99" s="1"/>
      <c r="AT99" s="1"/>
      <c r="AU99" s="1"/>
      <c r="AV99" s="1"/>
      <c r="AW99" s="1"/>
      <c r="AX99" s="1"/>
    </row>
    <row r="100" spans="17:50" s="126" customFormat="1" x14ac:dyDescent="0.25">
      <c r="Q100" s="81"/>
      <c r="R100" s="81"/>
      <c r="S100" s="8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"/>
      <c r="AS100" s="1"/>
      <c r="AT100" s="1"/>
      <c r="AU100" s="1"/>
      <c r="AV100" s="1"/>
      <c r="AW100" s="1"/>
      <c r="AX100" s="1"/>
    </row>
    <row r="101" spans="17:50" s="126" customFormat="1" x14ac:dyDescent="0.25">
      <c r="Q101" s="81"/>
      <c r="R101" s="81"/>
      <c r="S101" s="8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1"/>
      <c r="AS101" s="1"/>
      <c r="AT101" s="1"/>
      <c r="AU101" s="1"/>
      <c r="AV101" s="1"/>
      <c r="AW101" s="1"/>
      <c r="AX101" s="1"/>
    </row>
    <row r="102" spans="17:50" s="126" customFormat="1" x14ac:dyDescent="0.25">
      <c r="Q102" s="81"/>
      <c r="R102" s="81"/>
      <c r="S102" s="8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1"/>
      <c r="AS102" s="1"/>
      <c r="AT102" s="1"/>
      <c r="AU102" s="1"/>
      <c r="AV102" s="1"/>
      <c r="AW102" s="1"/>
      <c r="AX102" s="1"/>
    </row>
    <row r="103" spans="17:50" s="126" customFormat="1" x14ac:dyDescent="0.25">
      <c r="Q103" s="81"/>
      <c r="R103" s="81"/>
      <c r="S103" s="8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1"/>
      <c r="AS103" s="1"/>
      <c r="AT103" s="1"/>
      <c r="AU103" s="1"/>
      <c r="AV103" s="1"/>
      <c r="AW103" s="1"/>
      <c r="AX103" s="1"/>
    </row>
    <row r="104" spans="17:50" s="126" customFormat="1" x14ac:dyDescent="0.25">
      <c r="Q104" s="81"/>
      <c r="R104" s="81"/>
      <c r="S104" s="8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1"/>
      <c r="AS104" s="1"/>
      <c r="AT104" s="1"/>
      <c r="AU104" s="1"/>
      <c r="AV104" s="1"/>
      <c r="AW104" s="1"/>
      <c r="AX104" s="1"/>
    </row>
    <row r="105" spans="17:50" s="126" customFormat="1" x14ac:dyDescent="0.25">
      <c r="Q105" s="81"/>
      <c r="R105" s="81"/>
      <c r="S105" s="8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1"/>
      <c r="AS105" s="1"/>
      <c r="AT105" s="1"/>
      <c r="AU105" s="1"/>
      <c r="AV105" s="1"/>
      <c r="AW105" s="1"/>
      <c r="AX105" s="1"/>
    </row>
    <row r="106" spans="17:50" s="126" customFormat="1" x14ac:dyDescent="0.25">
      <c r="Q106" s="81"/>
      <c r="R106" s="81"/>
      <c r="S106" s="8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1"/>
      <c r="AS106" s="1"/>
      <c r="AT106" s="1"/>
      <c r="AU106" s="1"/>
      <c r="AV106" s="1"/>
      <c r="AW106" s="1"/>
      <c r="AX106" s="1"/>
    </row>
    <row r="107" spans="17:50" s="126" customFormat="1" x14ac:dyDescent="0.25">
      <c r="Q107" s="81"/>
      <c r="R107" s="81"/>
      <c r="S107" s="8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1"/>
      <c r="AS107" s="1"/>
      <c r="AT107" s="1"/>
      <c r="AU107" s="1"/>
      <c r="AV107" s="1"/>
      <c r="AW107" s="1"/>
      <c r="AX107" s="1"/>
    </row>
    <row r="108" spans="17:50" s="126" customFormat="1" x14ac:dyDescent="0.25">
      <c r="Q108" s="81"/>
      <c r="R108" s="81"/>
      <c r="S108" s="8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1"/>
      <c r="AS108" s="1"/>
      <c r="AT108" s="1"/>
      <c r="AU108" s="1"/>
      <c r="AV108" s="1"/>
      <c r="AW108" s="1"/>
      <c r="AX108" s="1"/>
    </row>
    <row r="109" spans="17:50" s="126" customFormat="1" x14ac:dyDescent="0.25">
      <c r="Q109" s="81"/>
      <c r="R109" s="81"/>
      <c r="S109" s="8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1"/>
      <c r="AS109" s="1"/>
      <c r="AT109" s="1"/>
      <c r="AU109" s="1"/>
      <c r="AV109" s="1"/>
      <c r="AW109" s="1"/>
      <c r="AX109" s="1"/>
    </row>
    <row r="110" spans="17:50" s="126" customFormat="1" x14ac:dyDescent="0.25">
      <c r="Q110" s="81"/>
      <c r="R110" s="81"/>
      <c r="S110" s="8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1"/>
      <c r="AS110" s="1"/>
      <c r="AT110" s="1"/>
      <c r="AU110" s="1"/>
      <c r="AV110" s="1"/>
      <c r="AW110" s="1"/>
      <c r="AX110" s="1"/>
    </row>
    <row r="111" spans="17:50" s="126" customFormat="1" x14ac:dyDescent="0.25">
      <c r="Q111" s="81"/>
      <c r="R111" s="81"/>
      <c r="S111" s="8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1"/>
      <c r="AS111" s="1"/>
      <c r="AT111" s="1"/>
      <c r="AU111" s="1"/>
      <c r="AV111" s="1"/>
      <c r="AW111" s="1"/>
      <c r="AX111" s="1"/>
    </row>
    <row r="112" spans="17:50" s="126" customFormat="1" x14ac:dyDescent="0.25">
      <c r="Q112" s="81"/>
      <c r="R112" s="81"/>
      <c r="S112" s="8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1"/>
      <c r="AS112" s="1"/>
      <c r="AT112" s="1"/>
      <c r="AU112" s="1"/>
      <c r="AV112" s="1"/>
      <c r="AW112" s="1"/>
      <c r="AX112" s="1"/>
    </row>
    <row r="113" spans="17:50" s="126" customFormat="1" x14ac:dyDescent="0.25">
      <c r="Q113" s="81"/>
      <c r="R113" s="81"/>
      <c r="S113" s="8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1"/>
      <c r="AS113" s="1"/>
      <c r="AT113" s="1"/>
      <c r="AU113" s="1"/>
      <c r="AV113" s="1"/>
      <c r="AW113" s="1"/>
      <c r="AX113" s="1"/>
    </row>
    <row r="114" spans="17:50" s="126" customFormat="1" x14ac:dyDescent="0.25">
      <c r="Q114" s="81"/>
      <c r="R114" s="81"/>
      <c r="S114" s="8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1"/>
      <c r="AS114" s="1"/>
      <c r="AT114" s="1"/>
      <c r="AU114" s="1"/>
      <c r="AV114" s="1"/>
      <c r="AW114" s="1"/>
      <c r="AX114" s="1"/>
    </row>
    <row r="115" spans="17:50" s="126" customFormat="1" x14ac:dyDescent="0.25">
      <c r="Q115" s="81"/>
      <c r="R115" s="81"/>
      <c r="S115" s="8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1"/>
      <c r="AS115" s="1"/>
      <c r="AT115" s="1"/>
      <c r="AU115" s="1"/>
      <c r="AV115" s="1"/>
      <c r="AW115" s="1"/>
      <c r="AX115" s="1"/>
    </row>
    <row r="116" spans="17:50" s="126" customFormat="1" x14ac:dyDescent="0.25">
      <c r="Q116" s="81"/>
      <c r="R116" s="81"/>
      <c r="S116" s="8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1"/>
      <c r="AS116" s="1"/>
      <c r="AT116" s="1"/>
      <c r="AU116" s="1"/>
      <c r="AV116" s="1"/>
      <c r="AW116" s="1"/>
      <c r="AX116" s="1"/>
    </row>
    <row r="117" spans="17:50" s="126" customFormat="1" x14ac:dyDescent="0.25">
      <c r="Q117" s="81"/>
      <c r="R117" s="81"/>
      <c r="S117" s="8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1"/>
      <c r="AS117" s="1"/>
      <c r="AT117" s="1"/>
      <c r="AU117" s="1"/>
      <c r="AV117" s="1"/>
      <c r="AW117" s="1"/>
      <c r="AX117" s="1"/>
    </row>
    <row r="118" spans="17:50" s="126" customFormat="1" x14ac:dyDescent="0.25">
      <c r="Q118" s="81"/>
      <c r="R118" s="81"/>
      <c r="S118" s="8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1"/>
      <c r="AS118" s="1"/>
      <c r="AT118" s="1"/>
      <c r="AU118" s="1"/>
      <c r="AV118" s="1"/>
      <c r="AW118" s="1"/>
      <c r="AX118" s="1"/>
    </row>
    <row r="119" spans="17:50" s="126" customFormat="1" x14ac:dyDescent="0.25">
      <c r="Q119" s="81"/>
      <c r="R119" s="81"/>
      <c r="S119" s="8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1"/>
      <c r="AS119" s="1"/>
      <c r="AT119" s="1"/>
      <c r="AU119" s="1"/>
      <c r="AV119" s="1"/>
      <c r="AW119" s="1"/>
      <c r="AX119" s="1"/>
    </row>
    <row r="120" spans="17:50" s="126" customFormat="1" x14ac:dyDescent="0.25">
      <c r="Q120" s="81"/>
      <c r="R120" s="81"/>
      <c r="S120" s="8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1"/>
      <c r="AS120" s="1"/>
      <c r="AT120" s="1"/>
      <c r="AU120" s="1"/>
      <c r="AV120" s="1"/>
      <c r="AW120" s="1"/>
      <c r="AX120" s="1"/>
    </row>
    <row r="121" spans="17:50" s="126" customFormat="1" x14ac:dyDescent="0.25">
      <c r="Q121" s="81"/>
      <c r="R121" s="81"/>
      <c r="S121" s="8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1"/>
      <c r="AS121" s="1"/>
      <c r="AT121" s="1"/>
      <c r="AU121" s="1"/>
      <c r="AV121" s="1"/>
      <c r="AW121" s="1"/>
      <c r="AX121" s="1"/>
    </row>
    <row r="122" spans="17:50" s="126" customFormat="1" x14ac:dyDescent="0.25">
      <c r="Q122" s="81"/>
      <c r="R122" s="81"/>
      <c r="S122" s="8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1"/>
      <c r="AS122" s="1"/>
      <c r="AT122" s="1"/>
      <c r="AU122" s="1"/>
      <c r="AV122" s="1"/>
      <c r="AW122" s="1"/>
      <c r="AX122" s="1"/>
    </row>
    <row r="123" spans="17:50" s="126" customFormat="1" x14ac:dyDescent="0.25">
      <c r="Q123" s="81"/>
      <c r="R123" s="81"/>
      <c r="S123" s="8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1"/>
      <c r="AS123" s="1"/>
      <c r="AT123" s="1"/>
      <c r="AU123" s="1"/>
      <c r="AV123" s="1"/>
      <c r="AW123" s="1"/>
      <c r="AX123" s="1"/>
    </row>
    <row r="124" spans="17:50" s="126" customFormat="1" x14ac:dyDescent="0.25">
      <c r="Q124" s="81"/>
      <c r="R124" s="81"/>
      <c r="S124" s="8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1"/>
      <c r="AS124" s="1"/>
      <c r="AT124" s="1"/>
      <c r="AU124" s="1"/>
      <c r="AV124" s="1"/>
      <c r="AW124" s="1"/>
      <c r="AX124" s="1"/>
    </row>
    <row r="125" spans="17:50" s="126" customFormat="1" x14ac:dyDescent="0.25">
      <c r="Q125" s="81"/>
      <c r="R125" s="81"/>
      <c r="S125" s="8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1"/>
      <c r="AS125" s="1"/>
      <c r="AT125" s="1"/>
      <c r="AU125" s="1"/>
      <c r="AV125" s="1"/>
      <c r="AW125" s="1"/>
      <c r="AX125" s="1"/>
    </row>
    <row r="126" spans="17:50" s="126" customFormat="1" x14ac:dyDescent="0.25">
      <c r="Q126" s="81"/>
      <c r="R126" s="81"/>
      <c r="S126" s="8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1"/>
      <c r="AS126" s="1"/>
      <c r="AT126" s="1"/>
      <c r="AU126" s="1"/>
      <c r="AV126" s="1"/>
      <c r="AW126" s="1"/>
      <c r="AX126" s="1"/>
    </row>
    <row r="127" spans="17:50" s="126" customFormat="1" x14ac:dyDescent="0.25">
      <c r="Q127" s="81"/>
      <c r="R127" s="81"/>
      <c r="S127" s="8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1"/>
      <c r="AS127" s="1"/>
      <c r="AT127" s="1"/>
      <c r="AU127" s="1"/>
      <c r="AV127" s="1"/>
      <c r="AW127" s="1"/>
      <c r="AX127" s="1"/>
    </row>
    <row r="128" spans="17:50" s="126" customFormat="1" x14ac:dyDescent="0.25">
      <c r="Q128" s="81"/>
      <c r="R128" s="81"/>
      <c r="S128" s="8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1"/>
      <c r="AS128" s="1"/>
      <c r="AT128" s="1"/>
      <c r="AU128" s="1"/>
      <c r="AV128" s="1"/>
      <c r="AW128" s="1"/>
      <c r="AX128" s="1"/>
    </row>
    <row r="129" spans="17:50" s="126" customFormat="1" x14ac:dyDescent="0.25">
      <c r="Q129" s="81"/>
      <c r="R129" s="81"/>
      <c r="S129" s="8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1"/>
      <c r="AS129" s="1"/>
      <c r="AT129" s="1"/>
      <c r="AU129" s="1"/>
      <c r="AV129" s="1"/>
      <c r="AW129" s="1"/>
      <c r="AX129" s="1"/>
    </row>
    <row r="130" spans="17:50" s="126" customFormat="1" x14ac:dyDescent="0.25">
      <c r="Q130" s="81"/>
      <c r="R130" s="81"/>
      <c r="S130" s="8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1"/>
      <c r="AS130" s="1"/>
      <c r="AT130" s="1"/>
      <c r="AU130" s="1"/>
      <c r="AV130" s="1"/>
      <c r="AW130" s="1"/>
      <c r="AX130" s="1"/>
    </row>
    <row r="131" spans="17:50" s="126" customFormat="1" x14ac:dyDescent="0.25">
      <c r="Q131" s="81"/>
      <c r="R131" s="81"/>
      <c r="S131" s="8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1"/>
      <c r="AS131" s="1"/>
      <c r="AT131" s="1"/>
      <c r="AU131" s="1"/>
      <c r="AV131" s="1"/>
      <c r="AW131" s="1"/>
      <c r="AX131" s="1"/>
    </row>
    <row r="132" spans="17:50" s="126" customFormat="1" x14ac:dyDescent="0.25">
      <c r="Q132" s="81"/>
      <c r="R132" s="81"/>
      <c r="S132" s="8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1"/>
      <c r="AS132" s="1"/>
      <c r="AT132" s="1"/>
      <c r="AU132" s="1"/>
      <c r="AV132" s="1"/>
      <c r="AW132" s="1"/>
      <c r="AX132" s="1"/>
    </row>
    <row r="133" spans="17:50" s="126" customFormat="1" x14ac:dyDescent="0.25">
      <c r="Q133" s="81"/>
      <c r="R133" s="81"/>
      <c r="S133" s="8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1"/>
      <c r="AS133" s="1"/>
      <c r="AT133" s="1"/>
      <c r="AU133" s="1"/>
      <c r="AV133" s="1"/>
      <c r="AW133" s="1"/>
      <c r="AX133" s="1"/>
    </row>
    <row r="134" spans="17:50" s="126" customFormat="1" x14ac:dyDescent="0.25">
      <c r="Q134" s="81"/>
      <c r="R134" s="81"/>
      <c r="S134" s="8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1"/>
      <c r="AS134" s="1"/>
      <c r="AT134" s="1"/>
      <c r="AU134" s="1"/>
      <c r="AV134" s="1"/>
      <c r="AW134" s="1"/>
      <c r="AX134" s="1"/>
    </row>
    <row r="135" spans="17:50" s="126" customFormat="1" x14ac:dyDescent="0.25">
      <c r="Q135" s="81"/>
      <c r="R135" s="81"/>
      <c r="S135" s="8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1"/>
      <c r="AS135" s="1"/>
      <c r="AT135" s="1"/>
      <c r="AU135" s="1"/>
      <c r="AV135" s="1"/>
      <c r="AW135" s="1"/>
      <c r="AX135" s="1"/>
    </row>
    <row r="136" spans="17:50" s="126" customFormat="1" x14ac:dyDescent="0.25">
      <c r="Q136" s="81"/>
      <c r="R136" s="81"/>
      <c r="S136" s="8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1"/>
      <c r="AS136" s="1"/>
      <c r="AT136" s="1"/>
      <c r="AU136" s="1"/>
      <c r="AV136" s="1"/>
      <c r="AW136" s="1"/>
      <c r="AX136" s="1"/>
    </row>
    <row r="137" spans="17:50" s="126" customFormat="1" x14ac:dyDescent="0.25">
      <c r="Q137" s="81"/>
      <c r="R137" s="81"/>
      <c r="S137" s="8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1"/>
      <c r="AS137" s="1"/>
      <c r="AT137" s="1"/>
      <c r="AU137" s="1"/>
      <c r="AV137" s="1"/>
      <c r="AW137" s="1"/>
      <c r="AX137" s="1"/>
    </row>
    <row r="138" spans="17:50" s="126" customFormat="1" x14ac:dyDescent="0.25">
      <c r="Q138" s="81"/>
      <c r="R138" s="81"/>
      <c r="S138" s="8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1"/>
      <c r="AS138" s="1"/>
      <c r="AT138" s="1"/>
      <c r="AU138" s="1"/>
      <c r="AV138" s="1"/>
      <c r="AW138" s="1"/>
      <c r="AX138" s="1"/>
    </row>
    <row r="139" spans="17:50" s="126" customFormat="1" x14ac:dyDescent="0.25">
      <c r="Q139" s="81"/>
      <c r="R139" s="81"/>
      <c r="S139" s="8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1"/>
      <c r="AS139" s="1"/>
      <c r="AT139" s="1"/>
      <c r="AU139" s="1"/>
      <c r="AV139" s="1"/>
      <c r="AW139" s="1"/>
      <c r="AX139" s="1"/>
    </row>
    <row r="140" spans="17:50" s="126" customFormat="1" x14ac:dyDescent="0.25">
      <c r="Q140" s="81"/>
      <c r="R140" s="81"/>
      <c r="S140" s="8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1"/>
      <c r="AS140" s="1"/>
      <c r="AT140" s="1"/>
      <c r="AU140" s="1"/>
      <c r="AV140" s="1"/>
      <c r="AW140" s="1"/>
      <c r="AX140" s="1"/>
    </row>
    <row r="141" spans="17:50" s="126" customFormat="1" x14ac:dyDescent="0.25">
      <c r="Q141" s="81"/>
      <c r="R141" s="81"/>
      <c r="S141" s="8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1"/>
      <c r="AS141" s="1"/>
      <c r="AT141" s="1"/>
      <c r="AU141" s="1"/>
      <c r="AV141" s="1"/>
      <c r="AW141" s="1"/>
      <c r="AX141" s="1"/>
    </row>
    <row r="142" spans="17:50" s="126" customFormat="1" x14ac:dyDescent="0.25">
      <c r="Q142" s="81"/>
      <c r="R142" s="81"/>
      <c r="S142" s="8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1"/>
      <c r="AS142" s="1"/>
      <c r="AT142" s="1"/>
      <c r="AU142" s="1"/>
      <c r="AV142" s="1"/>
      <c r="AW142" s="1"/>
      <c r="AX142" s="1"/>
    </row>
    <row r="143" spans="17:50" s="126" customFormat="1" x14ac:dyDescent="0.25">
      <c r="Q143" s="81"/>
      <c r="R143" s="81"/>
      <c r="S143" s="8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1"/>
      <c r="AS143" s="1"/>
      <c r="AT143" s="1"/>
      <c r="AU143" s="1"/>
      <c r="AV143" s="1"/>
      <c r="AW143" s="1"/>
      <c r="AX143" s="1"/>
    </row>
    <row r="144" spans="17:50" s="126" customFormat="1" x14ac:dyDescent="0.25">
      <c r="Q144" s="81"/>
      <c r="R144" s="81"/>
      <c r="S144" s="8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1"/>
      <c r="AS144" s="1"/>
      <c r="AT144" s="1"/>
      <c r="AU144" s="1"/>
      <c r="AV144" s="1"/>
      <c r="AW144" s="1"/>
      <c r="AX144" s="1"/>
    </row>
    <row r="145" spans="17:50" s="126" customFormat="1" x14ac:dyDescent="0.25">
      <c r="Q145" s="81"/>
      <c r="R145" s="81"/>
      <c r="S145" s="8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1"/>
      <c r="AS145" s="1"/>
      <c r="AT145" s="1"/>
      <c r="AU145" s="1"/>
      <c r="AV145" s="1"/>
      <c r="AW145" s="1"/>
      <c r="AX145" s="1"/>
    </row>
    <row r="146" spans="17:50" s="126" customFormat="1" x14ac:dyDescent="0.25">
      <c r="Q146" s="81"/>
      <c r="R146" s="81"/>
      <c r="S146" s="8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1"/>
      <c r="AS146" s="1"/>
      <c r="AT146" s="1"/>
      <c r="AU146" s="1"/>
      <c r="AV146" s="1"/>
      <c r="AW146" s="1"/>
      <c r="AX146" s="1"/>
    </row>
    <row r="147" spans="17:50" s="126" customFormat="1" x14ac:dyDescent="0.25">
      <c r="Q147" s="81"/>
      <c r="R147" s="81"/>
      <c r="S147" s="8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1"/>
      <c r="AS147" s="1"/>
      <c r="AT147" s="1"/>
      <c r="AU147" s="1"/>
      <c r="AV147" s="1"/>
      <c r="AW147" s="1"/>
      <c r="AX147" s="1"/>
    </row>
    <row r="148" spans="17:50" s="126" customFormat="1" x14ac:dyDescent="0.25">
      <c r="Q148" s="81"/>
      <c r="R148" s="81"/>
      <c r="S148" s="8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1"/>
      <c r="AS148" s="1"/>
      <c r="AT148" s="1"/>
      <c r="AU148" s="1"/>
      <c r="AV148" s="1"/>
      <c r="AW148" s="1"/>
      <c r="AX148" s="1"/>
    </row>
    <row r="149" spans="17:50" s="126" customFormat="1" x14ac:dyDescent="0.25">
      <c r="Q149" s="81"/>
      <c r="R149" s="81"/>
      <c r="S149" s="8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1"/>
      <c r="AS149" s="1"/>
      <c r="AT149" s="1"/>
      <c r="AU149" s="1"/>
      <c r="AV149" s="1"/>
      <c r="AW149" s="1"/>
      <c r="AX149" s="1"/>
    </row>
    <row r="150" spans="17:50" s="126" customFormat="1" x14ac:dyDescent="0.25">
      <c r="Q150" s="81"/>
      <c r="R150" s="81"/>
      <c r="S150" s="8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1"/>
      <c r="AS150" s="1"/>
      <c r="AT150" s="1"/>
      <c r="AU150" s="1"/>
      <c r="AV150" s="1"/>
      <c r="AW150" s="1"/>
      <c r="AX150" s="1"/>
    </row>
    <row r="151" spans="17:50" s="126" customFormat="1" x14ac:dyDescent="0.25">
      <c r="Q151" s="81"/>
      <c r="R151" s="81"/>
      <c r="S151" s="8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1"/>
      <c r="AS151" s="1"/>
      <c r="AT151" s="1"/>
      <c r="AU151" s="1"/>
      <c r="AV151" s="1"/>
      <c r="AW151" s="1"/>
      <c r="AX151" s="1"/>
    </row>
    <row r="152" spans="17:50" s="126" customFormat="1" x14ac:dyDescent="0.25">
      <c r="Q152" s="81"/>
      <c r="R152" s="81"/>
      <c r="S152" s="8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1"/>
      <c r="AS152" s="1"/>
      <c r="AT152" s="1"/>
      <c r="AU152" s="1"/>
      <c r="AV152" s="1"/>
      <c r="AW152" s="1"/>
      <c r="AX152" s="1"/>
    </row>
    <row r="153" spans="17:50" s="126" customFormat="1" x14ac:dyDescent="0.25">
      <c r="Q153" s="81"/>
      <c r="R153" s="81"/>
      <c r="S153" s="8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1"/>
      <c r="AS153" s="1"/>
      <c r="AT153" s="1"/>
      <c r="AU153" s="1"/>
      <c r="AV153" s="1"/>
      <c r="AW153" s="1"/>
      <c r="AX153" s="1"/>
    </row>
    <row r="154" spans="17:50" s="126" customFormat="1" x14ac:dyDescent="0.25">
      <c r="Q154" s="81"/>
      <c r="R154" s="81"/>
      <c r="S154" s="8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1"/>
      <c r="AS154" s="1"/>
      <c r="AT154" s="1"/>
      <c r="AU154" s="1"/>
      <c r="AV154" s="1"/>
      <c r="AW154" s="1"/>
      <c r="AX154" s="1"/>
    </row>
    <row r="155" spans="17:50" s="126" customFormat="1" x14ac:dyDescent="0.25">
      <c r="Q155" s="81"/>
      <c r="R155" s="81"/>
      <c r="S155" s="8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1"/>
      <c r="AS155" s="1"/>
      <c r="AT155" s="1"/>
      <c r="AU155" s="1"/>
      <c r="AV155" s="1"/>
      <c r="AW155" s="1"/>
      <c r="AX155" s="1"/>
    </row>
    <row r="156" spans="17:50" s="126" customFormat="1" x14ac:dyDescent="0.25">
      <c r="Q156" s="81"/>
      <c r="R156" s="81"/>
      <c r="S156" s="8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1"/>
      <c r="AS156" s="1"/>
      <c r="AT156" s="1"/>
      <c r="AU156" s="1"/>
      <c r="AV156" s="1"/>
      <c r="AW156" s="1"/>
      <c r="AX156" s="1"/>
    </row>
    <row r="157" spans="17:50" s="126" customFormat="1" x14ac:dyDescent="0.25">
      <c r="Q157" s="81"/>
      <c r="R157" s="81"/>
      <c r="S157" s="8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1"/>
      <c r="AS157" s="1"/>
      <c r="AT157" s="1"/>
      <c r="AU157" s="1"/>
      <c r="AV157" s="1"/>
      <c r="AW157" s="1"/>
      <c r="AX157" s="1"/>
    </row>
    <row r="158" spans="17:50" s="126" customFormat="1" x14ac:dyDescent="0.25">
      <c r="Q158" s="81"/>
      <c r="R158" s="81"/>
      <c r="S158" s="8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1"/>
      <c r="AS158" s="1"/>
      <c r="AT158" s="1"/>
      <c r="AU158" s="1"/>
      <c r="AV158" s="1"/>
      <c r="AW158" s="1"/>
      <c r="AX158" s="1"/>
    </row>
    <row r="159" spans="17:50" s="126" customFormat="1" x14ac:dyDescent="0.25">
      <c r="Q159" s="81"/>
      <c r="R159" s="81"/>
      <c r="S159" s="8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1"/>
      <c r="AS159" s="1"/>
      <c r="AT159" s="1"/>
      <c r="AU159" s="1"/>
      <c r="AV159" s="1"/>
      <c r="AW159" s="1"/>
      <c r="AX159" s="1"/>
    </row>
    <row r="160" spans="17:50" s="126" customFormat="1" x14ac:dyDescent="0.25">
      <c r="Q160" s="81"/>
      <c r="R160" s="81"/>
      <c r="S160" s="8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1"/>
      <c r="AS160" s="1"/>
      <c r="AT160" s="1"/>
      <c r="AU160" s="1"/>
      <c r="AV160" s="1"/>
      <c r="AW160" s="1"/>
      <c r="AX160" s="1"/>
    </row>
    <row r="161" spans="17:50" s="126" customFormat="1" x14ac:dyDescent="0.25">
      <c r="Q161" s="81"/>
      <c r="R161" s="81"/>
      <c r="S161" s="8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1"/>
      <c r="AS161" s="1"/>
      <c r="AT161" s="1"/>
      <c r="AU161" s="1"/>
      <c r="AV161" s="1"/>
      <c r="AW161" s="1"/>
      <c r="AX161" s="1"/>
    </row>
    <row r="162" spans="17:50" s="126" customFormat="1" x14ac:dyDescent="0.25">
      <c r="Q162" s="81"/>
      <c r="R162" s="81"/>
      <c r="S162" s="8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1"/>
      <c r="AS162" s="1"/>
      <c r="AT162" s="1"/>
      <c r="AU162" s="1"/>
      <c r="AV162" s="1"/>
      <c r="AW162" s="1"/>
      <c r="AX162" s="1"/>
    </row>
    <row r="163" spans="17:50" s="126" customFormat="1" x14ac:dyDescent="0.25">
      <c r="Q163" s="81"/>
      <c r="R163" s="81"/>
      <c r="S163" s="8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1"/>
      <c r="AS163" s="1"/>
      <c r="AT163" s="1"/>
      <c r="AU163" s="1"/>
      <c r="AV163" s="1"/>
      <c r="AW163" s="1"/>
      <c r="AX163" s="1"/>
    </row>
    <row r="164" spans="17:50" s="126" customFormat="1" x14ac:dyDescent="0.25">
      <c r="Q164" s="81"/>
      <c r="R164" s="81"/>
      <c r="S164" s="8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1"/>
      <c r="AS164" s="1"/>
      <c r="AT164" s="1"/>
      <c r="AU164" s="1"/>
      <c r="AV164" s="1"/>
      <c r="AW164" s="1"/>
      <c r="AX164" s="1"/>
    </row>
    <row r="165" spans="17:50" s="126" customFormat="1" x14ac:dyDescent="0.25">
      <c r="Q165" s="81"/>
      <c r="R165" s="81"/>
      <c r="S165" s="8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1"/>
      <c r="AS165" s="1"/>
      <c r="AT165" s="1"/>
      <c r="AU165" s="1"/>
      <c r="AV165" s="1"/>
      <c r="AW165" s="1"/>
      <c r="AX165" s="1"/>
    </row>
    <row r="166" spans="17:50" s="126" customFormat="1" x14ac:dyDescent="0.25">
      <c r="Q166" s="81"/>
      <c r="R166" s="81"/>
      <c r="S166" s="8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1"/>
      <c r="AS166" s="1"/>
      <c r="AT166" s="1"/>
      <c r="AU166" s="1"/>
      <c r="AV166" s="1"/>
      <c r="AW166" s="1"/>
      <c r="AX166" s="1"/>
    </row>
    <row r="167" spans="17:50" s="126" customFormat="1" x14ac:dyDescent="0.25">
      <c r="Q167" s="81"/>
      <c r="R167" s="81"/>
      <c r="S167" s="8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1"/>
      <c r="AS167" s="1"/>
      <c r="AT167" s="1"/>
      <c r="AU167" s="1"/>
      <c r="AV167" s="1"/>
      <c r="AW167" s="1"/>
      <c r="AX167" s="1"/>
    </row>
    <row r="168" spans="17:50" s="126" customFormat="1" x14ac:dyDescent="0.25">
      <c r="Q168" s="81"/>
      <c r="R168" s="81"/>
      <c r="S168" s="8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1"/>
      <c r="AS168" s="1"/>
      <c r="AT168" s="1"/>
      <c r="AU168" s="1"/>
      <c r="AV168" s="1"/>
      <c r="AW168" s="1"/>
      <c r="AX168" s="1"/>
    </row>
    <row r="169" spans="17:50" s="126" customFormat="1" x14ac:dyDescent="0.25">
      <c r="Q169" s="81"/>
      <c r="R169" s="81"/>
      <c r="S169" s="8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1"/>
      <c r="AS169" s="1"/>
      <c r="AT169" s="1"/>
      <c r="AU169" s="1"/>
      <c r="AV169" s="1"/>
      <c r="AW169" s="1"/>
      <c r="AX169" s="1"/>
    </row>
    <row r="170" spans="17:50" s="126" customFormat="1" x14ac:dyDescent="0.25">
      <c r="Q170" s="81"/>
      <c r="R170" s="81"/>
      <c r="S170" s="8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1"/>
      <c r="AS170" s="1"/>
      <c r="AT170" s="1"/>
      <c r="AU170" s="1"/>
      <c r="AV170" s="1"/>
      <c r="AW170" s="1"/>
      <c r="AX170" s="1"/>
    </row>
    <row r="171" spans="17:50" s="126" customFormat="1" x14ac:dyDescent="0.25">
      <c r="Q171" s="81"/>
      <c r="R171" s="81"/>
      <c r="S171" s="8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1"/>
      <c r="AS171" s="1"/>
      <c r="AT171" s="1"/>
      <c r="AU171" s="1"/>
      <c r="AV171" s="1"/>
      <c r="AW171" s="1"/>
      <c r="AX171" s="1"/>
    </row>
    <row r="172" spans="17:50" s="126" customFormat="1" x14ac:dyDescent="0.25">
      <c r="Q172" s="81"/>
      <c r="R172" s="81"/>
      <c r="S172" s="8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1"/>
      <c r="AS172" s="1"/>
      <c r="AT172" s="1"/>
      <c r="AU172" s="1"/>
      <c r="AV172" s="1"/>
      <c r="AW172" s="1"/>
      <c r="AX172" s="1"/>
    </row>
    <row r="173" spans="17:50" s="126" customFormat="1" x14ac:dyDescent="0.25">
      <c r="Q173" s="81"/>
      <c r="R173" s="81"/>
      <c r="S173" s="8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1"/>
      <c r="AS173" s="1"/>
      <c r="AT173" s="1"/>
      <c r="AU173" s="1"/>
      <c r="AV173" s="1"/>
      <c r="AW173" s="1"/>
      <c r="AX173" s="1"/>
    </row>
    <row r="174" spans="17:50" s="126" customFormat="1" x14ac:dyDescent="0.25">
      <c r="Q174" s="81"/>
      <c r="R174" s="81"/>
      <c r="S174" s="8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1"/>
      <c r="AS174" s="1"/>
      <c r="AT174" s="1"/>
      <c r="AU174" s="1"/>
      <c r="AV174" s="1"/>
      <c r="AW174" s="1"/>
      <c r="AX174" s="1"/>
    </row>
    <row r="175" spans="17:50" s="126" customFormat="1" x14ac:dyDescent="0.25">
      <c r="Q175" s="81"/>
      <c r="R175" s="81"/>
      <c r="S175" s="8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1"/>
      <c r="AS175" s="1"/>
      <c r="AT175" s="1"/>
      <c r="AU175" s="1"/>
      <c r="AV175" s="1"/>
      <c r="AW175" s="1"/>
      <c r="AX175" s="1"/>
    </row>
    <row r="176" spans="17:50" s="126" customFormat="1" x14ac:dyDescent="0.25">
      <c r="Q176" s="81"/>
      <c r="R176" s="81"/>
      <c r="S176" s="8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1"/>
      <c r="AS176" s="1"/>
      <c r="AT176" s="1"/>
      <c r="AU176" s="1"/>
      <c r="AV176" s="1"/>
      <c r="AW176" s="1"/>
      <c r="AX176" s="1"/>
    </row>
    <row r="177" spans="1:50" x14ac:dyDescent="0.25">
      <c r="Q177" s="81"/>
      <c r="R177" s="81"/>
      <c r="S177" s="81"/>
      <c r="AR177" s="1"/>
      <c r="AS177" s="1"/>
      <c r="AT177" s="1"/>
      <c r="AU177" s="1"/>
      <c r="AV177" s="1"/>
      <c r="AW177" s="1"/>
      <c r="AX177" s="1"/>
    </row>
    <row r="178" spans="1:50" x14ac:dyDescent="0.25">
      <c r="Q178" s="81"/>
      <c r="R178" s="81"/>
      <c r="S178" s="81"/>
      <c r="AR178" s="1"/>
      <c r="AS178" s="1"/>
      <c r="AT178" s="1"/>
      <c r="AU178" s="1"/>
      <c r="AV178" s="1"/>
      <c r="AW178" s="1"/>
      <c r="AX178" s="1"/>
    </row>
    <row r="179" spans="1:50" x14ac:dyDescent="0.25">
      <c r="Q179" s="81"/>
      <c r="R179" s="81"/>
      <c r="S179" s="81"/>
      <c r="AR179" s="1"/>
      <c r="AS179" s="1"/>
      <c r="AT179" s="1"/>
      <c r="AU179" s="1"/>
      <c r="AV179" s="1"/>
      <c r="AW179" s="1"/>
      <c r="AX179" s="1"/>
    </row>
    <row r="180" spans="1:50" x14ac:dyDescent="0.25">
      <c r="Q180" s="81"/>
      <c r="R180" s="81"/>
      <c r="S180" s="81"/>
      <c r="AR180" s="1"/>
      <c r="AS180" s="1"/>
      <c r="AT180" s="1"/>
      <c r="AU180" s="1"/>
      <c r="AV180" s="1"/>
      <c r="AW180" s="1"/>
      <c r="AX180" s="1"/>
    </row>
    <row r="181" spans="1:50" x14ac:dyDescent="0.25">
      <c r="Q181" s="81"/>
      <c r="R181" s="81"/>
      <c r="S181" s="81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81"/>
      <c r="R182" s="81"/>
      <c r="S182" s="81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1"/>
      <c r="O183" s="81"/>
      <c r="Q183" s="81"/>
      <c r="R183" s="81"/>
      <c r="S183" s="81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1"/>
      <c r="O184" s="81"/>
      <c r="P184" s="81"/>
      <c r="Q184" s="81"/>
      <c r="R184" s="81"/>
      <c r="S184" s="81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1"/>
      <c r="O185" s="81"/>
      <c r="P185" s="81"/>
      <c r="Q185" s="81"/>
      <c r="R185" s="81"/>
      <c r="S185" s="81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1"/>
      <c r="O186" s="81"/>
      <c r="P186" s="81"/>
      <c r="Q186" s="81"/>
      <c r="R186" s="81"/>
      <c r="S186" s="81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1"/>
      <c r="O187" s="81"/>
      <c r="P187" s="81"/>
      <c r="Q187" s="81"/>
      <c r="R187" s="81"/>
      <c r="S187" s="81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1"/>
      <c r="O188" s="81"/>
      <c r="P188" s="81"/>
      <c r="Q188" s="81"/>
      <c r="R188" s="81"/>
      <c r="S188" s="81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1"/>
      <c r="O189" s="81"/>
      <c r="P189" s="81"/>
      <c r="Q189" s="81"/>
      <c r="R189" s="81"/>
      <c r="S189" s="81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1"/>
      <c r="O190" s="81"/>
      <c r="P190" s="81"/>
      <c r="Q190" s="81"/>
      <c r="R190" s="81"/>
      <c r="S190" s="81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1"/>
      <c r="O191" s="81"/>
      <c r="P191" s="81"/>
      <c r="Q191" s="81"/>
      <c r="R191" s="81"/>
      <c r="S191" s="81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1"/>
      <c r="O192" s="81"/>
      <c r="P192" s="81"/>
      <c r="Q192" s="81"/>
      <c r="R192" s="81"/>
      <c r="S192" s="81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1"/>
      <c r="O193" s="81"/>
      <c r="P193" s="81"/>
      <c r="Q193" s="81"/>
      <c r="R193" s="81"/>
      <c r="S193" s="81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1"/>
      <c r="O194" s="81"/>
      <c r="P194" s="81"/>
      <c r="Q194" s="81"/>
      <c r="R194" s="81"/>
      <c r="S194" s="81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1"/>
      <c r="O195" s="81"/>
      <c r="P195" s="81"/>
      <c r="Q195" s="81"/>
      <c r="R195" s="81"/>
      <c r="S195" s="81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1"/>
      <c r="O196" s="81"/>
      <c r="P196" s="81"/>
      <c r="Q196" s="81"/>
      <c r="R196" s="81"/>
      <c r="S196" s="81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1"/>
      <c r="O197" s="81"/>
      <c r="P197" s="81"/>
      <c r="Q197" s="81"/>
      <c r="R197" s="81"/>
      <c r="S197" s="81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1"/>
      <c r="O198" s="81"/>
      <c r="P198" s="81"/>
      <c r="Q198" s="81"/>
      <c r="R198" s="81"/>
      <c r="S198" s="81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1"/>
      <c r="O199" s="81"/>
      <c r="P199" s="81"/>
      <c r="Q199" s="81"/>
      <c r="R199" s="81"/>
      <c r="S199" s="81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1"/>
      <c r="O200" s="81"/>
      <c r="P200" s="81"/>
      <c r="Q200" s="81"/>
      <c r="R200" s="81"/>
      <c r="S200" s="81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1"/>
      <c r="O201" s="81"/>
      <c r="P201" s="81"/>
      <c r="Q201" s="81"/>
      <c r="R201" s="81"/>
      <c r="S201" s="81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1"/>
      <c r="O202" s="81"/>
      <c r="P202" s="81"/>
      <c r="Q202" s="81"/>
      <c r="R202" s="81"/>
      <c r="S202" s="81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1"/>
      <c r="O203" s="81"/>
      <c r="P203" s="81"/>
      <c r="Q203" s="81"/>
      <c r="R203" s="81"/>
      <c r="S203" s="81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1"/>
      <c r="O204" s="81"/>
      <c r="P204" s="81"/>
      <c r="Q204" s="81"/>
      <c r="R204" s="81"/>
      <c r="S204" s="81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1"/>
      <c r="O205" s="81"/>
      <c r="P205" s="81"/>
      <c r="Q205" s="81"/>
      <c r="R205" s="81"/>
      <c r="S205" s="81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1"/>
      <c r="O206" s="81"/>
      <c r="P206" s="81"/>
      <c r="Q206" s="81"/>
      <c r="R206" s="81"/>
      <c r="S206" s="81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1"/>
      <c r="O207" s="81"/>
      <c r="P207" s="81"/>
      <c r="Q207" s="81"/>
      <c r="R207" s="81"/>
      <c r="S207" s="81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1"/>
      <c r="O208" s="81"/>
      <c r="P208" s="81"/>
      <c r="Q208" s="81"/>
      <c r="R208" s="81"/>
      <c r="S208" s="81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1"/>
      <c r="O209" s="81"/>
      <c r="P209" s="81"/>
      <c r="Q209" s="81"/>
      <c r="R209" s="81"/>
      <c r="S209" s="81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1"/>
      <c r="O210" s="81"/>
      <c r="P210" s="81"/>
      <c r="Q210" s="81"/>
      <c r="R210" s="81"/>
      <c r="S210" s="81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1"/>
      <c r="O211" s="81"/>
      <c r="P211" s="81"/>
      <c r="Q211" s="81"/>
      <c r="R211" s="81"/>
      <c r="S211" s="81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1"/>
      <c r="O212" s="81"/>
      <c r="P212" s="81"/>
      <c r="Q212" s="81"/>
      <c r="R212" s="81"/>
      <c r="S212" s="81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1"/>
      <c r="O213" s="81"/>
      <c r="P213" s="81"/>
      <c r="Q213" s="81"/>
      <c r="R213" s="81"/>
      <c r="S213" s="81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1"/>
      <c r="O214" s="81"/>
      <c r="P214" s="81"/>
      <c r="Q214" s="81"/>
      <c r="R214" s="81"/>
      <c r="S214" s="81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1"/>
      <c r="O215" s="81"/>
      <c r="P215" s="81"/>
      <c r="Q215" s="81"/>
      <c r="R215" s="81"/>
      <c r="S215" s="81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1"/>
      <c r="O216" s="81"/>
      <c r="P216" s="81"/>
      <c r="Q216" s="81"/>
      <c r="R216" s="81"/>
      <c r="S216" s="81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1"/>
      <c r="O217" s="81"/>
      <c r="P217" s="81"/>
      <c r="Q217" s="81"/>
      <c r="R217" s="81"/>
      <c r="S217" s="81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1"/>
      <c r="O218" s="81"/>
      <c r="P218" s="81"/>
      <c r="Q218" s="81"/>
      <c r="R218" s="81"/>
      <c r="S218" s="81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1"/>
      <c r="O219" s="81"/>
      <c r="P219" s="81"/>
      <c r="Q219" s="81"/>
      <c r="R219" s="81"/>
      <c r="S219" s="81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1"/>
      <c r="O220" s="81"/>
      <c r="P220" s="81"/>
      <c r="Q220" s="81"/>
      <c r="R220" s="81"/>
      <c r="S220" s="81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1"/>
      <c r="O221" s="81"/>
      <c r="P221" s="81"/>
      <c r="Q221" s="81"/>
      <c r="R221" s="81"/>
      <c r="S221" s="81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1"/>
      <c r="O222" s="81"/>
      <c r="P222" s="81"/>
      <c r="Q222" s="81"/>
      <c r="R222" s="81"/>
      <c r="S222" s="81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1"/>
      <c r="O223" s="81"/>
      <c r="P223" s="81"/>
      <c r="Q223" s="81"/>
      <c r="R223" s="81"/>
      <c r="S223" s="81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1"/>
      <c r="O224" s="81"/>
      <c r="P224" s="81"/>
      <c r="Q224" s="81"/>
      <c r="R224" s="81"/>
      <c r="S224" s="81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1"/>
      <c r="O225" s="81"/>
      <c r="P225" s="81"/>
      <c r="Q225" s="81"/>
      <c r="R225" s="81"/>
      <c r="S225" s="81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1"/>
      <c r="O226" s="81"/>
      <c r="P226" s="81"/>
      <c r="Q226" s="81"/>
      <c r="R226" s="81"/>
      <c r="S226" s="81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1"/>
      <c r="O227" s="81"/>
      <c r="P227" s="81"/>
      <c r="Q227" s="81"/>
      <c r="R227" s="81"/>
      <c r="S227" s="81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1"/>
      <c r="O228" s="81"/>
      <c r="P228" s="81"/>
      <c r="Q228" s="81"/>
      <c r="R228" s="81"/>
      <c r="S228" s="81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1"/>
      <c r="O229" s="81"/>
      <c r="P229" s="81"/>
      <c r="Q229" s="81"/>
      <c r="R229" s="81"/>
      <c r="S229" s="81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1"/>
      <c r="O230" s="81"/>
      <c r="P230" s="81"/>
      <c r="Q230" s="81"/>
      <c r="R230" s="81"/>
      <c r="S230" s="81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1"/>
      <c r="O231" s="81"/>
      <c r="P231" s="81"/>
      <c r="Q231" s="81"/>
      <c r="R231" s="81"/>
      <c r="S231" s="81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1"/>
      <c r="O232" s="81"/>
      <c r="P232" s="81"/>
      <c r="Q232" s="81"/>
      <c r="R232" s="81"/>
      <c r="S232" s="81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1"/>
      <c r="O233" s="81"/>
      <c r="P233" s="81"/>
      <c r="Q233" s="81"/>
      <c r="R233" s="81"/>
      <c r="S233" s="81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1"/>
      <c r="O234" s="81"/>
      <c r="P234" s="81"/>
      <c r="Q234" s="81"/>
      <c r="R234" s="81"/>
      <c r="S234" s="81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1"/>
      <c r="O235" s="81"/>
      <c r="P235" s="81"/>
      <c r="Q235" s="81"/>
      <c r="R235" s="81"/>
      <c r="S235" s="81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1"/>
      <c r="O236" s="81"/>
      <c r="P236" s="81"/>
      <c r="Q236" s="81"/>
      <c r="R236" s="81"/>
      <c r="S236" s="81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1"/>
      <c r="O237" s="81"/>
      <c r="P237" s="81"/>
      <c r="Q237" s="81"/>
      <c r="R237" s="81"/>
      <c r="S237" s="81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1"/>
      <c r="O238" s="81"/>
      <c r="P238" s="81"/>
      <c r="Q238" s="81"/>
      <c r="R238" s="81"/>
      <c r="S238" s="81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1"/>
      <c r="Q239" s="81"/>
      <c r="R239" s="81"/>
      <c r="S239" s="81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26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26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26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26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26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26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26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26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26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26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26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26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26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26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26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26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26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26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26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26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26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26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26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26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26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26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26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26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26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26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26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26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26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26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26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26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26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26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26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26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26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26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26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26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26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26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26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26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26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26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26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26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26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26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26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26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26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26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26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26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26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26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26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26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26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26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26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26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26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26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26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26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26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26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26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26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26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26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26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26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26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26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26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26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26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26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26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26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26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26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26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26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26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26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26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26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26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26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26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26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26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26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26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26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26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26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26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26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26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26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26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26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26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26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26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26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26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26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26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26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26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26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26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26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26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26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26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26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26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26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26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26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26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26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26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26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26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26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26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26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26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26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26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26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26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26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26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26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26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26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26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26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26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26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26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26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26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26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26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26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26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26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26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26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26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26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26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26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26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26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26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26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26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26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26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26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26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26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26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26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26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26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26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26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26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26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26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26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26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26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26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26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26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26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26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26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26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26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26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26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26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26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26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26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26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26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26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26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26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26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26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26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26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26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26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26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26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26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26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26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26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26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26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sheetProtection algorithmName="SHA-512" hashValue="S5jz983/mLm+Lt9PnRHjIwxmY4OCYDb2vs0sN79p0Xam/PWb9/5KsNJ/u80NX5lG5gDQB4jHP4WT5T4lmuRdJA==" saltValue="68WhAeepB7C8N3I97X6iQg==" spinCount="100000" sheet="1" objects="1" scenarios="1"/>
  <printOptions horizontalCentered="1"/>
  <pageMargins left="0.75" right="0.75" top="0.53" bottom="0.48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2"/>
  <sheetViews>
    <sheetView topLeftCell="A28" workbookViewId="0">
      <selection activeCell="H73" sqref="H73"/>
    </sheetView>
  </sheetViews>
  <sheetFormatPr defaultColWidth="9.33203125" defaultRowHeight="15.75" x14ac:dyDescent="0.25"/>
  <cols>
    <col min="1" max="1" width="9" style="84" customWidth="1"/>
    <col min="2" max="2" width="2.1640625" style="84" customWidth="1"/>
    <col min="3" max="3" width="53.33203125" style="84" customWidth="1"/>
    <col min="4" max="4" width="35.6640625" style="84" customWidth="1"/>
    <col min="5" max="5" width="23" style="84" customWidth="1"/>
    <col min="6" max="6" width="15" style="84" customWidth="1"/>
    <col min="7" max="7" width="20.6640625" style="84" customWidth="1"/>
    <col min="8" max="8" width="18.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83203125" style="84" customWidth="1"/>
    <col min="14" max="14" width="41" style="84" customWidth="1"/>
    <col min="15" max="15" width="48.83203125" style="84" customWidth="1"/>
    <col min="16" max="16" width="23.5" style="84" customWidth="1"/>
    <col min="17" max="17" width="20.5" style="84" customWidth="1"/>
    <col min="18" max="18" width="20.83203125" style="84" customWidth="1"/>
    <col min="19" max="19" width="23.6640625" style="84" bestFit="1" customWidth="1"/>
    <col min="20" max="20" width="22.1640625" style="84" bestFit="1" customWidth="1"/>
    <col min="21" max="21" width="23" style="84" bestFit="1" customWidth="1"/>
    <col min="22" max="22" width="19.83203125" style="84" customWidth="1"/>
    <col min="23" max="23" width="20.33203125" style="84" customWidth="1"/>
    <col min="24" max="24" width="23.5" style="84" bestFit="1" customWidth="1"/>
    <col min="25" max="25" width="21.6640625" style="84" bestFit="1" customWidth="1"/>
    <col min="26" max="26" width="16.1640625" style="84" customWidth="1"/>
    <col min="27" max="28" width="23.5" style="84" bestFit="1" customWidth="1"/>
    <col min="29" max="29" width="21.33203125" style="84" bestFit="1" customWidth="1"/>
    <col min="30" max="30" width="23.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90"/>
      <c r="O1" s="90"/>
      <c r="P1" s="90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25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12/31/2018</v>
      </c>
      <c r="K4" s="4"/>
      <c r="L4" s="4"/>
      <c r="M4" s="4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25">
      <c r="A5" s="272" t="s">
        <v>187</v>
      </c>
      <c r="B5" s="1"/>
      <c r="C5" s="2"/>
      <c r="D5" s="126"/>
      <c r="E5" s="1"/>
      <c r="F5" s="9"/>
      <c r="G5" s="9"/>
      <c r="H5" s="9"/>
      <c r="I5" s="2"/>
      <c r="J5" s="238" t="s">
        <v>124</v>
      </c>
      <c r="K5" s="251"/>
      <c r="L5" s="251"/>
      <c r="M5" s="4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25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93"/>
      <c r="O7" s="93"/>
      <c r="P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25">
      <c r="A8" s="88"/>
      <c r="C8" s="191" t="s">
        <v>18</v>
      </c>
      <c r="D8" s="191" t="s">
        <v>19</v>
      </c>
      <c r="E8" s="191" t="s">
        <v>20</v>
      </c>
      <c r="F8" s="93" t="s">
        <v>0</v>
      </c>
      <c r="G8" s="93"/>
      <c r="H8" s="210" t="s">
        <v>21</v>
      </c>
      <c r="I8" s="93"/>
      <c r="J8" s="211" t="s">
        <v>22</v>
      </c>
      <c r="K8" s="9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25">
      <c r="A9" s="88"/>
      <c r="C9" s="191"/>
      <c r="D9" s="86"/>
      <c r="E9" s="86"/>
      <c r="F9" s="86"/>
      <c r="G9" s="86"/>
      <c r="H9" s="86"/>
      <c r="I9" s="86"/>
      <c r="J9" s="86"/>
      <c r="K9" s="86"/>
      <c r="L9" s="212"/>
      <c r="M9" s="86"/>
      <c r="N9" s="86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x14ac:dyDescent="0.25">
      <c r="A10" s="88" t="s">
        <v>1</v>
      </c>
      <c r="C10" s="91"/>
      <c r="D10" s="213" t="s">
        <v>23</v>
      </c>
      <c r="E10" s="93"/>
      <c r="F10" s="93"/>
      <c r="G10" s="93"/>
      <c r="H10" s="88"/>
      <c r="I10" s="93"/>
      <c r="J10" s="212" t="s">
        <v>24</v>
      </c>
      <c r="K10" s="93"/>
      <c r="L10" s="212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6.5" thickBot="1" x14ac:dyDescent="0.3">
      <c r="A11" s="167" t="s">
        <v>3</v>
      </c>
      <c r="C11" s="91"/>
      <c r="D11" s="214" t="s">
        <v>25</v>
      </c>
      <c r="E11" s="212" t="s">
        <v>26</v>
      </c>
      <c r="F11" s="215"/>
      <c r="G11" s="216" t="s">
        <v>7</v>
      </c>
      <c r="H11" s="217"/>
      <c r="I11" s="215"/>
      <c r="J11" s="218" t="s">
        <v>28</v>
      </c>
      <c r="K11" s="93"/>
      <c r="L11" s="212"/>
      <c r="M11" s="219"/>
      <c r="N11" s="212"/>
      <c r="O11" s="9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25">
      <c r="C12" s="91"/>
      <c r="D12" s="93"/>
      <c r="E12" s="220"/>
      <c r="F12" s="221"/>
      <c r="G12" s="222"/>
      <c r="I12" s="221"/>
      <c r="J12" s="220"/>
      <c r="K12" s="93"/>
      <c r="L12" s="93"/>
      <c r="M12" s="93"/>
      <c r="N12" s="93"/>
      <c r="O12" s="93"/>
      <c r="P12" s="92"/>
      <c r="Q12" s="223"/>
      <c r="R12" s="92"/>
      <c r="S12" s="92"/>
      <c r="T12" s="92"/>
      <c r="U12" s="92"/>
      <c r="V12" s="200"/>
      <c r="W12" s="92"/>
      <c r="X12" s="224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x14ac:dyDescent="0.25">
      <c r="A13" s="88"/>
      <c r="C13" s="91" t="s">
        <v>55</v>
      </c>
      <c r="D13" s="93"/>
      <c r="E13" s="93"/>
      <c r="F13" s="93"/>
      <c r="G13" s="93"/>
      <c r="H13" s="93"/>
      <c r="I13" s="93"/>
      <c r="J13" s="93"/>
      <c r="K13" s="168"/>
      <c r="L13" s="93"/>
      <c r="M13" s="93"/>
      <c r="N13" s="93"/>
      <c r="O13" s="93"/>
      <c r="P13" s="178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25">
      <c r="A14" s="88">
        <v>1</v>
      </c>
      <c r="C14" s="185" t="s">
        <v>24</v>
      </c>
      <c r="D14" s="330" t="s">
        <v>384</v>
      </c>
      <c r="E14" s="479">
        <f>'OATT Input Data'!E193</f>
        <v>62384215.790000007</v>
      </c>
      <c r="F14" s="168"/>
      <c r="G14" s="168" t="s">
        <v>53</v>
      </c>
      <c r="H14" s="488">
        <f>'PTP Pg 4 of 5'!$J$25</f>
        <v>0.86294000000000004</v>
      </c>
      <c r="I14" s="168"/>
      <c r="J14" s="479">
        <f>ROUND(E14*H14,0)</f>
        <v>53833835</v>
      </c>
      <c r="K14" s="109"/>
      <c r="L14" s="93"/>
      <c r="M14" s="93"/>
      <c r="N14" s="93"/>
      <c r="O14" s="178"/>
      <c r="P14" s="168"/>
      <c r="Q14" s="168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25">
      <c r="A15" s="88">
        <v>2</v>
      </c>
      <c r="C15" s="185" t="s">
        <v>198</v>
      </c>
      <c r="D15" s="242" t="s">
        <v>274</v>
      </c>
      <c r="E15" s="169">
        <f>'OATT Input Data'!E194*-1</f>
        <v>-4593058</v>
      </c>
      <c r="F15" s="168"/>
      <c r="G15" s="168" t="s">
        <v>0</v>
      </c>
      <c r="H15" s="488">
        <v>1</v>
      </c>
      <c r="I15" s="168"/>
      <c r="J15" s="169">
        <f>ROUND(E15*H15,0)</f>
        <v>-4593058</v>
      </c>
      <c r="K15" s="109"/>
      <c r="L15" s="93"/>
      <c r="M15" s="93"/>
      <c r="N15" s="93"/>
      <c r="O15" s="179"/>
      <c r="P15" s="168"/>
      <c r="Q15" s="168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25">
      <c r="A16" s="88">
        <v>3</v>
      </c>
      <c r="C16" s="91" t="s">
        <v>56</v>
      </c>
      <c r="D16" s="242" t="s">
        <v>275</v>
      </c>
      <c r="E16" s="169">
        <f>'OATT Input Data'!E200</f>
        <v>194062376</v>
      </c>
      <c r="F16" s="168"/>
      <c r="G16" s="168" t="s">
        <v>36</v>
      </c>
      <c r="H16" s="488">
        <f>'PTP Pg 4 of 5'!$J$33</f>
        <v>7.0959999999999995E-2</v>
      </c>
      <c r="I16" s="168"/>
      <c r="J16" s="169">
        <f t="shared" ref="J16:J21" si="0">ROUND(E16*H16,0)</f>
        <v>13770666</v>
      </c>
      <c r="K16" s="168"/>
      <c r="L16" s="93" t="s">
        <v>0</v>
      </c>
      <c r="M16" s="93"/>
      <c r="N16" s="93"/>
      <c r="O16" s="179"/>
      <c r="P16" s="168"/>
      <c r="Q16" s="168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25">
      <c r="A17" s="88">
        <v>4</v>
      </c>
      <c r="C17" s="185" t="s">
        <v>200</v>
      </c>
      <c r="D17" s="242" t="s">
        <v>276</v>
      </c>
      <c r="E17" s="169">
        <f>'OATT Input Data'!E202*-1</f>
        <v>-829380</v>
      </c>
      <c r="F17" s="168"/>
      <c r="G17" s="168" t="str">
        <f>+G16</f>
        <v>W/S</v>
      </c>
      <c r="H17" s="488">
        <f>'PTP Pg 4 of 5'!$J$33</f>
        <v>7.0959999999999995E-2</v>
      </c>
      <c r="I17" s="168"/>
      <c r="J17" s="169">
        <f t="shared" si="0"/>
        <v>-58853</v>
      </c>
      <c r="K17" s="168"/>
      <c r="L17" s="93"/>
      <c r="M17" s="93"/>
      <c r="N17" s="93"/>
      <c r="O17" s="179"/>
      <c r="P17" s="168"/>
      <c r="Q17" s="168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31.5" x14ac:dyDescent="0.25">
      <c r="A18" s="281">
        <v>5</v>
      </c>
      <c r="C18" s="260" t="s">
        <v>279</v>
      </c>
      <c r="D18" s="559" t="s">
        <v>277</v>
      </c>
      <c r="E18" s="169">
        <f>'OATT Input Data'!E208*-1</f>
        <v>-4935920</v>
      </c>
      <c r="F18" s="560"/>
      <c r="G18" s="560" t="str">
        <f>+G17</f>
        <v>W/S</v>
      </c>
      <c r="H18" s="561">
        <f>'PTP Pg 4 of 5'!$J$33</f>
        <v>7.0959999999999995E-2</v>
      </c>
      <c r="I18" s="560"/>
      <c r="J18" s="169">
        <f t="shared" si="0"/>
        <v>-350253</v>
      </c>
      <c r="K18" s="168"/>
      <c r="L18" s="93"/>
      <c r="M18" s="93"/>
      <c r="N18" s="93"/>
      <c r="O18" s="91"/>
      <c r="P18" s="168"/>
      <c r="Q18" s="168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25">
      <c r="A19" s="88">
        <v>6</v>
      </c>
      <c r="C19" s="254" t="s">
        <v>278</v>
      </c>
      <c r="D19" s="483" t="s">
        <v>277</v>
      </c>
      <c r="E19" s="169">
        <f>'OATT Input Data'!E209</f>
        <v>472813</v>
      </c>
      <c r="F19" s="168"/>
      <c r="G19" s="226" t="str">
        <f>+G14</f>
        <v>TE</v>
      </c>
      <c r="H19" s="488">
        <f>'PTP Pg 4 of 5'!$J$25</f>
        <v>0.86294000000000004</v>
      </c>
      <c r="I19" s="168"/>
      <c r="J19" s="169">
        <f t="shared" si="0"/>
        <v>408009</v>
      </c>
      <c r="K19" s="168"/>
      <c r="L19" s="93"/>
      <c r="M19" s="93"/>
      <c r="O19" s="191"/>
      <c r="P19" s="168"/>
      <c r="Q19" s="168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x14ac:dyDescent="0.25">
      <c r="A20" s="88">
        <v>7</v>
      </c>
      <c r="C20" s="91" t="s">
        <v>43</v>
      </c>
      <c r="D20" s="242" t="s">
        <v>179</v>
      </c>
      <c r="E20" s="410">
        <f>'OATT Input Data'!E210</f>
        <v>0</v>
      </c>
      <c r="F20" s="168"/>
      <c r="G20" s="168" t="s">
        <v>38</v>
      </c>
      <c r="H20" s="488">
        <f>'PTP Pg 4 of 5'!$J$41</f>
        <v>6.5170000000000006E-2</v>
      </c>
      <c r="I20" s="168"/>
      <c r="J20" s="410">
        <f t="shared" si="0"/>
        <v>0</v>
      </c>
      <c r="K20" s="168"/>
      <c r="L20" s="93"/>
      <c r="M20" s="93"/>
      <c r="N20" s="93"/>
      <c r="O20" s="191"/>
      <c r="P20" s="168"/>
      <c r="Q20" s="168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8" x14ac:dyDescent="0.4">
      <c r="A21" s="88">
        <v>8</v>
      </c>
      <c r="C21" s="91" t="s">
        <v>199</v>
      </c>
      <c r="D21" s="168"/>
      <c r="E21" s="482">
        <f>'OATT Input Data'!E211</f>
        <v>0</v>
      </c>
      <c r="F21" s="168"/>
      <c r="G21" s="168" t="s">
        <v>0</v>
      </c>
      <c r="H21" s="488">
        <v>1</v>
      </c>
      <c r="I21" s="168"/>
      <c r="J21" s="482">
        <f t="shared" si="0"/>
        <v>0</v>
      </c>
      <c r="K21" s="168"/>
      <c r="L21" s="93"/>
      <c r="M21" s="93"/>
      <c r="N21" s="93"/>
      <c r="O21" s="191"/>
      <c r="P21" s="168"/>
      <c r="Q21" s="168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25">
      <c r="A22" s="88">
        <v>9</v>
      </c>
      <c r="C22" s="185" t="s">
        <v>197</v>
      </c>
      <c r="D22" s="478" t="s">
        <v>322</v>
      </c>
      <c r="E22" s="479">
        <f>ROUND(SUM(E14:E21),0)</f>
        <v>246561047</v>
      </c>
      <c r="F22" s="168"/>
      <c r="G22" s="168"/>
      <c r="H22" s="168"/>
      <c r="I22" s="168"/>
      <c r="J22" s="479">
        <f>ROUND(SUM(J14:J21),0)</f>
        <v>63010346</v>
      </c>
      <c r="K22" s="168"/>
      <c r="L22" s="93"/>
      <c r="M22" s="93"/>
      <c r="N22" s="227"/>
      <c r="O22" s="93"/>
      <c r="P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25">
      <c r="A23" s="88"/>
      <c r="D23" s="168"/>
      <c r="E23" s="169"/>
      <c r="F23" s="168"/>
      <c r="G23" s="168"/>
      <c r="H23" s="168"/>
      <c r="I23" s="168"/>
      <c r="J23" s="169"/>
      <c r="K23" s="168"/>
      <c r="L23" s="93"/>
      <c r="M23" s="93"/>
      <c r="N23" s="93"/>
      <c r="O23" s="93"/>
      <c r="P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25">
      <c r="A24" s="88"/>
      <c r="C24" s="185" t="s">
        <v>416</v>
      </c>
      <c r="D24" s="483" t="s">
        <v>252</v>
      </c>
      <c r="E24" s="169"/>
      <c r="F24" s="168"/>
      <c r="G24" s="168"/>
      <c r="H24" s="168"/>
      <c r="I24" s="168"/>
      <c r="J24" s="169"/>
      <c r="K24" s="168"/>
      <c r="L24" s="93"/>
      <c r="M24" s="93"/>
      <c r="N24" s="93"/>
      <c r="O24" s="93"/>
      <c r="P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25">
      <c r="A25" s="88">
        <v>10</v>
      </c>
      <c r="C25" s="278" t="s">
        <v>414</v>
      </c>
      <c r="D25" s="478" t="s">
        <v>194</v>
      </c>
      <c r="E25" s="479">
        <f>'OATT Input Data'!$E$216</f>
        <v>27007270.18</v>
      </c>
      <c r="F25" s="168"/>
      <c r="G25" s="168" t="s">
        <v>9</v>
      </c>
      <c r="H25" s="488">
        <f>'PTP Pg 4 of 5'!$J$24</f>
        <v>0.96060000000000001</v>
      </c>
      <c r="I25" s="168"/>
      <c r="J25" s="479">
        <f t="shared" ref="J25" si="1">ROUND(H25*E25,0)</f>
        <v>25943184</v>
      </c>
      <c r="K25" s="168"/>
      <c r="L25" s="192"/>
      <c r="M25" s="93"/>
      <c r="N25" s="93"/>
      <c r="O25" s="191"/>
      <c r="P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25">
      <c r="A26" s="88">
        <v>11</v>
      </c>
      <c r="C26" s="278" t="s">
        <v>399</v>
      </c>
      <c r="D26" s="478" t="s">
        <v>195</v>
      </c>
      <c r="E26" s="169">
        <f>'OATT Input Data'!$E$219</f>
        <v>29029501.279999997</v>
      </c>
      <c r="F26" s="168"/>
      <c r="G26" s="168" t="s">
        <v>36</v>
      </c>
      <c r="H26" s="488">
        <f>'PTP Pg 4 of 5'!$J$33</f>
        <v>7.0959999999999995E-2</v>
      </c>
      <c r="I26" s="168"/>
      <c r="J26" s="169">
        <f>ROUND(H26*E26,0)</f>
        <v>2059933</v>
      </c>
      <c r="K26" s="168"/>
      <c r="L26" s="192"/>
      <c r="M26" s="93"/>
      <c r="N26" s="186"/>
      <c r="O26" s="191"/>
      <c r="P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25">
      <c r="A27" s="88">
        <v>12</v>
      </c>
      <c r="C27" s="278" t="s">
        <v>415</v>
      </c>
      <c r="D27" s="478" t="s">
        <v>196</v>
      </c>
      <c r="E27" s="499">
        <f>'OATT Input Data'!$E$220</f>
        <v>20213028.579999998</v>
      </c>
      <c r="F27" s="168"/>
      <c r="G27" s="168" t="s">
        <v>38</v>
      </c>
      <c r="H27" s="488">
        <f>'PTP Pg 4 of 5'!$J$41</f>
        <v>6.5170000000000006E-2</v>
      </c>
      <c r="I27" s="168"/>
      <c r="J27" s="499">
        <f t="shared" ref="J27" si="2">ROUND(H27*E27,0)</f>
        <v>1317283</v>
      </c>
      <c r="K27" s="168"/>
      <c r="L27" s="192"/>
      <c r="M27" s="93"/>
      <c r="N27" s="186"/>
      <c r="O27" s="191"/>
      <c r="P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25">
      <c r="A28" s="88">
        <v>13</v>
      </c>
      <c r="C28" s="185" t="s">
        <v>201</v>
      </c>
      <c r="D28" s="478" t="s">
        <v>336</v>
      </c>
      <c r="E28" s="479">
        <f>ROUND(SUM(E25:E27),0)</f>
        <v>76249800</v>
      </c>
      <c r="F28" s="168"/>
      <c r="G28" s="168"/>
      <c r="H28" s="168"/>
      <c r="I28" s="168"/>
      <c r="J28" s="479">
        <f>ROUND(SUM(J25:J27),0)</f>
        <v>29320400</v>
      </c>
      <c r="K28" s="168"/>
      <c r="L28" s="93"/>
      <c r="M28" s="93"/>
      <c r="N28" s="93"/>
      <c r="O28" s="93"/>
      <c r="P28" s="91"/>
      <c r="U28" s="229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25">
      <c r="A29" s="88"/>
      <c r="C29" s="91"/>
      <c r="D29" s="93"/>
      <c r="E29" s="228"/>
      <c r="F29" s="93"/>
      <c r="G29" s="93"/>
      <c r="H29" s="93"/>
      <c r="I29" s="93"/>
      <c r="J29" s="228"/>
      <c r="K29" s="168"/>
      <c r="L29" s="93"/>
      <c r="M29" s="93"/>
      <c r="N29" s="93"/>
      <c r="O29" s="93"/>
      <c r="P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25">
      <c r="A30" s="88" t="s">
        <v>0</v>
      </c>
      <c r="C30" s="185" t="s">
        <v>281</v>
      </c>
      <c r="D30" s="124" t="s">
        <v>303</v>
      </c>
      <c r="E30" s="169"/>
      <c r="F30" s="168"/>
      <c r="G30" s="168"/>
      <c r="H30" s="168"/>
      <c r="I30" s="168"/>
      <c r="J30" s="169"/>
      <c r="K30" s="168"/>
      <c r="L30" s="93"/>
      <c r="M30" s="93"/>
      <c r="N30" s="93"/>
      <c r="O30" s="93"/>
      <c r="P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25">
      <c r="A31" s="88"/>
      <c r="C31" s="91" t="s">
        <v>57</v>
      </c>
      <c r="D31" s="124"/>
      <c r="E31" s="169"/>
      <c r="F31" s="168"/>
      <c r="G31" s="168"/>
      <c r="H31" s="92"/>
      <c r="I31" s="168"/>
      <c r="J31" s="169"/>
      <c r="K31" s="168"/>
      <c r="L31" s="192"/>
      <c r="M31" s="93"/>
      <c r="N31" s="183"/>
      <c r="O31" s="191"/>
      <c r="P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x14ac:dyDescent="0.25">
      <c r="A32" s="88">
        <v>14</v>
      </c>
      <c r="C32" s="279" t="s">
        <v>59</v>
      </c>
      <c r="D32" s="483" t="s">
        <v>58</v>
      </c>
      <c r="E32" s="479">
        <f>'OATT Input Data'!$E$235</f>
        <v>16568625.17</v>
      </c>
      <c r="F32" s="168"/>
      <c r="G32" s="168" t="s">
        <v>36</v>
      </c>
      <c r="H32" s="488">
        <f>'PTP Pg 4 of 5'!$J$33</f>
        <v>7.0959999999999995E-2</v>
      </c>
      <c r="I32" s="168"/>
      <c r="J32" s="479">
        <f>ROUND(H32*E32,0)</f>
        <v>1175710</v>
      </c>
      <c r="K32" s="168"/>
      <c r="L32" s="192"/>
      <c r="M32" s="93"/>
      <c r="N32" s="183"/>
      <c r="P32" s="191"/>
      <c r="Q32" s="191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25">
      <c r="A33" s="88">
        <v>15</v>
      </c>
      <c r="C33" s="279" t="s">
        <v>390</v>
      </c>
      <c r="D33" s="483" t="s">
        <v>58</v>
      </c>
      <c r="E33" s="410">
        <f>'OATT Input Data'!$E$236</f>
        <v>93638.65</v>
      </c>
      <c r="F33" s="168"/>
      <c r="G33" s="168" t="str">
        <f>+G32</f>
        <v>W/S</v>
      </c>
      <c r="H33" s="488">
        <f>'PTP Pg 4 of 5'!$J$33</f>
        <v>7.0959999999999995E-2</v>
      </c>
      <c r="I33" s="168"/>
      <c r="J33" s="410">
        <f>ROUND(H33*E33,0)</f>
        <v>6645</v>
      </c>
      <c r="K33" s="168"/>
      <c r="L33" s="192"/>
      <c r="M33" s="93"/>
      <c r="N33" s="183"/>
      <c r="P33" s="168"/>
      <c r="Q33" s="168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25">
      <c r="A34" s="88">
        <v>16</v>
      </c>
      <c r="C34" s="91" t="s">
        <v>60</v>
      </c>
      <c r="D34" s="483" t="s">
        <v>0</v>
      </c>
      <c r="E34" s="169"/>
      <c r="F34" s="168"/>
      <c r="G34" s="168"/>
      <c r="H34" s="92"/>
      <c r="I34" s="168"/>
      <c r="J34" s="169"/>
      <c r="K34" s="168"/>
      <c r="L34" s="192"/>
      <c r="M34" s="93"/>
      <c r="N34" s="183"/>
      <c r="P34" s="168"/>
      <c r="Q34" s="168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25">
      <c r="A35" s="88">
        <v>17</v>
      </c>
      <c r="C35" s="279" t="s">
        <v>61</v>
      </c>
      <c r="D35" s="483" t="s">
        <v>58</v>
      </c>
      <c r="E35" s="169">
        <f>'OATT Input Data'!$E$238</f>
        <v>55603271</v>
      </c>
      <c r="F35" s="168"/>
      <c r="G35" s="168" t="s">
        <v>54</v>
      </c>
      <c r="H35" s="508">
        <f>'PTP Pg 2 of 5'!$H$19</f>
        <v>9.6829999999999999E-2</v>
      </c>
      <c r="I35" s="168"/>
      <c r="J35" s="169">
        <f>ROUND(H35*E35,0)</f>
        <v>5384065</v>
      </c>
      <c r="K35" s="168"/>
      <c r="L35" s="192"/>
      <c r="M35" s="93"/>
      <c r="N35" s="183"/>
      <c r="P35" s="168"/>
      <c r="Q35" s="168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25">
      <c r="A36" s="88">
        <v>18</v>
      </c>
      <c r="C36" s="279" t="s">
        <v>41</v>
      </c>
      <c r="D36" s="483" t="s">
        <v>58</v>
      </c>
      <c r="E36" s="169">
        <f>'OATT Input Data'!$E$244</f>
        <v>5522808.1200000001</v>
      </c>
      <c r="F36" s="168"/>
      <c r="G36" s="168" t="str">
        <f>+G35</f>
        <v>GP</v>
      </c>
      <c r="H36" s="508">
        <f>'PTP Pg 2 of 5'!$H$19</f>
        <v>9.6829999999999999E-2</v>
      </c>
      <c r="I36" s="168"/>
      <c r="J36" s="169">
        <f>ROUND(H36*E36,0)</f>
        <v>534774</v>
      </c>
      <c r="K36" s="168"/>
      <c r="L36" s="192"/>
      <c r="M36" s="93"/>
      <c r="P36" s="180"/>
      <c r="Q36" s="180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25">
      <c r="A37" s="88">
        <v>19</v>
      </c>
      <c r="C37" s="279" t="s">
        <v>391</v>
      </c>
      <c r="D37" s="168"/>
      <c r="E37" s="562">
        <v>0</v>
      </c>
      <c r="F37" s="168"/>
      <c r="G37" s="168" t="s">
        <v>54</v>
      </c>
      <c r="H37" s="508">
        <f>'PTP Pg 2 of 5'!$H$19</f>
        <v>9.6829999999999999E-2</v>
      </c>
      <c r="I37" s="168"/>
      <c r="J37" s="562">
        <f>ROUND(H37*E37,0)</f>
        <v>0</v>
      </c>
      <c r="K37" s="168"/>
      <c r="L37" s="192"/>
      <c r="M37" s="93"/>
      <c r="N37" s="183"/>
      <c r="O37" s="183"/>
      <c r="P37" s="168"/>
      <c r="Q37" s="16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25">
      <c r="A38" s="88">
        <v>20</v>
      </c>
      <c r="C38" s="185" t="s">
        <v>202</v>
      </c>
      <c r="D38" s="478" t="s">
        <v>410</v>
      </c>
      <c r="E38" s="479">
        <f>ROUND(SUM(E32:E37),0)</f>
        <v>77788343</v>
      </c>
      <c r="F38" s="168"/>
      <c r="G38" s="168"/>
      <c r="H38" s="508"/>
      <c r="I38" s="168"/>
      <c r="J38" s="479">
        <f>ROUND(SUM(J32:J37),0)</f>
        <v>7101194</v>
      </c>
      <c r="K38" s="168"/>
      <c r="L38" s="93"/>
      <c r="M38" s="93"/>
      <c r="N38" s="173"/>
      <c r="O38" s="201"/>
      <c r="P38" s="168"/>
      <c r="Q38" s="16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x14ac:dyDescent="0.25">
      <c r="A39" s="88"/>
      <c r="C39" s="91"/>
      <c r="D39" s="168"/>
      <c r="E39" s="169"/>
      <c r="F39" s="168"/>
      <c r="G39" s="168"/>
      <c r="H39" s="508"/>
      <c r="I39" s="168"/>
      <c r="J39" s="169"/>
      <c r="K39" s="168"/>
      <c r="L39" s="93"/>
      <c r="M39" s="93"/>
      <c r="N39" s="91"/>
      <c r="P39" s="191"/>
      <c r="Q39" s="1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25">
      <c r="A40" s="88" t="s">
        <v>62</v>
      </c>
      <c r="C40" s="91"/>
      <c r="D40" s="168"/>
      <c r="E40" s="169"/>
      <c r="F40" s="168"/>
      <c r="G40" s="168"/>
      <c r="H40" s="508"/>
      <c r="I40" s="168"/>
      <c r="J40" s="169"/>
      <c r="K40" s="168"/>
      <c r="L40" s="93"/>
      <c r="M40" s="93"/>
      <c r="N40" s="93"/>
      <c r="P40" s="191"/>
      <c r="Q40" s="1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25">
      <c r="A41" s="88" t="s">
        <v>0</v>
      </c>
      <c r="C41" s="185" t="s">
        <v>307</v>
      </c>
      <c r="D41" s="483" t="s">
        <v>305</v>
      </c>
      <c r="E41" s="169"/>
      <c r="F41" s="168"/>
      <c r="G41" s="92"/>
      <c r="H41" s="502"/>
      <c r="I41" s="168"/>
      <c r="J41" s="169"/>
      <c r="K41" s="168"/>
      <c r="M41" s="93"/>
      <c r="N41" s="189"/>
      <c r="P41" s="191"/>
      <c r="Q41" s="1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25">
      <c r="A42" s="88">
        <v>21</v>
      </c>
      <c r="C42" s="267" t="s">
        <v>400</v>
      </c>
      <c r="D42" s="168"/>
      <c r="E42" s="563">
        <f>IF('OATT Input Data'!$B$249&gt;0,1-(((1-'OATT Input Data'!$B$250)*(1-'OATT Input Data'!$B$249))/(1-'OATT Input Data'!$B$250*'OATT Input Data'!$B$249*'OATT Input Data'!$B$251)),0)</f>
        <v>0.24950000000000006</v>
      </c>
      <c r="F42" s="168"/>
      <c r="G42" s="92"/>
      <c r="H42" s="502"/>
      <c r="I42" s="168"/>
      <c r="J42" s="169"/>
      <c r="K42" s="168"/>
      <c r="M42" s="93"/>
      <c r="N42" s="93"/>
      <c r="P42" s="191"/>
      <c r="Q42" s="1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25">
      <c r="A43" s="88">
        <v>22</v>
      </c>
      <c r="C43" s="268" t="s">
        <v>401</v>
      </c>
      <c r="D43" s="168"/>
      <c r="E43" s="563">
        <f>IF('PTP Pg 4 of 5'!$J$56&gt;0,ROUND((E42/(1-E42))*(1-'PTP Pg 4 of 5'!$J$53/'PTP Pg 4 of 5'!$J$56),4),0)</f>
        <v>0.25580000000000003</v>
      </c>
      <c r="F43" s="168"/>
      <c r="G43" s="92"/>
      <c r="H43" s="502"/>
      <c r="I43" s="168"/>
      <c r="J43" s="169"/>
      <c r="K43" s="168"/>
      <c r="M43" s="93"/>
      <c r="N43" s="93"/>
      <c r="O43" s="213"/>
      <c r="P43" s="191"/>
      <c r="Q43" s="1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25">
      <c r="A44" s="88"/>
      <c r="C44" s="266" t="s">
        <v>337</v>
      </c>
      <c r="D44" s="478" t="s">
        <v>333</v>
      </c>
      <c r="E44" s="564">
        <f>'PTP Pg 4 of 5'!J53</f>
        <v>1.7999999999999999E-2</v>
      </c>
      <c r="F44" s="168"/>
      <c r="G44" s="92"/>
      <c r="H44" s="502"/>
      <c r="I44" s="168"/>
      <c r="J44" s="169"/>
      <c r="K44" s="168"/>
      <c r="M44" s="93"/>
      <c r="O44" s="92"/>
      <c r="P44" s="168"/>
      <c r="Q44" s="92"/>
      <c r="R44" s="92"/>
      <c r="S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25">
      <c r="A45" s="88"/>
      <c r="C45" s="266" t="s">
        <v>338</v>
      </c>
      <c r="D45" s="478" t="s">
        <v>334</v>
      </c>
      <c r="E45" s="564">
        <f>'PTP Pg 4 of 5'!J56</f>
        <v>7.8100000010000004E-2</v>
      </c>
      <c r="F45" s="168"/>
      <c r="G45" s="92"/>
      <c r="H45" s="502"/>
      <c r="I45" s="168"/>
      <c r="J45" s="169"/>
      <c r="K45" s="168"/>
      <c r="M45" s="93"/>
      <c r="N45" s="93"/>
      <c r="O45" s="173"/>
      <c r="P45" s="168"/>
      <c r="Q45" s="92"/>
      <c r="R45" s="92"/>
      <c r="S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25">
      <c r="A46" s="88"/>
      <c r="C46" s="266" t="s">
        <v>306</v>
      </c>
      <c r="D46" s="483" t="s">
        <v>305</v>
      </c>
      <c r="E46" s="169"/>
      <c r="F46" s="168"/>
      <c r="G46" s="92"/>
      <c r="H46" s="502"/>
      <c r="I46" s="168"/>
      <c r="J46" s="169"/>
      <c r="K46" s="168"/>
      <c r="M46" s="93"/>
      <c r="N46" s="93"/>
      <c r="O46" s="173"/>
      <c r="P46" s="168"/>
      <c r="Q46" s="92"/>
      <c r="R46" s="92"/>
      <c r="S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25">
      <c r="A47" s="88">
        <v>23</v>
      </c>
      <c r="C47" s="230" t="s">
        <v>308</v>
      </c>
      <c r="D47" s="478" t="s">
        <v>862</v>
      </c>
      <c r="E47" s="565">
        <f>IF(E42&gt;0,ROUND(1/(1-E42),8),0)</f>
        <v>1.3324450400000001</v>
      </c>
      <c r="F47" s="168"/>
      <c r="G47" s="92"/>
      <c r="H47" s="502"/>
      <c r="I47" s="168"/>
      <c r="J47" s="169"/>
      <c r="K47" s="168"/>
      <c r="M47" s="93"/>
      <c r="N47" s="93"/>
      <c r="O47" s="173"/>
      <c r="P47" s="231"/>
      <c r="Q47" s="231"/>
      <c r="R47" s="92"/>
      <c r="S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25">
      <c r="A48" s="88">
        <v>24</v>
      </c>
      <c r="C48" s="185" t="s">
        <v>309</v>
      </c>
      <c r="D48" s="478" t="s">
        <v>392</v>
      </c>
      <c r="E48" s="410">
        <v>0</v>
      </c>
      <c r="F48" s="168"/>
      <c r="G48" s="92"/>
      <c r="H48" s="502"/>
      <c r="I48" s="168"/>
      <c r="J48" s="169"/>
      <c r="K48" s="168"/>
      <c r="M48" s="93"/>
      <c r="N48" s="93"/>
      <c r="O48" s="173"/>
      <c r="P48" s="168"/>
      <c r="Q48" s="168"/>
      <c r="R48" s="92"/>
      <c r="S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50" x14ac:dyDescent="0.25">
      <c r="A49" s="88"/>
      <c r="C49" s="91"/>
      <c r="D49" s="168"/>
      <c r="E49" s="169"/>
      <c r="F49" s="168"/>
      <c r="G49" s="92"/>
      <c r="H49" s="502"/>
      <c r="I49" s="168"/>
      <c r="J49" s="169"/>
      <c r="K49" s="168"/>
      <c r="M49" s="93"/>
      <c r="N49" s="93"/>
      <c r="O49" s="173"/>
      <c r="P49" s="173"/>
      <c r="Q49" s="92"/>
      <c r="R49" s="92"/>
      <c r="S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50" x14ac:dyDescent="0.25">
      <c r="A50" s="88">
        <v>25</v>
      </c>
      <c r="C50" s="230" t="s">
        <v>311</v>
      </c>
      <c r="D50" s="566" t="s">
        <v>411</v>
      </c>
      <c r="E50" s="479">
        <f>ROUND(E43*E54,0)</f>
        <v>151787052</v>
      </c>
      <c r="F50" s="168"/>
      <c r="G50" s="168"/>
      <c r="H50" s="508"/>
      <c r="I50" s="168"/>
      <c r="J50" s="479">
        <f>ROUND(E43*J54,0)</f>
        <v>15073622</v>
      </c>
      <c r="K50" s="168"/>
      <c r="L50" s="232" t="s">
        <v>0</v>
      </c>
      <c r="M50" s="93"/>
      <c r="N50" s="93"/>
      <c r="O50" s="173"/>
      <c r="P50" s="173"/>
      <c r="Q50" s="92"/>
      <c r="R50" s="92"/>
      <c r="S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50" ht="18" x14ac:dyDescent="0.4">
      <c r="A51" s="88">
        <v>26</v>
      </c>
      <c r="C51" s="204" t="s">
        <v>312</v>
      </c>
      <c r="D51" s="566" t="s">
        <v>412</v>
      </c>
      <c r="E51" s="482">
        <f>ROUND(E47*E48,0)</f>
        <v>0</v>
      </c>
      <c r="F51" s="168"/>
      <c r="G51" s="92" t="s">
        <v>46</v>
      </c>
      <c r="H51" s="508">
        <f>'PTP Pg 2 of 5'!$H$35</f>
        <v>9.9760000000000001E-2</v>
      </c>
      <c r="I51" s="168"/>
      <c r="J51" s="482">
        <f>ROUND(H51*E51,0)</f>
        <v>0</v>
      </c>
      <c r="K51" s="168"/>
      <c r="L51" s="232"/>
      <c r="M51" s="93"/>
      <c r="N51" s="93"/>
      <c r="O51" s="173"/>
      <c r="P51" s="173"/>
      <c r="Q51" s="92"/>
      <c r="R51" s="92"/>
      <c r="S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50" x14ac:dyDescent="0.25">
      <c r="A52" s="88">
        <v>27</v>
      </c>
      <c r="C52" s="233" t="s">
        <v>63</v>
      </c>
      <c r="D52" s="481" t="s">
        <v>413</v>
      </c>
      <c r="E52" s="567">
        <f>E50+E51</f>
        <v>151787052</v>
      </c>
      <c r="F52" s="168"/>
      <c r="G52" s="168" t="s">
        <v>0</v>
      </c>
      <c r="H52" s="508" t="s">
        <v>0</v>
      </c>
      <c r="I52" s="168"/>
      <c r="J52" s="567">
        <f>J50+J51</f>
        <v>15073622</v>
      </c>
      <c r="K52" s="168"/>
      <c r="L52" s="93"/>
      <c r="M52" s="93"/>
      <c r="N52" s="93"/>
      <c r="O52" s="93"/>
      <c r="P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50" x14ac:dyDescent="0.25">
      <c r="A53" s="88" t="s">
        <v>0</v>
      </c>
      <c r="D53" s="568"/>
      <c r="E53" s="169"/>
      <c r="F53" s="168"/>
      <c r="G53" s="168"/>
      <c r="H53" s="508"/>
      <c r="I53" s="168"/>
      <c r="J53" s="169"/>
      <c r="K53" s="168"/>
      <c r="L53" s="93"/>
      <c r="M53" s="93"/>
      <c r="N53" s="93"/>
      <c r="O53" s="93"/>
      <c r="P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50" ht="18" x14ac:dyDescent="0.4">
      <c r="A54" s="88">
        <v>28</v>
      </c>
      <c r="C54" s="185" t="s">
        <v>310</v>
      </c>
      <c r="D54" s="481" t="s">
        <v>339</v>
      </c>
      <c r="E54" s="569">
        <f>ROUND('PTP Pg 4 of 5'!$J$56*'PTP Pg 2 of 5'!$E$57,0)</f>
        <v>593381751</v>
      </c>
      <c r="F54" s="168"/>
      <c r="G54" s="168"/>
      <c r="H54" s="502"/>
      <c r="I54" s="168"/>
      <c r="J54" s="569">
        <f>ROUND('PTP Pg 4 of 5'!$J$56*'PTP Pg 2 of 5'!$J$57,0)</f>
        <v>58927373</v>
      </c>
      <c r="K54" s="168"/>
      <c r="M54" s="93"/>
      <c r="N54" s="93"/>
      <c r="O54" s="191"/>
      <c r="P54" s="93" t="s">
        <v>0</v>
      </c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50" x14ac:dyDescent="0.25">
      <c r="A55" s="88"/>
      <c r="C55" s="91"/>
      <c r="D55" s="92"/>
      <c r="E55" s="169"/>
      <c r="F55" s="168"/>
      <c r="G55" s="168"/>
      <c r="H55" s="502"/>
      <c r="I55" s="168"/>
      <c r="J55" s="169"/>
      <c r="K55" s="168"/>
      <c r="L55" s="192"/>
      <c r="M55" s="93"/>
      <c r="N55" s="93"/>
      <c r="O55" s="191"/>
      <c r="P55" s="93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50" ht="18" x14ac:dyDescent="0.4">
      <c r="A56" s="88">
        <v>29</v>
      </c>
      <c r="C56" s="185" t="s">
        <v>203</v>
      </c>
      <c r="D56" s="478" t="s">
        <v>408</v>
      </c>
      <c r="E56" s="570">
        <f>ROUND(E54+E52+E38+E28+E22,0)</f>
        <v>1145767993</v>
      </c>
      <c r="F56" s="168"/>
      <c r="G56" s="168"/>
      <c r="H56" s="168"/>
      <c r="I56" s="168"/>
      <c r="J56" s="570">
        <f>ROUND(J54+J52+J38+J28+J22,0)</f>
        <v>173432935</v>
      </c>
      <c r="K56" s="109"/>
      <c r="L56" s="90"/>
      <c r="M56" s="90"/>
      <c r="N56" s="90"/>
      <c r="O56" s="90"/>
      <c r="P56" s="91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50" x14ac:dyDescent="0.25">
      <c r="Q57" s="122"/>
      <c r="R57" s="122"/>
      <c r="S57" s="12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</row>
    <row r="58" spans="1:50" x14ac:dyDescent="0.25">
      <c r="Q58" s="122"/>
      <c r="R58" s="122"/>
      <c r="S58" s="12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</row>
    <row r="59" spans="1:50" x14ac:dyDescent="0.25">
      <c r="Q59" s="122"/>
      <c r="R59" s="122"/>
      <c r="S59" s="12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</row>
    <row r="60" spans="1:50" x14ac:dyDescent="0.25">
      <c r="Q60" s="122"/>
      <c r="R60" s="122"/>
      <c r="S60" s="12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x14ac:dyDescent="0.25">
      <c r="Q61" s="122"/>
      <c r="R61" s="122"/>
      <c r="S61" s="12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</row>
    <row r="62" spans="1:50" x14ac:dyDescent="0.25">
      <c r="Q62" s="122"/>
      <c r="R62" s="122"/>
      <c r="S62" s="12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</row>
    <row r="63" spans="1:50" x14ac:dyDescent="0.25">
      <c r="Q63" s="122"/>
      <c r="R63" s="122"/>
      <c r="S63" s="12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</row>
    <row r="64" spans="1:50" x14ac:dyDescent="0.25">
      <c r="Q64" s="122"/>
      <c r="R64" s="122"/>
      <c r="S64" s="12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</row>
    <row r="65" spans="17:50" x14ac:dyDescent="0.25">
      <c r="Q65" s="122"/>
      <c r="R65" s="122"/>
      <c r="S65" s="12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7:50" x14ac:dyDescent="0.25">
      <c r="Q66" s="122"/>
      <c r="R66" s="122"/>
      <c r="S66" s="12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7:50" x14ac:dyDescent="0.25">
      <c r="Q67" s="122"/>
      <c r="R67" s="122"/>
      <c r="S67" s="12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7:50" x14ac:dyDescent="0.25">
      <c r="Q68" s="122"/>
      <c r="R68" s="122"/>
      <c r="S68" s="12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7:50" x14ac:dyDescent="0.25"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7:50" x14ac:dyDescent="0.25"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7:50" x14ac:dyDescent="0.25"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7:50" x14ac:dyDescent="0.25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7:50" x14ac:dyDescent="0.25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7:50" x14ac:dyDescent="0.25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7:50" x14ac:dyDescent="0.25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7:50" x14ac:dyDescent="0.25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7:50" x14ac:dyDescent="0.25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7:50" x14ac:dyDescent="0.25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7:50" x14ac:dyDescent="0.25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7:50" x14ac:dyDescent="0.25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25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25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25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25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25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25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25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25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25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25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25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25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25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25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25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25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25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25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25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25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25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25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25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25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25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25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25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25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25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25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25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25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25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25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25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25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25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25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25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25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25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25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25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25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25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25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25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25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25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25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25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25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25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25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25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25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25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25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25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25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25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25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25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25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25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25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25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25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25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25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25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25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25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25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25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25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25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25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25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25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25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25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25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25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25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25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25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25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25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25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25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25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25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25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25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25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:50" x14ac:dyDescent="0.25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:50" x14ac:dyDescent="0.25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:50" x14ac:dyDescent="0.25">
      <c r="A179" s="92"/>
      <c r="B179" s="92"/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:50" x14ac:dyDescent="0.25">
      <c r="A180" s="92"/>
      <c r="B180" s="92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Q180" s="124"/>
      <c r="R180" s="124"/>
      <c r="S180" s="124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:50" x14ac:dyDescent="0.25">
      <c r="A181" s="92"/>
      <c r="B181" s="92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:50" x14ac:dyDescent="0.25">
      <c r="A182" s="92"/>
      <c r="B182" s="92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:50" x14ac:dyDescent="0.25">
      <c r="A183" s="92"/>
      <c r="B183" s="92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:50" x14ac:dyDescent="0.25">
      <c r="A184" s="92"/>
      <c r="B184" s="92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:50" x14ac:dyDescent="0.25">
      <c r="A185" s="92"/>
      <c r="B185" s="92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:50" x14ac:dyDescent="0.25">
      <c r="A186" s="92"/>
      <c r="B186" s="92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:50" x14ac:dyDescent="0.25">
      <c r="A187" s="92"/>
      <c r="B187" s="92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:50" x14ac:dyDescent="0.25">
      <c r="A188" s="92"/>
      <c r="B188" s="92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:50" x14ac:dyDescent="0.25">
      <c r="A189" s="92"/>
      <c r="B189" s="92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:50" x14ac:dyDescent="0.25">
      <c r="A190" s="92"/>
      <c r="B190" s="92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:50" x14ac:dyDescent="0.25">
      <c r="A191" s="92"/>
      <c r="B191" s="92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:50" x14ac:dyDescent="0.25">
      <c r="A192" s="92"/>
      <c r="B192" s="92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25">
      <c r="A193" s="92"/>
      <c r="B193" s="92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25">
      <c r="A194" s="92"/>
      <c r="B194" s="92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25">
      <c r="A195" s="92"/>
      <c r="B195" s="92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25">
      <c r="A196" s="92"/>
      <c r="B196" s="92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25">
      <c r="A197" s="92"/>
      <c r="B197" s="92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25">
      <c r="A198" s="92"/>
      <c r="B198" s="92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25">
      <c r="A199" s="92"/>
      <c r="B199" s="92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25">
      <c r="A200" s="92"/>
      <c r="B200" s="92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25">
      <c r="A201" s="92"/>
      <c r="B201" s="92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25">
      <c r="A202" s="92"/>
      <c r="B202" s="92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25">
      <c r="A203" s="92"/>
      <c r="B203" s="9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25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25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25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25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25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25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25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25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25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25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25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25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25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25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25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25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25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25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25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25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25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25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25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25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25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25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25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25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25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25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25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25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2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2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2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2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2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2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2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2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2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2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2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2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2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2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2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2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2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2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2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AB347" s="92"/>
      <c r="AD347" s="92"/>
      <c r="AE347" s="92"/>
    </row>
    <row r="348" spans="1:50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W348" s="92"/>
      <c r="X348" s="92"/>
      <c r="Y348" s="92"/>
    </row>
    <row r="349" spans="1:50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W349" s="92"/>
      <c r="Y349" s="92"/>
    </row>
    <row r="350" spans="1:50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Y350" s="92"/>
    </row>
    <row r="351" spans="1:50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50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</sheetData>
  <sheetProtection sheet="1" objects="1" scenarios="1"/>
  <printOptions horizontalCentered="1"/>
  <pageMargins left="0.75" right="0.75" top="0.54" bottom="0.49" header="0.5" footer="0.5"/>
  <pageSetup scale="61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6"/>
  <sheetViews>
    <sheetView workbookViewId="0">
      <selection activeCell="J12" sqref="J12"/>
    </sheetView>
  </sheetViews>
  <sheetFormatPr defaultColWidth="9.33203125" defaultRowHeight="15.75" x14ac:dyDescent="0.25"/>
  <cols>
    <col min="1" max="1" width="9" style="84" customWidth="1"/>
    <col min="2" max="2" width="2.1640625" style="84" customWidth="1"/>
    <col min="3" max="3" width="44.6640625" style="84" customWidth="1"/>
    <col min="4" max="4" width="31.1640625" style="84" customWidth="1"/>
    <col min="5" max="5" width="26.33203125" style="84" customWidth="1"/>
    <col min="6" max="6" width="15" style="84" customWidth="1"/>
    <col min="7" max="7" width="20.6640625" style="84" customWidth="1"/>
    <col min="8" max="8" width="18.5" style="84" customWidth="1"/>
    <col min="9" max="9" width="8.6640625" style="84" customWidth="1"/>
    <col min="10" max="10" width="23" style="84" customWidth="1"/>
    <col min="11" max="11" width="12.1640625" style="84" customWidth="1"/>
    <col min="12" max="12" width="11.6640625" style="84" customWidth="1"/>
    <col min="13" max="13" width="2.83203125" style="84" customWidth="1"/>
    <col min="14" max="14" width="41" style="84" customWidth="1"/>
    <col min="15" max="15" width="48.83203125" style="84" customWidth="1"/>
    <col min="16" max="16" width="23.5" style="84" customWidth="1"/>
    <col min="17" max="17" width="20.5" style="84" customWidth="1"/>
    <col min="18" max="18" width="20.83203125" style="84" customWidth="1"/>
    <col min="19" max="19" width="23.6640625" style="84" bestFit="1" customWidth="1"/>
    <col min="20" max="20" width="22.1640625" style="84" bestFit="1" customWidth="1"/>
    <col min="21" max="21" width="23" style="84" bestFit="1" customWidth="1"/>
    <col min="22" max="22" width="19.83203125" style="84" customWidth="1"/>
    <col min="23" max="23" width="20.33203125" style="84" customWidth="1"/>
    <col min="24" max="24" width="23.5" style="84" bestFit="1" customWidth="1"/>
    <col min="25" max="25" width="21.6640625" style="84" bestFit="1" customWidth="1"/>
    <col min="26" max="26" width="16.1640625" style="84" customWidth="1"/>
    <col min="27" max="28" width="23.5" style="84" bestFit="1" customWidth="1"/>
    <col min="29" max="29" width="21.33203125" style="84" bestFit="1" customWidth="1"/>
    <col min="30" max="30" width="23.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s="1" customFormat="1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"/>
      <c r="M1" s="235"/>
      <c r="N1" s="4"/>
      <c r="O1" s="4"/>
      <c r="P1" s="4"/>
    </row>
    <row r="2" spans="1:33" s="1" customFormat="1" x14ac:dyDescent="0.25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"/>
      <c r="M2" s="247"/>
      <c r="N2" s="4"/>
      <c r="O2" s="4"/>
      <c r="P2" s="4"/>
    </row>
    <row r="3" spans="1:33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271" t="str">
        <f>"For the 12 months ended "&amp;TEXT('OATT Input Data'!B4,"MM/DD/YYYY")</f>
        <v>For the 12 months ended 12/31/2018</v>
      </c>
      <c r="L4" s="4"/>
      <c r="M4" s="4"/>
      <c r="N4" s="4"/>
      <c r="O4" s="5"/>
      <c r="P4" s="4"/>
    </row>
    <row r="5" spans="1:33" s="1" customFormat="1" x14ac:dyDescent="0.25">
      <c r="A5" s="272" t="s">
        <v>187</v>
      </c>
      <c r="C5" s="2"/>
      <c r="D5" s="9"/>
      <c r="F5" s="9"/>
      <c r="G5" s="9"/>
      <c r="H5" s="9"/>
      <c r="I5" s="2"/>
      <c r="J5" s="2"/>
      <c r="K5" s="238" t="s">
        <v>125</v>
      </c>
      <c r="L5" s="251"/>
      <c r="M5" s="4"/>
      <c r="N5" s="4"/>
      <c r="O5" s="4"/>
      <c r="P5" s="4"/>
    </row>
    <row r="6" spans="1:33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25">
      <c r="A7" s="275" t="s">
        <v>130</v>
      </c>
      <c r="B7" s="249"/>
      <c r="C7" s="276"/>
      <c r="D7" s="276"/>
      <c r="E7" s="249"/>
      <c r="F7" s="276"/>
      <c r="G7" s="276"/>
      <c r="H7" s="276"/>
      <c r="I7" s="276"/>
      <c r="J7" s="276"/>
      <c r="K7" s="276"/>
      <c r="L7" s="2"/>
      <c r="M7" s="4"/>
      <c r="N7" s="4"/>
      <c r="O7" s="4"/>
      <c r="P7" s="4"/>
    </row>
    <row r="8" spans="1:33" x14ac:dyDescent="0.25">
      <c r="A8" s="277" t="s">
        <v>389</v>
      </c>
      <c r="B8" s="217"/>
      <c r="C8" s="217"/>
      <c r="D8" s="217"/>
      <c r="E8" s="217"/>
      <c r="F8" s="274"/>
      <c r="G8" s="274"/>
      <c r="H8" s="274"/>
      <c r="I8" s="274"/>
      <c r="J8" s="274"/>
      <c r="K8" s="25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25">
      <c r="A9" s="88" t="s">
        <v>1</v>
      </c>
      <c r="C9" s="166"/>
      <c r="D9" s="90"/>
      <c r="E9" s="90"/>
      <c r="F9" s="90"/>
      <c r="G9" s="90"/>
      <c r="H9" s="90"/>
      <c r="I9" s="90"/>
      <c r="J9" s="90"/>
      <c r="K9" s="93"/>
      <c r="L9" s="93"/>
      <c r="M9" s="93"/>
      <c r="N9" s="90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6.5" thickBot="1" x14ac:dyDescent="0.3">
      <c r="A10" s="167" t="s">
        <v>3</v>
      </c>
      <c r="C10" s="165" t="s">
        <v>204</v>
      </c>
      <c r="D10" s="109"/>
      <c r="E10" s="109"/>
      <c r="F10" s="109"/>
      <c r="G10" s="109"/>
      <c r="H10" s="109"/>
      <c r="I10" s="92"/>
      <c r="J10" s="92"/>
      <c r="K10" s="168"/>
      <c r="L10" s="93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x14ac:dyDescent="0.25">
      <c r="A11" s="88">
        <v>1</v>
      </c>
      <c r="C11" s="165" t="s">
        <v>205</v>
      </c>
      <c r="D11" s="109"/>
      <c r="E11" s="168"/>
      <c r="F11" s="168"/>
      <c r="G11" s="478" t="s">
        <v>331</v>
      </c>
      <c r="H11" s="168"/>
      <c r="I11" s="168"/>
      <c r="J11" s="479">
        <f>'PTP Pg 2 of 5'!E15</f>
        <v>1502513484</v>
      </c>
      <c r="K11" s="168"/>
      <c r="L11" s="93"/>
      <c r="M11" s="93"/>
      <c r="N11" s="90"/>
      <c r="O11" s="93"/>
      <c r="P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25">
      <c r="A12" s="88">
        <v>2</v>
      </c>
      <c r="C12" s="165" t="s">
        <v>207</v>
      </c>
      <c r="D12" s="92"/>
      <c r="E12" s="92"/>
      <c r="F12" s="92"/>
      <c r="G12" s="124" t="s">
        <v>206</v>
      </c>
      <c r="H12" s="92"/>
      <c r="I12" s="92"/>
      <c r="J12" s="169">
        <f>ROUND('VA Transmission'!$G$60,0)</f>
        <v>59194394</v>
      </c>
      <c r="K12" s="168"/>
      <c r="L12" s="93"/>
      <c r="M12" s="93"/>
      <c r="N12" s="90"/>
      <c r="O12" s="93"/>
      <c r="P12" s="170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8.75" thickBot="1" x14ac:dyDescent="0.45">
      <c r="A13" s="88">
        <v>3</v>
      </c>
      <c r="C13" s="255" t="s">
        <v>209</v>
      </c>
      <c r="D13" s="171"/>
      <c r="E13" s="172"/>
      <c r="F13" s="168"/>
      <c r="G13" s="481" t="s">
        <v>208</v>
      </c>
      <c r="H13" s="173"/>
      <c r="I13" s="168"/>
      <c r="J13" s="482">
        <v>0</v>
      </c>
      <c r="K13" s="168"/>
      <c r="L13" s="93"/>
      <c r="M13" s="93"/>
      <c r="N13" s="90"/>
      <c r="O13" s="93"/>
      <c r="P13" s="170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25">
      <c r="A14" s="88">
        <v>4</v>
      </c>
      <c r="C14" s="165" t="s">
        <v>340</v>
      </c>
      <c r="D14" s="109"/>
      <c r="E14" s="168"/>
      <c r="F14" s="168"/>
      <c r="G14" s="483" t="s">
        <v>210</v>
      </c>
      <c r="H14" s="173"/>
      <c r="I14" s="168"/>
      <c r="J14" s="479">
        <f>ROUND(J11-J12-J13,0)</f>
        <v>1443319090</v>
      </c>
      <c r="K14" s="168"/>
      <c r="L14" s="93"/>
      <c r="M14" s="93"/>
      <c r="N14" s="90"/>
      <c r="O14" s="93"/>
      <c r="P14" s="91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25">
      <c r="A15" s="88"/>
      <c r="C15" s="92"/>
      <c r="D15" s="109"/>
      <c r="E15" s="168"/>
      <c r="F15" s="168"/>
      <c r="G15" s="168"/>
      <c r="H15" s="173"/>
      <c r="I15" s="168"/>
      <c r="J15" s="169"/>
      <c r="K15" s="168"/>
      <c r="L15" s="93"/>
      <c r="M15" s="93"/>
      <c r="N15" s="90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25">
      <c r="A16" s="88">
        <v>5</v>
      </c>
      <c r="C16" s="165" t="s">
        <v>341</v>
      </c>
      <c r="D16" s="174"/>
      <c r="E16" s="175"/>
      <c r="F16" s="175"/>
      <c r="G16" s="484" t="s">
        <v>211</v>
      </c>
      <c r="H16" s="176"/>
      <c r="I16" s="168" t="s">
        <v>64</v>
      </c>
      <c r="J16" s="485">
        <f>IF(J11&gt;0,ROUND(J14/J11,5),0)</f>
        <v>0.96060000000000001</v>
      </c>
      <c r="K16" s="168"/>
      <c r="L16" s="93"/>
      <c r="M16" s="93"/>
      <c r="N16" s="90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25">
      <c r="A17" s="88"/>
      <c r="C17" s="92"/>
      <c r="D17" s="92"/>
      <c r="E17" s="92"/>
      <c r="F17" s="92"/>
      <c r="G17" s="92"/>
      <c r="H17" s="92"/>
      <c r="I17" s="92"/>
      <c r="J17" s="169"/>
      <c r="K17" s="168"/>
      <c r="L17" s="93"/>
      <c r="M17" s="93"/>
      <c r="N17" s="90"/>
      <c r="R17" s="177"/>
      <c r="S17" s="177"/>
      <c r="T17" s="177"/>
      <c r="U17" s="177"/>
      <c r="V17" s="17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x14ac:dyDescent="0.25">
      <c r="A18" s="88"/>
      <c r="C18" s="178" t="s">
        <v>65</v>
      </c>
      <c r="D18" s="92"/>
      <c r="E18" s="92"/>
      <c r="F18" s="92"/>
      <c r="G18" s="92"/>
      <c r="H18" s="92"/>
      <c r="I18" s="92"/>
      <c r="J18" s="169"/>
      <c r="K18" s="168"/>
      <c r="L18" s="93"/>
      <c r="M18" s="93"/>
      <c r="N18" s="90"/>
      <c r="R18" s="177"/>
      <c r="S18" s="177"/>
      <c r="T18" s="177"/>
      <c r="U18" s="177"/>
      <c r="V18" s="177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25">
      <c r="A19" s="88">
        <v>6</v>
      </c>
      <c r="C19" s="200" t="s">
        <v>216</v>
      </c>
      <c r="D19" s="92"/>
      <c r="E19" s="109"/>
      <c r="F19" s="109"/>
      <c r="G19" s="478" t="s">
        <v>332</v>
      </c>
      <c r="H19" s="179"/>
      <c r="I19" s="109"/>
      <c r="J19" s="479">
        <f>'PTP Pg 3 of 5'!E14</f>
        <v>62384215.790000007</v>
      </c>
      <c r="K19" s="168"/>
      <c r="L19" s="93"/>
      <c r="M19" s="93"/>
      <c r="N19" s="93"/>
      <c r="R19" s="180"/>
      <c r="S19" s="181"/>
      <c r="T19" s="177"/>
      <c r="U19" s="177"/>
      <c r="V19" s="177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18.75" thickBot="1" x14ac:dyDescent="0.45">
      <c r="A20" s="88">
        <v>7</v>
      </c>
      <c r="C20" s="255" t="s">
        <v>215</v>
      </c>
      <c r="D20" s="171"/>
      <c r="E20" s="172"/>
      <c r="F20" s="180"/>
      <c r="G20" s="481" t="s">
        <v>212</v>
      </c>
      <c r="H20" s="168"/>
      <c r="I20" s="168"/>
      <c r="J20" s="486">
        <f>'Sch 1'!$D$21</f>
        <v>6342693</v>
      </c>
      <c r="K20" s="168"/>
      <c r="L20" s="93"/>
      <c r="M20" s="93"/>
      <c r="N20" s="180"/>
      <c r="R20" s="180"/>
      <c r="S20" s="181"/>
      <c r="T20" s="177"/>
      <c r="U20" s="177"/>
      <c r="V20" s="177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x14ac:dyDescent="0.25">
      <c r="A21" s="88">
        <v>8</v>
      </c>
      <c r="C21" s="165" t="s">
        <v>214</v>
      </c>
      <c r="D21" s="174"/>
      <c r="E21" s="175"/>
      <c r="F21" s="175"/>
      <c r="G21" s="478" t="s">
        <v>213</v>
      </c>
      <c r="H21" s="176"/>
      <c r="I21" s="175"/>
      <c r="J21" s="479">
        <f>ROUND(J19-J20,0)</f>
        <v>56041523</v>
      </c>
      <c r="K21" s="92"/>
      <c r="M21" s="93"/>
      <c r="N21" s="93"/>
      <c r="S21" s="177"/>
      <c r="T21" s="177"/>
      <c r="U21" s="177"/>
      <c r="V21" s="177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25">
      <c r="A22" s="88"/>
      <c r="C22" s="113"/>
      <c r="D22" s="109"/>
      <c r="E22" s="168"/>
      <c r="F22" s="168"/>
      <c r="G22" s="168"/>
      <c r="H22" s="168"/>
      <c r="I22" s="92"/>
      <c r="J22" s="92"/>
      <c r="K22" s="92"/>
      <c r="M22" s="93"/>
      <c r="N22" s="93"/>
      <c r="S22" s="177"/>
      <c r="T22" s="177"/>
      <c r="U22" s="177"/>
      <c r="V22" s="177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25">
      <c r="A23" s="88">
        <v>9</v>
      </c>
      <c r="C23" s="165" t="s">
        <v>220</v>
      </c>
      <c r="D23" s="109"/>
      <c r="E23" s="168"/>
      <c r="F23" s="168"/>
      <c r="G23" s="487" t="s">
        <v>217</v>
      </c>
      <c r="H23" s="168"/>
      <c r="I23" s="168"/>
      <c r="J23" s="488">
        <f>ROUND(J21/J19,5)</f>
        <v>0.89832999999999996</v>
      </c>
      <c r="K23" s="92"/>
      <c r="M23" s="93"/>
      <c r="N23" s="93"/>
      <c r="S23" s="182"/>
      <c r="T23" s="177"/>
      <c r="U23" s="177"/>
      <c r="V23" s="177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25">
      <c r="A24" s="88">
        <v>10</v>
      </c>
      <c r="C24" s="165" t="s">
        <v>341</v>
      </c>
      <c r="D24" s="109"/>
      <c r="E24" s="168"/>
      <c r="F24" s="168"/>
      <c r="G24" s="481" t="s">
        <v>218</v>
      </c>
      <c r="H24" s="168"/>
      <c r="I24" s="109" t="s">
        <v>9</v>
      </c>
      <c r="J24" s="489">
        <f>J16</f>
        <v>0.96060000000000001</v>
      </c>
      <c r="K24" s="92"/>
      <c r="M24" s="93"/>
      <c r="N24" s="93"/>
      <c r="S24" s="182"/>
      <c r="T24" s="177"/>
      <c r="U24" s="177"/>
      <c r="V24" s="177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25">
      <c r="A25" s="88">
        <v>11</v>
      </c>
      <c r="C25" s="165" t="s">
        <v>342</v>
      </c>
      <c r="D25" s="109"/>
      <c r="E25" s="109"/>
      <c r="F25" s="109"/>
      <c r="G25" s="481" t="s">
        <v>219</v>
      </c>
      <c r="H25" s="109"/>
      <c r="I25" s="109" t="s">
        <v>66</v>
      </c>
      <c r="J25" s="490">
        <f>ROUND(J24*J23,5)</f>
        <v>0.86294000000000004</v>
      </c>
      <c r="K25" s="92"/>
      <c r="M25" s="93"/>
      <c r="N25" s="93"/>
      <c r="S25" s="182"/>
      <c r="T25" s="177"/>
      <c r="U25" s="177"/>
      <c r="V25" s="177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25">
      <c r="A26" s="88"/>
      <c r="D26" s="109"/>
      <c r="E26" s="168"/>
      <c r="F26" s="168"/>
      <c r="G26" s="168"/>
      <c r="H26" s="173"/>
      <c r="I26" s="168"/>
      <c r="J26" s="92"/>
      <c r="K26" s="92"/>
      <c r="M26" s="93"/>
      <c r="N26" s="93"/>
      <c r="S26" s="184"/>
      <c r="T26" s="177"/>
      <c r="U26" s="177"/>
      <c r="V26" s="177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25">
      <c r="A27" s="88" t="s">
        <v>0</v>
      </c>
      <c r="C27" s="185" t="s">
        <v>167</v>
      </c>
      <c r="D27" s="168"/>
      <c r="E27" s="168"/>
      <c r="F27" s="168"/>
      <c r="G27" s="168"/>
      <c r="H27" s="168"/>
      <c r="I27" s="168"/>
      <c r="J27" s="168"/>
      <c r="K27" s="168"/>
      <c r="L27" s="93"/>
      <c r="M27" s="93"/>
      <c r="N27" s="93"/>
      <c r="S27" s="181"/>
      <c r="T27" s="177"/>
      <c r="U27" s="177"/>
      <c r="V27" s="177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25">
      <c r="A28" s="88" t="s">
        <v>0</v>
      </c>
      <c r="C28" s="91"/>
      <c r="D28" s="491" t="s">
        <v>67</v>
      </c>
      <c r="E28" s="492" t="s">
        <v>230</v>
      </c>
      <c r="F28" s="492" t="s">
        <v>9</v>
      </c>
      <c r="G28" s="168"/>
      <c r="H28" s="492" t="s">
        <v>229</v>
      </c>
      <c r="I28" s="168"/>
      <c r="J28" s="168"/>
      <c r="K28" s="168"/>
      <c r="L28" s="93"/>
      <c r="M28" s="93"/>
      <c r="N28" s="93"/>
      <c r="S28" s="181"/>
      <c r="T28" s="177"/>
      <c r="U28" s="177"/>
      <c r="V28" s="177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25">
      <c r="A29" s="88">
        <v>12</v>
      </c>
      <c r="C29" s="91" t="s">
        <v>31</v>
      </c>
      <c r="D29" s="478" t="s">
        <v>174</v>
      </c>
      <c r="E29" s="493">
        <f>'OATT Input Data'!$E$278</f>
        <v>67496084</v>
      </c>
      <c r="F29" s="494">
        <v>0</v>
      </c>
      <c r="G29" s="494"/>
      <c r="H29" s="495">
        <f>ROUND(E29*F29,0)</f>
        <v>0</v>
      </c>
      <c r="I29" s="168"/>
      <c r="J29" s="168"/>
      <c r="K29" s="168"/>
      <c r="L29" s="93"/>
      <c r="M29" s="93"/>
      <c r="N29" s="189"/>
      <c r="S29" s="177"/>
      <c r="T29" s="177"/>
      <c r="U29" s="177"/>
      <c r="V29" s="177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25">
      <c r="A30" s="88">
        <v>13</v>
      </c>
      <c r="C30" s="91" t="s">
        <v>33</v>
      </c>
      <c r="D30" s="478" t="s">
        <v>221</v>
      </c>
      <c r="E30" s="187">
        <f>'OATT Input Data'!$E$279</f>
        <v>9273951</v>
      </c>
      <c r="F30" s="488">
        <f>+J16</f>
        <v>0.96060000000000001</v>
      </c>
      <c r="G30" s="494"/>
      <c r="H30" s="187">
        <f t="shared" ref="H30:H32" si="0">ROUND(E30*F30,0)</f>
        <v>8908557</v>
      </c>
      <c r="I30" s="168"/>
      <c r="J30" s="168"/>
      <c r="K30" s="168"/>
      <c r="L30" s="93"/>
      <c r="M30" s="90"/>
      <c r="N30" s="190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25">
      <c r="A31" s="88">
        <v>14</v>
      </c>
      <c r="C31" s="91" t="s">
        <v>34</v>
      </c>
      <c r="D31" s="478" t="s">
        <v>222</v>
      </c>
      <c r="E31" s="187">
        <f>'OATT Input Data'!$E$280</f>
        <v>29064167</v>
      </c>
      <c r="F31" s="494">
        <v>0</v>
      </c>
      <c r="G31" s="494"/>
      <c r="H31" s="497">
        <f t="shared" si="0"/>
        <v>0</v>
      </c>
      <c r="I31" s="168"/>
      <c r="J31" s="498" t="s">
        <v>68</v>
      </c>
      <c r="K31" s="168"/>
      <c r="L31" s="93"/>
      <c r="M31" s="93"/>
      <c r="N31" s="190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22.5" customHeight="1" x14ac:dyDescent="0.4">
      <c r="A32" s="88">
        <v>15</v>
      </c>
      <c r="C32" s="91" t="s">
        <v>69</v>
      </c>
      <c r="D32" s="478" t="s">
        <v>849</v>
      </c>
      <c r="E32" s="499">
        <f>'OATT Input Data'!$E$285</f>
        <v>19701769</v>
      </c>
      <c r="F32" s="494">
        <v>0</v>
      </c>
      <c r="G32" s="494"/>
      <c r="H32" s="482">
        <f t="shared" si="0"/>
        <v>0</v>
      </c>
      <c r="I32" s="168"/>
      <c r="J32" s="500" t="s">
        <v>393</v>
      </c>
      <c r="K32" s="168"/>
      <c r="L32" s="93"/>
      <c r="M32" s="93"/>
      <c r="N32" s="190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25">
      <c r="A33" s="88">
        <v>16</v>
      </c>
      <c r="C33" s="185" t="s">
        <v>223</v>
      </c>
      <c r="D33" s="483" t="s">
        <v>224</v>
      </c>
      <c r="E33" s="493">
        <f>ROUND(SUM(E29:E32),0)</f>
        <v>125535971</v>
      </c>
      <c r="F33" s="168"/>
      <c r="G33" s="168"/>
      <c r="H33" s="493">
        <f>ROUND(SUM(H29:H32),0)</f>
        <v>8908557</v>
      </c>
      <c r="I33" s="179" t="s">
        <v>70</v>
      </c>
      <c r="J33" s="488">
        <f>IF(H33&gt;0,ROUND(H33/E33,5),0)</f>
        <v>7.0959999999999995E-2</v>
      </c>
      <c r="K33" s="591" t="s">
        <v>323</v>
      </c>
      <c r="L33" s="93"/>
      <c r="M33" s="93"/>
      <c r="N33" s="93"/>
      <c r="O33" s="93"/>
      <c r="P33" s="91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25">
      <c r="A34" s="88"/>
      <c r="C34" s="91"/>
      <c r="D34" s="483"/>
      <c r="E34" s="187"/>
      <c r="F34" s="168"/>
      <c r="G34" s="168"/>
      <c r="H34" s="168"/>
      <c r="I34" s="168"/>
      <c r="J34" s="168"/>
      <c r="K34" s="168"/>
      <c r="L34" s="93"/>
      <c r="M34" s="93" t="s">
        <v>0</v>
      </c>
      <c r="N34" s="93"/>
      <c r="O34" s="93"/>
      <c r="P34" s="91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25">
      <c r="A35" s="88"/>
      <c r="C35" s="185" t="s">
        <v>225</v>
      </c>
      <c r="D35" s="483" t="s">
        <v>226</v>
      </c>
      <c r="E35" s="187"/>
      <c r="F35" s="168"/>
      <c r="G35" s="168"/>
      <c r="H35" s="168"/>
      <c r="I35" s="168"/>
      <c r="J35" s="168"/>
      <c r="K35" s="168"/>
      <c r="L35" s="93"/>
      <c r="M35" s="93"/>
      <c r="N35" s="93"/>
      <c r="O35" s="93"/>
      <c r="P35" s="178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25">
      <c r="A36" s="88"/>
      <c r="C36" s="91"/>
      <c r="D36" s="483"/>
      <c r="E36" s="501" t="s">
        <v>231</v>
      </c>
      <c r="F36" s="168"/>
      <c r="G36" s="168"/>
      <c r="H36" s="173"/>
      <c r="I36" s="502"/>
      <c r="J36" s="503"/>
      <c r="K36" s="92"/>
      <c r="M36" s="93"/>
      <c r="N36" s="93"/>
      <c r="O36" s="93"/>
      <c r="P36" s="180"/>
      <c r="Q36" s="193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25">
      <c r="A37" s="88">
        <v>17</v>
      </c>
      <c r="C37" s="91" t="s">
        <v>71</v>
      </c>
      <c r="D37" s="483" t="s">
        <v>72</v>
      </c>
      <c r="E37" s="493">
        <f>ROUND('OATT Input Data'!E290,0)</f>
        <v>13520553253</v>
      </c>
      <c r="F37" s="168"/>
      <c r="G37" s="92"/>
      <c r="H37" s="504"/>
      <c r="I37" s="505"/>
      <c r="J37" s="87"/>
      <c r="K37" s="168"/>
      <c r="L37" s="191"/>
      <c r="M37" s="93"/>
      <c r="N37" s="93"/>
      <c r="O37" s="93"/>
      <c r="P37" s="168"/>
      <c r="Q37" s="168"/>
      <c r="R37" s="194"/>
      <c r="S37" s="187"/>
      <c r="T37" s="194"/>
      <c r="U37" s="194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25">
      <c r="A38" s="88">
        <v>18</v>
      </c>
      <c r="C38" s="91" t="s">
        <v>73</v>
      </c>
      <c r="D38" s="483" t="s">
        <v>74</v>
      </c>
      <c r="E38" s="187">
        <f>ROUND('OATT Input Data'!E291,0)</f>
        <v>1201022730</v>
      </c>
      <c r="F38" s="168"/>
      <c r="G38" s="92"/>
      <c r="H38" s="92"/>
      <c r="I38" s="173"/>
      <c r="J38" s="92"/>
      <c r="K38" s="502"/>
      <c r="M38" s="93"/>
      <c r="N38" s="93"/>
      <c r="O38" s="93"/>
      <c r="P38" s="178"/>
      <c r="Q38" s="168"/>
      <c r="R38" s="187"/>
      <c r="S38" s="187"/>
      <c r="T38" s="194"/>
      <c r="U38" s="194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ht="18" x14ac:dyDescent="0.4">
      <c r="A39" s="88">
        <v>19</v>
      </c>
      <c r="C39" s="195" t="s">
        <v>75</v>
      </c>
      <c r="D39" s="506" t="s">
        <v>76</v>
      </c>
      <c r="E39" s="482">
        <f>ROUND('OATT Input Data'!E292,0)</f>
        <v>0</v>
      </c>
      <c r="F39" s="168"/>
      <c r="G39" s="168"/>
      <c r="H39" s="168" t="s">
        <v>0</v>
      </c>
      <c r="I39" s="168"/>
      <c r="J39" s="168"/>
      <c r="K39" s="168"/>
      <c r="L39" s="93"/>
      <c r="M39" s="93"/>
      <c r="N39" s="93"/>
      <c r="O39" s="93"/>
      <c r="P39" s="178"/>
      <c r="Q39" s="92"/>
      <c r="R39" s="187"/>
      <c r="S39" s="187"/>
      <c r="T39" s="187"/>
      <c r="U39" s="187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25">
      <c r="A40" s="88">
        <v>20</v>
      </c>
      <c r="C40" s="185" t="s">
        <v>228</v>
      </c>
      <c r="D40" s="483" t="s">
        <v>227</v>
      </c>
      <c r="E40" s="493">
        <f>ROUND(SUM(E37:E39),0)</f>
        <v>14721575983</v>
      </c>
      <c r="F40" s="168"/>
      <c r="G40" s="168"/>
      <c r="H40" s="168"/>
      <c r="I40" s="168"/>
      <c r="J40" s="168"/>
      <c r="K40" s="168"/>
      <c r="L40" s="93"/>
      <c r="M40" s="93"/>
      <c r="N40" s="93"/>
      <c r="O40" s="93"/>
      <c r="P40" s="91"/>
      <c r="R40" s="188"/>
      <c r="S40" s="188"/>
      <c r="T40" s="188"/>
      <c r="U40" s="188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25">
      <c r="A41" s="88">
        <v>21</v>
      </c>
      <c r="C41" s="266" t="s">
        <v>313</v>
      </c>
      <c r="D41" s="483" t="s">
        <v>314</v>
      </c>
      <c r="E41" s="92"/>
      <c r="F41" s="508">
        <f>IF(E40&gt;0,ROUND(E37/E40,5),0)</f>
        <v>0.91842000000000001</v>
      </c>
      <c r="G41" s="509" t="s">
        <v>324</v>
      </c>
      <c r="H41" s="508">
        <f>J33</f>
        <v>7.0959999999999995E-2</v>
      </c>
      <c r="I41" s="168"/>
      <c r="J41" s="508">
        <f>ROUND(H41*F41,5)</f>
        <v>6.5170000000000006E-2</v>
      </c>
      <c r="K41" s="510" t="s">
        <v>315</v>
      </c>
      <c r="L41" s="93"/>
      <c r="M41" s="93"/>
      <c r="N41" s="93"/>
      <c r="O41" s="168"/>
      <c r="P41" s="178"/>
      <c r="Q41" s="92"/>
      <c r="R41" s="187"/>
      <c r="S41" s="187"/>
      <c r="T41" s="187"/>
      <c r="U41" s="187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25">
      <c r="A42" s="88"/>
      <c r="C42" s="266"/>
      <c r="D42" s="483"/>
      <c r="E42" s="92"/>
      <c r="F42" s="508"/>
      <c r="G42" s="511"/>
      <c r="H42" s="508"/>
      <c r="I42" s="168"/>
      <c r="J42" s="508"/>
      <c r="K42" s="510"/>
      <c r="L42" s="93"/>
      <c r="M42" s="93"/>
      <c r="N42" s="93"/>
      <c r="O42" s="168"/>
      <c r="P42" s="178"/>
      <c r="Q42" s="92"/>
      <c r="R42" s="187"/>
      <c r="S42" s="187"/>
      <c r="T42" s="187"/>
      <c r="U42" s="187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25">
      <c r="A43" s="88"/>
      <c r="B43" s="86"/>
      <c r="C43" s="199" t="s">
        <v>316</v>
      </c>
      <c r="D43" s="168"/>
      <c r="E43" s="512" t="s">
        <v>232</v>
      </c>
      <c r="F43" s="168"/>
      <c r="G43" s="168"/>
      <c r="H43" s="168"/>
      <c r="I43" s="168"/>
      <c r="J43" s="92"/>
      <c r="K43" s="168"/>
      <c r="L43" s="93"/>
      <c r="M43" s="93"/>
      <c r="N43" s="93"/>
      <c r="O43" s="168"/>
      <c r="P43" s="179"/>
      <c r="Q43" s="196"/>
      <c r="R43" s="187"/>
      <c r="S43" s="187"/>
      <c r="T43" s="187"/>
      <c r="U43" s="187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25">
      <c r="A44" s="88">
        <v>22</v>
      </c>
      <c r="B44" s="86"/>
      <c r="C44" s="269" t="s">
        <v>77</v>
      </c>
      <c r="D44" s="478" t="s">
        <v>343</v>
      </c>
      <c r="E44" s="493">
        <f>'OATT Input Data'!$E$307</f>
        <v>167245301</v>
      </c>
      <c r="F44" s="168"/>
      <c r="G44" s="92"/>
      <c r="H44" s="168"/>
      <c r="I44" s="168"/>
      <c r="J44" s="92"/>
      <c r="K44" s="168"/>
      <c r="L44" s="93"/>
      <c r="M44" s="93"/>
      <c r="N44" s="93"/>
      <c r="O44" s="197"/>
      <c r="P44" s="168"/>
      <c r="Q44" s="168"/>
      <c r="R44" s="194"/>
      <c r="S44" s="194"/>
      <c r="T44" s="194"/>
      <c r="U44" s="194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25">
      <c r="A45" s="88">
        <v>23</v>
      </c>
      <c r="B45" s="86"/>
      <c r="C45" s="269" t="s">
        <v>126</v>
      </c>
      <c r="D45" s="478" t="s">
        <v>233</v>
      </c>
      <c r="E45" s="497">
        <v>0</v>
      </c>
      <c r="F45" s="168"/>
      <c r="G45" s="92"/>
      <c r="H45" s="168"/>
      <c r="I45" s="168"/>
      <c r="J45" s="92"/>
      <c r="K45" s="168"/>
      <c r="L45" s="93"/>
      <c r="M45" s="93"/>
      <c r="N45" s="93"/>
      <c r="O45" s="168"/>
      <c r="P45" s="198"/>
      <c r="Q45" s="198"/>
      <c r="R45" s="187"/>
      <c r="S45" s="187"/>
      <c r="T45" s="187"/>
      <c r="U45" s="187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25">
      <c r="A46" s="88"/>
      <c r="B46" s="86"/>
      <c r="C46" s="199" t="s">
        <v>129</v>
      </c>
      <c r="D46" s="168"/>
      <c r="E46" s="168"/>
      <c r="F46" s="168"/>
      <c r="G46" s="168"/>
      <c r="H46" s="168"/>
      <c r="I46" s="168"/>
      <c r="J46" s="92"/>
      <c r="K46" s="168"/>
      <c r="L46" s="93"/>
      <c r="M46" s="93"/>
      <c r="N46" s="93"/>
      <c r="O46" s="168"/>
      <c r="P46" s="198"/>
      <c r="Q46" s="198"/>
      <c r="R46" s="194"/>
      <c r="S46" s="194"/>
      <c r="T46" s="194"/>
      <c r="U46" s="194"/>
      <c r="V46" s="200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25">
      <c r="A47" s="88">
        <v>24</v>
      </c>
      <c r="B47" s="86"/>
      <c r="C47" s="269" t="s">
        <v>78</v>
      </c>
      <c r="D47" s="478" t="s">
        <v>344</v>
      </c>
      <c r="E47" s="493">
        <f>'OATT Input Data'!$E$323</f>
        <v>5133136681</v>
      </c>
      <c r="F47" s="168"/>
      <c r="G47" s="92"/>
      <c r="H47" s="168"/>
      <c r="I47" s="168"/>
      <c r="J47" s="92"/>
      <c r="K47" s="168"/>
      <c r="L47" s="93"/>
      <c r="M47" s="93"/>
      <c r="N47" s="93"/>
      <c r="O47" s="168"/>
      <c r="P47" s="168"/>
      <c r="Q47" s="168"/>
      <c r="R47" s="194"/>
      <c r="S47" s="194"/>
      <c r="T47" s="194"/>
      <c r="U47" s="194"/>
      <c r="V47" s="200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25">
      <c r="A48" s="88">
        <v>25</v>
      </c>
      <c r="B48" s="86"/>
      <c r="C48" s="269" t="s">
        <v>318</v>
      </c>
      <c r="D48" s="478" t="s">
        <v>345</v>
      </c>
      <c r="E48" s="514">
        <f>-E54</f>
        <v>0</v>
      </c>
      <c r="F48" s="168"/>
      <c r="G48" s="92"/>
      <c r="H48" s="168"/>
      <c r="I48" s="168"/>
      <c r="J48" s="92"/>
      <c r="K48" s="168"/>
      <c r="L48" s="93"/>
      <c r="M48" s="93"/>
      <c r="N48" s="93"/>
      <c r="O48" s="168"/>
      <c r="P48" s="201"/>
      <c r="Q48" s="173"/>
      <c r="R48" s="194"/>
      <c r="S48" s="194"/>
      <c r="T48" s="194"/>
      <c r="U48" s="194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ht="18" x14ac:dyDescent="0.4">
      <c r="A49" s="88">
        <v>26</v>
      </c>
      <c r="B49" s="86"/>
      <c r="C49" s="269" t="s">
        <v>234</v>
      </c>
      <c r="D49" s="483" t="s">
        <v>235</v>
      </c>
      <c r="E49" s="486">
        <f>'OATT Input Data'!$E$334</f>
        <v>0</v>
      </c>
      <c r="F49" s="168"/>
      <c r="G49" s="92"/>
      <c r="H49" s="168"/>
      <c r="I49" s="168"/>
      <c r="J49" s="92"/>
      <c r="K49" s="168"/>
      <c r="L49" s="93"/>
      <c r="M49" s="93"/>
      <c r="N49" s="93"/>
      <c r="O49" s="93"/>
      <c r="P49" s="191"/>
      <c r="Q49" s="202"/>
      <c r="R49" s="194"/>
      <c r="S49" s="194"/>
      <c r="T49" s="194"/>
      <c r="U49" s="194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x14ac:dyDescent="0.25">
      <c r="A50" s="88">
        <v>27</v>
      </c>
      <c r="B50" s="86"/>
      <c r="C50" s="270" t="s">
        <v>346</v>
      </c>
      <c r="D50" s="516" t="s">
        <v>325</v>
      </c>
      <c r="E50" s="493">
        <f>ROUND(SUM(E47:E49),0)</f>
        <v>5133136681</v>
      </c>
      <c r="F50" s="113"/>
      <c r="G50" s="92"/>
      <c r="H50" s="517"/>
      <c r="I50" s="113"/>
      <c r="J50" s="92"/>
      <c r="K50" s="168"/>
      <c r="L50" s="93"/>
      <c r="M50" s="93"/>
      <c r="N50" s="93"/>
      <c r="O50" s="93"/>
      <c r="P50" s="168"/>
      <c r="Q50" s="168"/>
      <c r="R50" s="194"/>
      <c r="S50" s="194"/>
      <c r="T50" s="187"/>
      <c r="U50" s="187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x14ac:dyDescent="0.25">
      <c r="A51" s="88"/>
      <c r="B51" s="86"/>
      <c r="C51" s="86"/>
      <c r="D51" s="168"/>
      <c r="E51" s="113"/>
      <c r="F51" s="113"/>
      <c r="G51" s="518"/>
      <c r="H51" s="87" t="s">
        <v>237</v>
      </c>
      <c r="I51" s="113"/>
      <c r="J51" s="493"/>
      <c r="K51" s="168"/>
      <c r="L51" s="93"/>
      <c r="M51" s="93"/>
      <c r="N51" s="93"/>
      <c r="O51" s="93"/>
      <c r="P51" s="168"/>
      <c r="Q51" s="168"/>
      <c r="R51" s="194"/>
      <c r="S51" s="194"/>
      <c r="T51" s="187"/>
      <c r="U51" s="187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25">
      <c r="A52" s="88"/>
      <c r="C52" s="91" t="s">
        <v>347</v>
      </c>
      <c r="D52" s="168"/>
      <c r="E52" s="519" t="s">
        <v>327</v>
      </c>
      <c r="F52" s="520" t="s">
        <v>79</v>
      </c>
      <c r="G52" s="168"/>
      <c r="H52" s="519" t="s">
        <v>138</v>
      </c>
      <c r="I52" s="168"/>
      <c r="J52" s="520" t="s">
        <v>80</v>
      </c>
      <c r="K52" s="168"/>
      <c r="L52" s="93"/>
      <c r="M52" s="93"/>
      <c r="N52" s="93"/>
      <c r="O52" s="168"/>
      <c r="P52" s="179"/>
      <c r="Q52" s="196"/>
      <c r="R52" s="187"/>
      <c r="S52" s="187"/>
      <c r="T52" s="187"/>
      <c r="U52" s="187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x14ac:dyDescent="0.25">
      <c r="A53" s="88">
        <v>28</v>
      </c>
      <c r="C53" s="199" t="s">
        <v>282</v>
      </c>
      <c r="D53" s="481" t="s">
        <v>402</v>
      </c>
      <c r="E53" s="493">
        <f>'OATT Input Data'!$E$342</f>
        <v>4153999344</v>
      </c>
      <c r="F53" s="521">
        <f>ROUND(E53/E56,4)</f>
        <v>0.44729999999999998</v>
      </c>
      <c r="G53" s="522"/>
      <c r="H53" s="522">
        <f>IF(E53&gt;0.01,ROUND(E44/E53,4),0)</f>
        <v>4.0300000000000002E-2</v>
      </c>
      <c r="I53" s="92"/>
      <c r="J53" s="523">
        <f>ROUND(F53*H53,4)</f>
        <v>1.7999999999999999E-2</v>
      </c>
      <c r="K53" s="591" t="s">
        <v>326</v>
      </c>
      <c r="M53" s="93"/>
      <c r="N53" s="93"/>
      <c r="O53" s="168"/>
      <c r="P53" s="179"/>
      <c r="Q53" s="196"/>
      <c r="R53" s="187"/>
      <c r="S53" s="187"/>
      <c r="T53" s="187"/>
      <c r="U53" s="187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x14ac:dyDescent="0.25">
      <c r="A54" s="88">
        <v>29</v>
      </c>
      <c r="C54" s="199" t="s">
        <v>283</v>
      </c>
      <c r="D54" s="124" t="s">
        <v>236</v>
      </c>
      <c r="E54" s="497">
        <v>0</v>
      </c>
      <c r="F54" s="521">
        <f>ROUND(E54/E56,4)+0.000001</f>
        <v>9.9999999999999995E-7</v>
      </c>
      <c r="G54" s="522"/>
      <c r="H54" s="522">
        <f>IF(E54&gt;0.01,E45/E54,0.00001)</f>
        <v>1.0000000000000001E-5</v>
      </c>
      <c r="I54" s="92"/>
      <c r="J54" s="523">
        <f>F54*H54</f>
        <v>1.0000000000000001E-11</v>
      </c>
      <c r="K54" s="168"/>
      <c r="M54" s="93"/>
      <c r="N54" s="93"/>
      <c r="O54" s="168"/>
      <c r="P54" s="179"/>
      <c r="Q54" s="196"/>
      <c r="R54" s="187"/>
      <c r="S54" s="187"/>
      <c r="T54" s="187"/>
      <c r="U54" s="187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x14ac:dyDescent="0.25">
      <c r="A55" s="88">
        <v>30</v>
      </c>
      <c r="C55" s="199" t="s">
        <v>284</v>
      </c>
      <c r="D55" s="481" t="s">
        <v>348</v>
      </c>
      <c r="E55" s="524">
        <f>E50</f>
        <v>5133136681</v>
      </c>
      <c r="F55" s="521">
        <f>ROUND(E55/E56,4)</f>
        <v>0.55269999999999997</v>
      </c>
      <c r="G55" s="522"/>
      <c r="H55" s="522">
        <v>0.10879999999999999</v>
      </c>
      <c r="I55" s="92"/>
      <c r="J55" s="525">
        <f t="shared" ref="J55" si="1">ROUND(F55*H55,4)</f>
        <v>6.0100000000000001E-2</v>
      </c>
      <c r="K55" s="168"/>
      <c r="M55" s="93"/>
      <c r="N55" s="93"/>
      <c r="O55" s="197"/>
      <c r="P55" s="198"/>
      <c r="Q55" s="198"/>
      <c r="R55" s="187"/>
      <c r="S55" s="187"/>
      <c r="T55" s="187"/>
      <c r="U55" s="187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x14ac:dyDescent="0.25">
      <c r="A56" s="88">
        <v>31</v>
      </c>
      <c r="C56" s="185" t="s">
        <v>285</v>
      </c>
      <c r="D56" s="481" t="s">
        <v>328</v>
      </c>
      <c r="E56" s="493">
        <f>ROUND(SUM(E53:E55),0)</f>
        <v>9287136025</v>
      </c>
      <c r="F56" s="168" t="s">
        <v>0</v>
      </c>
      <c r="G56" s="168"/>
      <c r="H56" s="168"/>
      <c r="I56" s="168"/>
      <c r="J56" s="523">
        <f>SUM(J53:J55)</f>
        <v>7.8100000010000004E-2</v>
      </c>
      <c r="K56" s="591" t="s">
        <v>317</v>
      </c>
      <c r="M56" s="93"/>
      <c r="N56" s="93"/>
      <c r="O56" s="197"/>
      <c r="P56" s="198"/>
      <c r="Q56" s="198"/>
      <c r="R56" s="187"/>
      <c r="S56" s="187"/>
      <c r="T56" s="187"/>
      <c r="U56" s="187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x14ac:dyDescent="0.25">
      <c r="A57" s="88"/>
      <c r="D57" s="92"/>
      <c r="E57" s="92"/>
      <c r="F57" s="92"/>
      <c r="G57" s="92"/>
      <c r="H57" s="92"/>
      <c r="I57" s="92"/>
      <c r="J57" s="92"/>
      <c r="K57" s="92"/>
      <c r="L57" s="93"/>
      <c r="M57" s="93"/>
      <c r="N57" s="93"/>
      <c r="O57" s="197"/>
      <c r="P57" s="168"/>
      <c r="Q57" s="168"/>
      <c r="R57" s="194"/>
      <c r="S57" s="187"/>
      <c r="T57" s="194"/>
      <c r="U57" s="194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x14ac:dyDescent="0.25">
      <c r="A58" s="88"/>
      <c r="C58" s="85" t="s">
        <v>81</v>
      </c>
      <c r="D58" s="113"/>
      <c r="E58" s="113"/>
      <c r="F58" s="113"/>
      <c r="G58" s="113"/>
      <c r="H58" s="113"/>
      <c r="I58" s="113"/>
      <c r="J58" s="113"/>
      <c r="K58" s="113"/>
      <c r="L58" s="86"/>
      <c r="M58" s="93"/>
      <c r="N58" s="183"/>
      <c r="O58" s="92"/>
      <c r="P58" s="198"/>
      <c r="Q58" s="203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x14ac:dyDescent="0.25">
      <c r="A59" s="88"/>
      <c r="C59" s="85" t="s">
        <v>83</v>
      </c>
      <c r="D59" s="113"/>
      <c r="E59" s="92"/>
      <c r="F59" s="92"/>
      <c r="G59" s="113"/>
      <c r="H59" s="92" t="s">
        <v>0</v>
      </c>
      <c r="I59" s="518"/>
      <c r="J59" s="520" t="s">
        <v>82</v>
      </c>
      <c r="K59" s="1"/>
      <c r="O59" s="168"/>
      <c r="P59" s="201"/>
      <c r="Q59" s="173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x14ac:dyDescent="0.25">
      <c r="A60" s="88">
        <v>32</v>
      </c>
      <c r="C60" s="204" t="s">
        <v>403</v>
      </c>
      <c r="D60" s="113"/>
      <c r="E60" s="92"/>
      <c r="F60" s="516" t="s">
        <v>319</v>
      </c>
      <c r="G60" s="113"/>
      <c r="H60" s="92"/>
      <c r="I60" s="92"/>
      <c r="J60" s="527">
        <v>0</v>
      </c>
      <c r="K60" s="592"/>
      <c r="O60" s="168"/>
      <c r="P60" s="178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ht="18" x14ac:dyDescent="0.4">
      <c r="A61" s="88">
        <v>33</v>
      </c>
      <c r="C61" s="282" t="s">
        <v>404</v>
      </c>
      <c r="D61" s="529"/>
      <c r="E61" s="530"/>
      <c r="F61" s="516" t="s">
        <v>330</v>
      </c>
      <c r="G61" s="531"/>
      <c r="H61" s="92"/>
      <c r="I61" s="113"/>
      <c r="J61" s="532">
        <f>+J60</f>
        <v>0</v>
      </c>
      <c r="K61" s="593"/>
      <c r="O61" s="168"/>
      <c r="P61" s="178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x14ac:dyDescent="0.25">
      <c r="A62" s="88">
        <v>34</v>
      </c>
      <c r="C62" s="204" t="s">
        <v>405</v>
      </c>
      <c r="D62" s="109"/>
      <c r="E62" s="92"/>
      <c r="F62" s="533" t="s">
        <v>329</v>
      </c>
      <c r="G62" s="531"/>
      <c r="H62" s="92"/>
      <c r="I62" s="113"/>
      <c r="J62" s="534">
        <f>+J60-J61</f>
        <v>0</v>
      </c>
      <c r="K62" s="592"/>
      <c r="O62" s="93"/>
      <c r="P62" s="91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x14ac:dyDescent="0.25">
      <c r="A63" s="88"/>
      <c r="C63" s="204" t="s">
        <v>0</v>
      </c>
      <c r="D63" s="109"/>
      <c r="E63" s="92"/>
      <c r="F63" s="113"/>
      <c r="G63" s="113"/>
      <c r="H63" s="535"/>
      <c r="I63" s="113"/>
      <c r="J63" s="60" t="s">
        <v>0</v>
      </c>
      <c r="K63" s="1"/>
      <c r="L63" s="205"/>
      <c r="M63" s="93"/>
      <c r="N63" s="183"/>
      <c r="O63" s="93"/>
      <c r="P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x14ac:dyDescent="0.25">
      <c r="A64" s="88">
        <v>35</v>
      </c>
      <c r="C64" s="199" t="s">
        <v>241</v>
      </c>
      <c r="D64" s="109"/>
      <c r="E64" s="92"/>
      <c r="F64" s="516" t="s">
        <v>239</v>
      </c>
      <c r="G64" s="113"/>
      <c r="H64" s="536"/>
      <c r="I64" s="113"/>
      <c r="J64" s="537">
        <v>0</v>
      </c>
      <c r="K64" s="1"/>
      <c r="L64" s="205"/>
      <c r="M64" s="93"/>
      <c r="N64" s="183"/>
      <c r="O64" s="93"/>
      <c r="P64" s="91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50" x14ac:dyDescent="0.25">
      <c r="C65" s="199" t="s">
        <v>240</v>
      </c>
      <c r="D65" s="113"/>
      <c r="E65" s="518" t="s">
        <v>84</v>
      </c>
      <c r="F65" s="516" t="s">
        <v>406</v>
      </c>
      <c r="G65" s="113"/>
      <c r="H65" s="113"/>
      <c r="I65" s="113"/>
      <c r="J65" s="92"/>
      <c r="K65" s="92"/>
      <c r="L65" s="206"/>
      <c r="M65" s="93"/>
      <c r="N65" s="183"/>
      <c r="O65" s="90"/>
      <c r="P65" s="183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50" x14ac:dyDescent="0.25">
      <c r="A66" s="88">
        <v>36</v>
      </c>
      <c r="C66" s="85" t="s">
        <v>85</v>
      </c>
      <c r="D66" s="168"/>
      <c r="E66" s="168"/>
      <c r="F66" s="168"/>
      <c r="G66" s="168"/>
      <c r="H66" s="168"/>
      <c r="I66" s="168"/>
      <c r="J66" s="538">
        <f>'OATT Input Data'!$E$350</f>
        <v>39591884</v>
      </c>
      <c r="K66" s="9"/>
      <c r="L66" s="206"/>
      <c r="M66" s="93"/>
      <c r="N66" s="183"/>
      <c r="O66" s="90"/>
      <c r="P66" s="207"/>
      <c r="Q66" s="207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50" ht="18" x14ac:dyDescent="0.4">
      <c r="A67" s="88">
        <v>37</v>
      </c>
      <c r="C67" s="256" t="s">
        <v>86</v>
      </c>
      <c r="D67" s="541"/>
      <c r="E67" s="541"/>
      <c r="F67" s="531"/>
      <c r="G67" s="531"/>
      <c r="H67" s="113"/>
      <c r="I67" s="113"/>
      <c r="J67" s="542">
        <f>'OATT Input Data'!$E$400</f>
        <v>33588129</v>
      </c>
      <c r="K67" s="92"/>
      <c r="L67" s="208"/>
      <c r="M67" s="86"/>
      <c r="N67" s="88"/>
      <c r="O67" s="90"/>
      <c r="P67" s="209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50" x14ac:dyDescent="0.25">
      <c r="A68" s="88">
        <v>38</v>
      </c>
      <c r="C68" s="204" t="s">
        <v>238</v>
      </c>
      <c r="D68" s="87"/>
      <c r="E68" s="168"/>
      <c r="F68" s="533" t="s">
        <v>349</v>
      </c>
      <c r="G68" s="168"/>
      <c r="H68" s="168"/>
      <c r="I68" s="113"/>
      <c r="J68" s="145">
        <f>+J66-J67</f>
        <v>6003755</v>
      </c>
      <c r="K68" s="9"/>
      <c r="L68" s="9"/>
      <c r="M68" s="86"/>
      <c r="N68" s="88"/>
      <c r="O68" s="90"/>
      <c r="P68" s="209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50" x14ac:dyDescent="0.25">
      <c r="C69" s="204"/>
      <c r="K69" s="92"/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:50" x14ac:dyDescent="0.25">
      <c r="K70" s="92"/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x14ac:dyDescent="0.25">
      <c r="K71" s="92"/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:50" x14ac:dyDescent="0.25">
      <c r="K72" s="92"/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:50" x14ac:dyDescent="0.25">
      <c r="K73" s="92"/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x14ac:dyDescent="0.25">
      <c r="K74" s="92"/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:50" x14ac:dyDescent="0.25">
      <c r="K75" s="92"/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:50" x14ac:dyDescent="0.25">
      <c r="K76" s="92"/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:50" x14ac:dyDescent="0.25">
      <c r="K77" s="92"/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:50" x14ac:dyDescent="0.25">
      <c r="K78" s="92"/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:50" x14ac:dyDescent="0.25">
      <c r="K79" s="92"/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:50" x14ac:dyDescent="0.25">
      <c r="K80" s="92"/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1:50" x14ac:dyDescent="0.25">
      <c r="K81" s="92"/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1:50" x14ac:dyDescent="0.25">
      <c r="K82" s="92"/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1:50" x14ac:dyDescent="0.25">
      <c r="K83" s="92"/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1:50" x14ac:dyDescent="0.25">
      <c r="K84" s="92"/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1:50" x14ac:dyDescent="0.25">
      <c r="K85" s="92"/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1:50" x14ac:dyDescent="0.25">
      <c r="K86" s="92"/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1:50" x14ac:dyDescent="0.25">
      <c r="K87" s="92"/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1:50" x14ac:dyDescent="0.25">
      <c r="K88" s="92"/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1:50" x14ac:dyDescent="0.25">
      <c r="K89" s="92"/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1:50" x14ac:dyDescent="0.25">
      <c r="K90" s="92"/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1:50" x14ac:dyDescent="0.25">
      <c r="K91" s="92"/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1:50" x14ac:dyDescent="0.25">
      <c r="K92" s="92"/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1:50" x14ac:dyDescent="0.25">
      <c r="K93" s="92"/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1:50" x14ac:dyDescent="0.25">
      <c r="K94" s="92"/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1:50" x14ac:dyDescent="0.25">
      <c r="K95" s="92"/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1:50" x14ac:dyDescent="0.25">
      <c r="K96" s="92"/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1:50" x14ac:dyDescent="0.25">
      <c r="K97" s="92"/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1:50" x14ac:dyDescent="0.25">
      <c r="K98" s="92"/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1:50" x14ac:dyDescent="0.25">
      <c r="K99" s="92"/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1:50" x14ac:dyDescent="0.25">
      <c r="K100" s="92"/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1:50" x14ac:dyDescent="0.25">
      <c r="K101" s="92"/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1:50" x14ac:dyDescent="0.25">
      <c r="K102" s="92"/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1:50" x14ac:dyDescent="0.25">
      <c r="K103" s="92"/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1:50" x14ac:dyDescent="0.25">
      <c r="K104" s="92"/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1:50" x14ac:dyDescent="0.25">
      <c r="K105" s="92"/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1:50" x14ac:dyDescent="0.25">
      <c r="K106" s="92"/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1:50" x14ac:dyDescent="0.25">
      <c r="K107" s="92"/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1:50" x14ac:dyDescent="0.25">
      <c r="K108" s="92"/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1:50" x14ac:dyDescent="0.25">
      <c r="K109" s="92"/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1:50" x14ac:dyDescent="0.25">
      <c r="K110" s="92"/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1:50" x14ac:dyDescent="0.25">
      <c r="K111" s="92"/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1:50" x14ac:dyDescent="0.25">
      <c r="K112" s="92"/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1:50" x14ac:dyDescent="0.25">
      <c r="K113" s="92"/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1:50" x14ac:dyDescent="0.25">
      <c r="K114" s="92"/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1:50" x14ac:dyDescent="0.25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1:50" x14ac:dyDescent="0.25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1:50" x14ac:dyDescent="0.25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1:50" x14ac:dyDescent="0.25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1:50" x14ac:dyDescent="0.25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1:50" x14ac:dyDescent="0.25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1:50" x14ac:dyDescent="0.25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1:50" x14ac:dyDescent="0.25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1:50" x14ac:dyDescent="0.25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1:50" x14ac:dyDescent="0.25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1:50" x14ac:dyDescent="0.25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1:50" x14ac:dyDescent="0.25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1:50" x14ac:dyDescent="0.25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1:50" x14ac:dyDescent="0.25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25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25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25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25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25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25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25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25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25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25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25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25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25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25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25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25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25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25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25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25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25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25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25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25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25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25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25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25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25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25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25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25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25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25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25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25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25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25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25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25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25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25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25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25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25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25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25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25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7:50" x14ac:dyDescent="0.25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7:50" x14ac:dyDescent="0.25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7:50" x14ac:dyDescent="0.25"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7:50" x14ac:dyDescent="0.25">
      <c r="Q180" s="122"/>
      <c r="R180" s="122"/>
      <c r="S180" s="12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7:50" x14ac:dyDescent="0.25">
      <c r="Q181" s="122"/>
      <c r="R181" s="122"/>
      <c r="S181" s="12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7:50" x14ac:dyDescent="0.25">
      <c r="Q182" s="122"/>
      <c r="R182" s="122"/>
      <c r="S182" s="12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7:50" x14ac:dyDescent="0.25">
      <c r="Q183" s="122"/>
      <c r="R183" s="122"/>
      <c r="S183" s="12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7:50" x14ac:dyDescent="0.25">
      <c r="Q184" s="122"/>
      <c r="R184" s="122"/>
      <c r="S184" s="12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7:50" x14ac:dyDescent="0.25">
      <c r="Q185" s="122"/>
      <c r="R185" s="122"/>
      <c r="S185" s="12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7:50" x14ac:dyDescent="0.25">
      <c r="Q186" s="122"/>
      <c r="R186" s="122"/>
      <c r="S186" s="12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7:50" x14ac:dyDescent="0.25">
      <c r="Q187" s="122"/>
      <c r="R187" s="122"/>
      <c r="S187" s="12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7:50" x14ac:dyDescent="0.25">
      <c r="Q188" s="122"/>
      <c r="R188" s="122"/>
      <c r="S188" s="12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7:50" x14ac:dyDescent="0.25">
      <c r="Q189" s="122"/>
      <c r="R189" s="122"/>
      <c r="S189" s="12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7:50" x14ac:dyDescent="0.25">
      <c r="Q190" s="122"/>
      <c r="R190" s="122"/>
      <c r="S190" s="12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7:50" x14ac:dyDescent="0.25">
      <c r="Q191" s="122"/>
      <c r="R191" s="122"/>
      <c r="S191" s="12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7:50" x14ac:dyDescent="0.25">
      <c r="Q192" s="122"/>
      <c r="R192" s="122"/>
      <c r="S192" s="12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25">
      <c r="Q193" s="122"/>
      <c r="R193" s="122"/>
      <c r="S193" s="12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25">
      <c r="Q194" s="122"/>
      <c r="R194" s="122"/>
      <c r="S194" s="12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25">
      <c r="Q195" s="122"/>
      <c r="R195" s="122"/>
      <c r="S195" s="12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25">
      <c r="Q196" s="122"/>
      <c r="R196" s="122"/>
      <c r="S196" s="12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25">
      <c r="Q197" s="122"/>
      <c r="R197" s="122"/>
      <c r="S197" s="12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25">
      <c r="Q198" s="122"/>
      <c r="R198" s="122"/>
      <c r="S198" s="12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25">
      <c r="Q199" s="122"/>
      <c r="R199" s="122"/>
      <c r="S199" s="12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25">
      <c r="Q200" s="122"/>
      <c r="R200" s="122"/>
      <c r="S200" s="12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25">
      <c r="Q201" s="122"/>
      <c r="R201" s="122"/>
      <c r="S201" s="12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25">
      <c r="Q202" s="122"/>
      <c r="R202" s="122"/>
      <c r="S202" s="12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25">
      <c r="A203" s="92"/>
      <c r="B203" s="92"/>
      <c r="Q203" s="122"/>
      <c r="R203" s="122"/>
      <c r="S203" s="12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25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25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25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25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25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25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25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25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25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25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25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25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25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25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25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25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25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25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25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25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25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25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25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25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25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25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25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25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25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25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25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25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25">
      <c r="A236" s="92"/>
      <c r="B236" s="92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25">
      <c r="A237" s="92"/>
      <c r="B237" s="92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25">
      <c r="A238" s="92"/>
      <c r="B238" s="92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25">
      <c r="A239" s="92"/>
      <c r="B239" s="92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25">
      <c r="A240" s="92"/>
      <c r="B240" s="92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25">
      <c r="A241" s="92"/>
      <c r="B241" s="92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25">
      <c r="A242" s="92"/>
      <c r="B242" s="92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25">
      <c r="A243" s="92"/>
      <c r="B243" s="92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25">
      <c r="A244" s="92"/>
      <c r="B244" s="92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25">
      <c r="A245" s="92"/>
      <c r="B245" s="92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25">
      <c r="A246" s="92"/>
      <c r="B246" s="92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25">
      <c r="A247" s="92"/>
      <c r="B247" s="92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25">
      <c r="A248" s="92"/>
      <c r="B248" s="92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25">
      <c r="A249" s="92"/>
      <c r="B249" s="92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25">
      <c r="A250" s="92"/>
      <c r="B250" s="92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25">
      <c r="A251" s="92"/>
      <c r="B251" s="92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25">
      <c r="A252" s="92"/>
      <c r="B252" s="92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25">
      <c r="A253" s="92"/>
      <c r="B253" s="92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25">
      <c r="A254" s="92"/>
      <c r="B254" s="92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25">
      <c r="A255" s="92"/>
      <c r="B255" s="92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25">
      <c r="A256" s="92"/>
      <c r="B256" s="92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25">
      <c r="A257" s="92"/>
      <c r="B257" s="92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25">
      <c r="A258" s="92"/>
      <c r="B258" s="92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25">
      <c r="A259" s="92"/>
      <c r="B259" s="92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124"/>
      <c r="Q260" s="124"/>
      <c r="R260" s="124"/>
      <c r="S260" s="124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</row>
    <row r="348" spans="1:50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</row>
    <row r="349" spans="1:50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</row>
    <row r="350" spans="1:50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</row>
    <row r="351" spans="1:50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</row>
    <row r="352" spans="1:50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</row>
    <row r="353" spans="1:50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</row>
    <row r="354" spans="1:50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</row>
    <row r="355" spans="1:50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</row>
    <row r="356" spans="1:50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</row>
    <row r="357" spans="1:50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</row>
    <row r="358" spans="1:50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</row>
    <row r="359" spans="1:50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</row>
    <row r="360" spans="1:50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</row>
    <row r="361" spans="1:50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</row>
    <row r="362" spans="1:50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</row>
    <row r="363" spans="1:50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</row>
    <row r="364" spans="1:50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</row>
    <row r="365" spans="1:50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</row>
    <row r="366" spans="1:50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</row>
    <row r="367" spans="1:50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</row>
    <row r="368" spans="1:50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</row>
    <row r="369" spans="1:50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</row>
    <row r="370" spans="1:50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</row>
    <row r="371" spans="1:50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AB371" s="92"/>
      <c r="AD371" s="92"/>
      <c r="AE371" s="92"/>
    </row>
    <row r="372" spans="1:50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W372" s="92"/>
      <c r="X372" s="92"/>
      <c r="Y372" s="92"/>
    </row>
    <row r="373" spans="1:50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W373" s="92"/>
      <c r="Y373" s="92"/>
    </row>
    <row r="374" spans="1:50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Y374" s="92"/>
    </row>
    <row r="375" spans="1:50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50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50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50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50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50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50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50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50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50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</sheetData>
  <sheetProtection algorithmName="SHA-512" hashValue="on7ySjTr8jkI+ozDM2cnH6BLsXO+H+6r+XVNfQCoDsc0DsOjehc2oxj7EzBuPbNav0Of+UH95zDwiW+pfEpjbQ==" saltValue="0ihhwv57OZAynmFQX5OyEQ==" spinCount="100000" sheet="1" objects="1" scenarios="1"/>
  <printOptions horizontalCentered="1"/>
  <pageMargins left="0.75" right="0.75" top="0.53" bottom="0.5" header="0.5" footer="0.5"/>
  <pageSetup scale="51" orientation="landscape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X606"/>
  <sheetViews>
    <sheetView topLeftCell="A19" workbookViewId="0">
      <selection activeCell="E36" sqref="E36"/>
    </sheetView>
  </sheetViews>
  <sheetFormatPr defaultColWidth="9.33203125" defaultRowHeight="15.75" x14ac:dyDescent="0.25"/>
  <cols>
    <col min="1" max="1" width="9" style="84" customWidth="1"/>
    <col min="2" max="2" width="2.1640625" style="84" customWidth="1"/>
    <col min="3" max="3" width="40.1640625" style="84" customWidth="1"/>
    <col min="4" max="4" width="31.1640625" style="84" customWidth="1"/>
    <col min="5" max="5" width="23" style="84" customWidth="1"/>
    <col min="6" max="6" width="15" style="84" customWidth="1"/>
    <col min="7" max="7" width="20.6640625" style="84" customWidth="1"/>
    <col min="8" max="8" width="18.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83203125" style="84" customWidth="1"/>
    <col min="14" max="14" width="41" style="84" customWidth="1"/>
    <col min="15" max="15" width="48.83203125" style="84" customWidth="1"/>
    <col min="16" max="16" width="23.5" style="84" customWidth="1"/>
    <col min="17" max="17" width="20.5" style="84" customWidth="1"/>
    <col min="18" max="18" width="20.83203125" style="84" customWidth="1"/>
    <col min="19" max="19" width="23.6640625" style="84" bestFit="1" customWidth="1"/>
    <col min="20" max="20" width="22.1640625" style="84" bestFit="1" customWidth="1"/>
    <col min="21" max="21" width="23" style="84" bestFit="1" customWidth="1"/>
    <col min="22" max="22" width="19.83203125" style="84" customWidth="1"/>
    <col min="23" max="23" width="20.33203125" style="84" customWidth="1"/>
    <col min="24" max="24" width="23.5" style="84" bestFit="1" customWidth="1"/>
    <col min="25" max="25" width="21.6640625" style="84" bestFit="1" customWidth="1"/>
    <col min="26" max="26" width="16.1640625" style="84" customWidth="1"/>
    <col min="27" max="28" width="23.5" style="84" bestFit="1" customWidth="1"/>
    <col min="29" max="29" width="21.33203125" style="84" bestFit="1" customWidth="1"/>
    <col min="30" max="30" width="23.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38"/>
      <c r="N1" s="90"/>
      <c r="O1" s="90"/>
      <c r="P1" s="91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25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89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25">
      <c r="A3" s="249" t="s">
        <v>249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91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25">
      <c r="A4" s="1"/>
      <c r="B4" s="1"/>
      <c r="C4" s="7"/>
      <c r="D4" s="2"/>
      <c r="E4" s="3"/>
      <c r="F4" s="2"/>
      <c r="G4" s="2"/>
      <c r="H4" s="2"/>
      <c r="I4" s="4"/>
      <c r="J4" s="4"/>
      <c r="K4" s="4"/>
      <c r="L4" s="4"/>
      <c r="M4" s="248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25">
      <c r="A5" s="1" t="s">
        <v>186</v>
      </c>
      <c r="B5" s="1"/>
      <c r="C5" s="2"/>
      <c r="D5" s="2"/>
      <c r="E5" s="8"/>
      <c r="F5" s="2"/>
      <c r="G5" s="2"/>
      <c r="H5" s="2"/>
      <c r="I5" s="4"/>
      <c r="J5" s="1"/>
      <c r="K5" s="4"/>
      <c r="L5" s="271" t="str">
        <f>"For the 12 months ended "&amp;TEXT('OATT Input Data'!B4,"MM/DD/YYYY")</f>
        <v>For the 12 months ended 12/31/2018</v>
      </c>
      <c r="M5" s="90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25">
      <c r="A6" s="272" t="s">
        <v>187</v>
      </c>
      <c r="B6" s="1"/>
      <c r="C6" s="2"/>
      <c r="D6" s="9"/>
      <c r="E6" s="1"/>
      <c r="F6" s="9"/>
      <c r="G6" s="9"/>
      <c r="H6" s="9"/>
      <c r="I6" s="2"/>
      <c r="J6" s="2"/>
      <c r="K6" s="2"/>
      <c r="L6" s="238" t="s">
        <v>381</v>
      </c>
      <c r="M6" s="90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86"/>
      <c r="N7" s="88"/>
      <c r="O7" s="90"/>
      <c r="P7" s="90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25">
      <c r="A8" s="275" t="s">
        <v>130</v>
      </c>
      <c r="B8" s="250"/>
      <c r="C8" s="251"/>
      <c r="D8" s="251"/>
      <c r="E8" s="250"/>
      <c r="F8" s="251"/>
      <c r="G8" s="251"/>
      <c r="H8" s="251"/>
      <c r="I8" s="251"/>
      <c r="J8" s="251"/>
      <c r="K8" s="251"/>
      <c r="L8" s="251"/>
      <c r="M8" s="86"/>
      <c r="N8" s="88"/>
      <c r="O8" s="90"/>
      <c r="P8" s="90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25">
      <c r="A9" s="88"/>
      <c r="B9" s="86"/>
      <c r="C9" s="94"/>
      <c r="D9" s="88"/>
      <c r="E9" s="93"/>
      <c r="F9" s="93"/>
      <c r="G9" s="93"/>
      <c r="H9" s="93"/>
      <c r="I9" s="86"/>
      <c r="J9" s="95"/>
      <c r="K9" s="1"/>
      <c r="L9" s="9"/>
      <c r="M9" s="86"/>
      <c r="N9" s="88"/>
      <c r="O9" s="90"/>
      <c r="P9" s="90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8.75" x14ac:dyDescent="0.3">
      <c r="A10" s="96"/>
      <c r="B10" s="97"/>
      <c r="C10" s="305" t="s">
        <v>426</v>
      </c>
      <c r="D10" s="96"/>
      <c r="E10" s="99"/>
      <c r="F10" s="99"/>
      <c r="G10" s="99"/>
      <c r="H10" s="99"/>
      <c r="I10" s="97"/>
      <c r="J10" s="99"/>
      <c r="K10" s="99"/>
      <c r="L10" s="99"/>
      <c r="M10" s="99"/>
      <c r="N10" s="99"/>
      <c r="O10" s="99"/>
      <c r="P10" s="90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8.75" x14ac:dyDescent="0.3">
      <c r="A11" s="96"/>
      <c r="B11" s="97"/>
      <c r="C11" s="98" t="s">
        <v>87</v>
      </c>
      <c r="D11" s="96"/>
      <c r="E11" s="99"/>
      <c r="F11" s="99"/>
      <c r="G11" s="99"/>
      <c r="H11" s="99"/>
      <c r="I11" s="97"/>
      <c r="J11" s="99"/>
      <c r="K11" s="99"/>
      <c r="L11" s="99"/>
      <c r="M11" s="99"/>
      <c r="N11" s="99"/>
      <c r="O11" s="99"/>
      <c r="P11" s="90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18.75" x14ac:dyDescent="0.3">
      <c r="A12" s="96" t="s">
        <v>88</v>
      </c>
      <c r="B12" s="97"/>
      <c r="C12" s="98"/>
      <c r="D12" s="97"/>
      <c r="E12" s="99"/>
      <c r="F12" s="99"/>
      <c r="G12" s="99"/>
      <c r="H12" s="99"/>
      <c r="I12" s="97"/>
      <c r="J12" s="99"/>
      <c r="K12" s="99"/>
      <c r="L12" s="99"/>
      <c r="M12" s="99"/>
      <c r="N12" s="99"/>
      <c r="O12" s="99"/>
      <c r="P12" s="90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21.75" thickBot="1" x14ac:dyDescent="0.4">
      <c r="A13" s="102" t="s">
        <v>89</v>
      </c>
      <c r="B13" s="97"/>
      <c r="C13" s="98"/>
      <c r="D13" s="97"/>
      <c r="E13" s="99"/>
      <c r="F13" s="99"/>
      <c r="G13" s="99"/>
      <c r="H13" s="99"/>
      <c r="I13" s="97"/>
      <c r="J13" s="99"/>
      <c r="K13" s="100"/>
      <c r="L13" s="101"/>
      <c r="M13" s="100"/>
      <c r="N13" s="96"/>
      <c r="O13" s="90"/>
      <c r="P13" s="90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21" x14ac:dyDescent="0.35">
      <c r="A14" s="96" t="s">
        <v>90</v>
      </c>
      <c r="B14" s="97"/>
      <c r="C14" s="103" t="s">
        <v>385</v>
      </c>
      <c r="D14" s="104"/>
      <c r="E14" s="105"/>
      <c r="F14" s="105"/>
      <c r="G14" s="105"/>
      <c r="H14" s="105"/>
      <c r="I14" s="104"/>
      <c r="J14" s="105"/>
      <c r="K14" s="106"/>
      <c r="L14" s="107"/>
      <c r="M14" s="106"/>
      <c r="N14" s="108"/>
      <c r="O14" s="109"/>
      <c r="P14" s="90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21" x14ac:dyDescent="0.35">
      <c r="A15" s="96" t="s">
        <v>91</v>
      </c>
      <c r="B15" s="97"/>
      <c r="C15" s="103" t="s">
        <v>420</v>
      </c>
      <c r="D15" s="104"/>
      <c r="E15" s="105"/>
      <c r="F15" s="105"/>
      <c r="G15" s="105"/>
      <c r="H15" s="105"/>
      <c r="I15" s="104"/>
      <c r="J15" s="105"/>
      <c r="K15" s="106"/>
      <c r="L15" s="107"/>
      <c r="M15" s="106"/>
      <c r="N15" s="108"/>
      <c r="O15" s="109"/>
      <c r="P15" s="90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21" x14ac:dyDescent="0.35">
      <c r="A16" s="96" t="s">
        <v>92</v>
      </c>
      <c r="B16" s="97"/>
      <c r="C16" s="103" t="s">
        <v>386</v>
      </c>
      <c r="D16" s="104"/>
      <c r="E16" s="104"/>
      <c r="F16" s="104"/>
      <c r="G16" s="104"/>
      <c r="H16" s="104"/>
      <c r="I16" s="104"/>
      <c r="J16" s="105"/>
      <c r="K16" s="106"/>
      <c r="L16" s="106"/>
      <c r="M16" s="106"/>
      <c r="N16" s="110"/>
      <c r="O16" s="109"/>
      <c r="P16" s="90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ht="21" x14ac:dyDescent="0.35">
      <c r="A17" s="96" t="s">
        <v>93</v>
      </c>
      <c r="B17" s="97"/>
      <c r="C17" s="103" t="s">
        <v>250</v>
      </c>
      <c r="D17" s="104"/>
      <c r="E17" s="104"/>
      <c r="F17" s="104"/>
      <c r="G17" s="104"/>
      <c r="H17" s="104"/>
      <c r="I17" s="104"/>
      <c r="J17" s="105"/>
      <c r="K17" s="106"/>
      <c r="L17" s="106"/>
      <c r="M17" s="106"/>
      <c r="N17" s="110"/>
      <c r="O17" s="109"/>
      <c r="P17" s="90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21" x14ac:dyDescent="0.35">
      <c r="A18" s="96" t="s">
        <v>94</v>
      </c>
      <c r="B18" s="97"/>
      <c r="C18" s="104" t="s">
        <v>95</v>
      </c>
      <c r="D18" s="104"/>
      <c r="E18" s="104"/>
      <c r="F18" s="104"/>
      <c r="G18" s="104"/>
      <c r="H18" s="104"/>
      <c r="I18" s="104"/>
      <c r="J18" s="104"/>
      <c r="K18" s="106"/>
      <c r="L18" s="106"/>
      <c r="M18" s="106"/>
      <c r="N18" s="108"/>
      <c r="O18" s="109"/>
      <c r="P18" s="90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21" x14ac:dyDescent="0.35">
      <c r="A19" s="96" t="s">
        <v>96</v>
      </c>
      <c r="B19" s="97"/>
      <c r="C19" s="104" t="s">
        <v>351</v>
      </c>
      <c r="D19" s="104"/>
      <c r="E19" s="104"/>
      <c r="F19" s="104"/>
      <c r="G19" s="104"/>
      <c r="H19" s="104"/>
      <c r="I19" s="104"/>
      <c r="J19" s="104"/>
      <c r="K19" s="106"/>
      <c r="L19" s="106"/>
      <c r="M19" s="106"/>
      <c r="N19" s="108"/>
      <c r="O19" s="109"/>
      <c r="P19" s="90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21" x14ac:dyDescent="0.35">
      <c r="A20" s="96"/>
      <c r="B20" s="97"/>
      <c r="C20" s="103" t="s">
        <v>417</v>
      </c>
      <c r="D20" s="104"/>
      <c r="E20" s="104"/>
      <c r="F20" s="104"/>
      <c r="G20" s="104"/>
      <c r="H20" s="104"/>
      <c r="I20" s="104"/>
      <c r="J20" s="104"/>
      <c r="K20" s="106"/>
      <c r="L20" s="106"/>
      <c r="M20" s="106"/>
      <c r="N20" s="108"/>
      <c r="O20" s="109"/>
      <c r="P20" s="90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21" x14ac:dyDescent="0.35">
      <c r="A21" s="96"/>
      <c r="B21" s="97"/>
      <c r="C21" s="103" t="s">
        <v>418</v>
      </c>
      <c r="D21" s="104"/>
      <c r="E21" s="104"/>
      <c r="F21" s="104"/>
      <c r="G21" s="104"/>
      <c r="H21" s="104"/>
      <c r="I21" s="104"/>
      <c r="J21" s="104"/>
      <c r="K21" s="106"/>
      <c r="L21" s="106"/>
      <c r="M21" s="106"/>
      <c r="N21" s="108"/>
      <c r="O21" s="109"/>
      <c r="P21" s="90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21" x14ac:dyDescent="0.35">
      <c r="A22" s="96" t="s">
        <v>97</v>
      </c>
      <c r="B22" s="97"/>
      <c r="C22" s="104" t="s">
        <v>98</v>
      </c>
      <c r="D22" s="104"/>
      <c r="E22" s="104"/>
      <c r="F22" s="104"/>
      <c r="G22" s="104"/>
      <c r="H22" s="104"/>
      <c r="I22" s="104"/>
      <c r="J22" s="104"/>
      <c r="K22" s="106"/>
      <c r="L22" s="106"/>
      <c r="M22" s="106"/>
      <c r="N22" s="108"/>
      <c r="O22" s="109"/>
      <c r="P22" s="90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21" x14ac:dyDescent="0.35">
      <c r="A23" s="96" t="s">
        <v>99</v>
      </c>
      <c r="B23" s="97"/>
      <c r="C23" s="103" t="s">
        <v>352</v>
      </c>
      <c r="D23" s="104"/>
      <c r="E23" s="104"/>
      <c r="F23" s="104"/>
      <c r="G23" s="104"/>
      <c r="H23" s="104"/>
      <c r="I23" s="104"/>
      <c r="J23" s="104"/>
      <c r="K23" s="106"/>
      <c r="L23" s="106"/>
      <c r="M23" s="106"/>
      <c r="N23" s="108"/>
      <c r="O23" s="109"/>
      <c r="P23" s="90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21" x14ac:dyDescent="0.35">
      <c r="A24" s="96"/>
      <c r="B24" s="97"/>
      <c r="C24" s="103" t="s">
        <v>353</v>
      </c>
      <c r="D24" s="104"/>
      <c r="E24" s="104"/>
      <c r="F24" s="104"/>
      <c r="G24" s="104"/>
      <c r="H24" s="104"/>
      <c r="I24" s="104"/>
      <c r="J24" s="104"/>
      <c r="K24" s="106"/>
      <c r="L24" s="106"/>
      <c r="M24" s="106"/>
      <c r="N24" s="108"/>
      <c r="O24" s="109"/>
      <c r="P24" s="90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21" x14ac:dyDescent="0.35">
      <c r="A25" s="96" t="s">
        <v>100</v>
      </c>
      <c r="B25" s="97"/>
      <c r="C25" s="103" t="s">
        <v>354</v>
      </c>
      <c r="D25" s="104"/>
      <c r="E25" s="104"/>
      <c r="F25" s="104"/>
      <c r="G25" s="104"/>
      <c r="H25" s="104"/>
      <c r="I25" s="104"/>
      <c r="J25" s="104"/>
      <c r="K25" s="106"/>
      <c r="L25" s="106"/>
      <c r="M25" s="106"/>
      <c r="N25" s="108"/>
      <c r="O25" s="109"/>
      <c r="P25" s="90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21" x14ac:dyDescent="0.35">
      <c r="A26" s="96"/>
      <c r="B26" s="97"/>
      <c r="C26" s="160" t="s">
        <v>387</v>
      </c>
      <c r="D26" s="104"/>
      <c r="E26" s="104"/>
      <c r="F26" s="104"/>
      <c r="G26" s="104"/>
      <c r="H26" s="104"/>
      <c r="I26" s="104"/>
      <c r="J26" s="104"/>
      <c r="K26" s="106"/>
      <c r="L26" s="106"/>
      <c r="M26" s="106"/>
      <c r="N26" s="108"/>
      <c r="P26" s="90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21" x14ac:dyDescent="0.35">
      <c r="A27" s="96"/>
      <c r="B27" s="97"/>
      <c r="C27" s="103" t="s">
        <v>355</v>
      </c>
      <c r="D27" s="104"/>
      <c r="E27" s="104"/>
      <c r="F27" s="104"/>
      <c r="G27" s="104"/>
      <c r="H27" s="104"/>
      <c r="I27" s="104"/>
      <c r="J27" s="104"/>
      <c r="K27" s="106"/>
      <c r="L27" s="106"/>
      <c r="M27" s="106"/>
      <c r="N27" s="108"/>
      <c r="O27" s="109"/>
      <c r="P27" s="109"/>
      <c r="Q27" s="90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ht="21" x14ac:dyDescent="0.35">
      <c r="A28" s="96" t="s">
        <v>101</v>
      </c>
      <c r="B28" s="97"/>
      <c r="C28" s="103" t="s">
        <v>356</v>
      </c>
      <c r="D28" s="104"/>
      <c r="E28" s="104"/>
      <c r="F28" s="104"/>
      <c r="G28" s="104"/>
      <c r="H28" s="104"/>
      <c r="I28" s="104"/>
      <c r="J28" s="104"/>
      <c r="K28" s="106"/>
      <c r="L28" s="106"/>
      <c r="M28" s="106"/>
      <c r="N28" s="108"/>
      <c r="O28" s="109"/>
      <c r="P28" s="90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ht="21" x14ac:dyDescent="0.35">
      <c r="A29" s="96" t="s">
        <v>102</v>
      </c>
      <c r="B29" s="97"/>
      <c r="C29" s="104" t="s">
        <v>357</v>
      </c>
      <c r="D29" s="104"/>
      <c r="E29" s="104"/>
      <c r="F29" s="104"/>
      <c r="G29" s="104"/>
      <c r="H29" s="104"/>
      <c r="I29" s="104"/>
      <c r="J29" s="104"/>
      <c r="K29" s="106"/>
      <c r="L29" s="106"/>
      <c r="M29" s="106"/>
      <c r="N29" s="108"/>
      <c r="O29" s="109"/>
      <c r="P29" s="90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21" x14ac:dyDescent="0.35">
      <c r="A30" s="96"/>
      <c r="B30" s="97"/>
      <c r="C30" s="103" t="s">
        <v>358</v>
      </c>
      <c r="D30" s="104"/>
      <c r="E30" s="104"/>
      <c r="F30" s="104"/>
      <c r="G30" s="104"/>
      <c r="H30" s="104"/>
      <c r="I30" s="104"/>
      <c r="J30" s="104"/>
      <c r="K30" s="106"/>
      <c r="L30" s="106"/>
      <c r="M30" s="106"/>
      <c r="N30" s="108"/>
      <c r="O30" s="109"/>
      <c r="P30" s="90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21" x14ac:dyDescent="0.35">
      <c r="A31" s="96"/>
      <c r="B31" s="97"/>
      <c r="C31" s="103" t="s">
        <v>359</v>
      </c>
      <c r="D31" s="104"/>
      <c r="E31" s="104"/>
      <c r="F31" s="104"/>
      <c r="G31" s="104"/>
      <c r="H31" s="104"/>
      <c r="I31" s="104"/>
      <c r="J31" s="104"/>
      <c r="K31" s="106"/>
      <c r="L31" s="106"/>
      <c r="M31" s="106"/>
      <c r="N31" s="108"/>
      <c r="O31" s="109"/>
      <c r="P31" s="90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21" x14ac:dyDescent="0.35">
      <c r="A32" s="96"/>
      <c r="B32" s="97"/>
      <c r="C32" s="104" t="s">
        <v>360</v>
      </c>
      <c r="D32" s="104"/>
      <c r="E32" s="104"/>
      <c r="F32" s="104"/>
      <c r="G32" s="104"/>
      <c r="H32" s="104"/>
      <c r="I32" s="104"/>
      <c r="J32" s="104"/>
      <c r="K32" s="106"/>
      <c r="L32" s="106"/>
      <c r="M32" s="106"/>
      <c r="N32" s="108"/>
      <c r="O32" s="109"/>
      <c r="P32" s="90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21" x14ac:dyDescent="0.35">
      <c r="A33" s="96"/>
      <c r="B33" s="97"/>
      <c r="C33" s="103" t="s">
        <v>361</v>
      </c>
      <c r="D33" s="104"/>
      <c r="E33" s="104"/>
      <c r="F33" s="104"/>
      <c r="G33" s="104"/>
      <c r="H33" s="104"/>
      <c r="I33" s="104"/>
      <c r="J33" s="104"/>
      <c r="K33" s="106"/>
      <c r="L33" s="106"/>
      <c r="M33" s="106"/>
      <c r="N33" s="108"/>
      <c r="O33" s="109"/>
      <c r="P33" s="90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ht="21" x14ac:dyDescent="0.35">
      <c r="A34" s="96"/>
      <c r="B34" s="97"/>
      <c r="C34" s="103" t="s">
        <v>362</v>
      </c>
      <c r="D34" s="104"/>
      <c r="E34" s="104"/>
      <c r="F34" s="104"/>
      <c r="G34" s="104"/>
      <c r="H34" s="104"/>
      <c r="I34" s="104"/>
      <c r="J34" s="104"/>
      <c r="K34" s="106"/>
      <c r="L34" s="106"/>
      <c r="M34" s="106"/>
      <c r="N34" s="108"/>
      <c r="O34" s="109"/>
      <c r="P34" s="90"/>
      <c r="V34" s="92"/>
      <c r="W34" s="92"/>
      <c r="X34" s="92"/>
      <c r="Y34" s="92"/>
      <c r="AB34" s="92"/>
      <c r="AD34" s="92"/>
      <c r="AE34" s="92"/>
    </row>
    <row r="35" spans="1:33" ht="21" x14ac:dyDescent="0.35">
      <c r="A35" s="96"/>
      <c r="B35" s="97"/>
      <c r="C35" s="103" t="s">
        <v>428</v>
      </c>
      <c r="D35" s="104"/>
      <c r="E35" s="104"/>
      <c r="F35" s="104"/>
      <c r="G35" s="104"/>
      <c r="H35" s="104"/>
      <c r="I35" s="104"/>
      <c r="J35" s="104"/>
      <c r="K35" s="106"/>
      <c r="L35" s="106"/>
      <c r="M35" s="106"/>
      <c r="N35" s="108"/>
      <c r="O35" s="109"/>
      <c r="P35" s="90"/>
      <c r="V35" s="92"/>
      <c r="W35" s="92"/>
      <c r="X35" s="92"/>
      <c r="Y35" s="92"/>
      <c r="AB35" s="92"/>
      <c r="AD35" s="92"/>
      <c r="AE35" s="92"/>
    </row>
    <row r="36" spans="1:33" ht="21" x14ac:dyDescent="0.35">
      <c r="A36" s="96" t="s">
        <v>0</v>
      </c>
      <c r="B36" s="97"/>
      <c r="C36" s="104" t="s">
        <v>103</v>
      </c>
      <c r="D36" s="104" t="s">
        <v>104</v>
      </c>
      <c r="E36" s="112">
        <v>0.21</v>
      </c>
      <c r="F36" s="104"/>
      <c r="G36" s="104"/>
      <c r="H36" s="104"/>
      <c r="I36" s="104"/>
      <c r="J36" s="104"/>
      <c r="K36" s="106"/>
      <c r="L36" s="106"/>
      <c r="M36" s="106"/>
      <c r="N36" s="108"/>
      <c r="O36" s="109"/>
      <c r="P36" s="90"/>
      <c r="W36" s="92"/>
      <c r="X36" s="92"/>
      <c r="Y36" s="92"/>
    </row>
    <row r="37" spans="1:33" ht="21" x14ac:dyDescent="0.35">
      <c r="A37" s="96"/>
      <c r="B37" s="97"/>
      <c r="C37" s="104"/>
      <c r="D37" s="104" t="s">
        <v>105</v>
      </c>
      <c r="E37" s="112">
        <v>0.05</v>
      </c>
      <c r="F37" s="104" t="s">
        <v>106</v>
      </c>
      <c r="G37" s="104"/>
      <c r="H37" s="104"/>
      <c r="I37" s="104"/>
      <c r="J37" s="104"/>
      <c r="K37" s="106"/>
      <c r="L37" s="106"/>
      <c r="M37" s="106"/>
      <c r="N37" s="108"/>
      <c r="O37" s="109"/>
      <c r="P37" s="90"/>
      <c r="W37" s="92"/>
      <c r="Y37" s="92"/>
    </row>
    <row r="38" spans="1:33" ht="21" x14ac:dyDescent="0.35">
      <c r="A38" s="96"/>
      <c r="B38" s="97"/>
      <c r="C38" s="104"/>
      <c r="D38" s="104" t="s">
        <v>107</v>
      </c>
      <c r="E38" s="112">
        <v>0</v>
      </c>
      <c r="F38" s="104" t="s">
        <v>108</v>
      </c>
      <c r="G38" s="104"/>
      <c r="H38" s="104"/>
      <c r="I38" s="104"/>
      <c r="J38" s="104"/>
      <c r="K38" s="106"/>
      <c r="L38" s="106"/>
      <c r="M38" s="106"/>
      <c r="N38" s="108"/>
      <c r="O38" s="109"/>
      <c r="P38" s="257"/>
      <c r="Y38" s="92"/>
    </row>
    <row r="39" spans="1:33" ht="21" x14ac:dyDescent="0.35">
      <c r="A39" s="96" t="s">
        <v>109</v>
      </c>
      <c r="B39" s="97"/>
      <c r="C39" s="104" t="s">
        <v>110</v>
      </c>
      <c r="D39" s="104"/>
      <c r="E39" s="104"/>
      <c r="F39" s="104"/>
      <c r="G39" s="104"/>
      <c r="H39" s="104"/>
      <c r="I39" s="104"/>
      <c r="J39" s="104"/>
      <c r="K39" s="106"/>
      <c r="L39" s="106"/>
      <c r="M39" s="106"/>
      <c r="N39" s="108"/>
      <c r="O39" s="109"/>
      <c r="P39" s="90"/>
    </row>
    <row r="40" spans="1:33" ht="21" x14ac:dyDescent="0.35">
      <c r="A40" s="96" t="s">
        <v>111</v>
      </c>
      <c r="B40" s="97"/>
      <c r="C40" s="104" t="s">
        <v>363</v>
      </c>
      <c r="D40" s="104"/>
      <c r="E40" s="104"/>
      <c r="F40" s="104"/>
      <c r="G40" s="104"/>
      <c r="H40" s="104"/>
      <c r="I40" s="104"/>
      <c r="J40" s="104"/>
      <c r="K40" s="106"/>
      <c r="L40" s="106"/>
      <c r="M40" s="106"/>
      <c r="N40" s="108"/>
      <c r="O40" s="109"/>
      <c r="P40" s="90"/>
    </row>
    <row r="41" spans="1:33" ht="21" x14ac:dyDescent="0.35">
      <c r="A41" s="96"/>
      <c r="B41" s="97"/>
      <c r="C41" s="104" t="s">
        <v>364</v>
      </c>
      <c r="D41" s="104"/>
      <c r="E41" s="104"/>
      <c r="F41" s="104"/>
      <c r="G41" s="104"/>
      <c r="H41" s="104"/>
      <c r="I41" s="104"/>
      <c r="J41" s="104"/>
      <c r="K41" s="106"/>
      <c r="L41" s="106"/>
      <c r="M41" s="106"/>
      <c r="N41" s="108"/>
      <c r="O41" s="109"/>
      <c r="P41" s="90"/>
    </row>
    <row r="42" spans="1:33" ht="21" x14ac:dyDescent="0.35">
      <c r="A42" s="96" t="s">
        <v>112</v>
      </c>
      <c r="B42" s="97"/>
      <c r="C42" s="104" t="s">
        <v>365</v>
      </c>
      <c r="D42" s="104"/>
      <c r="E42" s="104"/>
      <c r="F42" s="104"/>
      <c r="G42" s="104"/>
      <c r="H42" s="104"/>
      <c r="I42" s="104"/>
      <c r="J42" s="104"/>
      <c r="K42" s="106"/>
      <c r="L42" s="106"/>
      <c r="M42" s="106"/>
      <c r="N42" s="108"/>
      <c r="O42" s="109"/>
      <c r="P42" s="90"/>
    </row>
    <row r="43" spans="1:33" ht="21" x14ac:dyDescent="0.35">
      <c r="A43" s="96"/>
      <c r="B43" s="97"/>
      <c r="C43" s="103" t="s">
        <v>366</v>
      </c>
      <c r="D43" s="104"/>
      <c r="E43" s="104"/>
      <c r="F43" s="104"/>
      <c r="G43" s="104"/>
      <c r="H43" s="104"/>
      <c r="I43" s="104"/>
      <c r="J43" s="104"/>
      <c r="K43" s="106"/>
      <c r="L43" s="106"/>
      <c r="M43" s="106"/>
      <c r="N43" s="108"/>
      <c r="O43" s="109"/>
      <c r="P43" s="90"/>
    </row>
    <row r="44" spans="1:33" ht="21" x14ac:dyDescent="0.35">
      <c r="A44" s="96"/>
      <c r="B44" s="97"/>
      <c r="C44" s="104" t="s">
        <v>367</v>
      </c>
      <c r="D44" s="104"/>
      <c r="E44" s="104"/>
      <c r="F44" s="104"/>
      <c r="G44" s="104"/>
      <c r="H44" s="104"/>
      <c r="I44" s="104"/>
      <c r="J44" s="104"/>
      <c r="K44" s="106"/>
      <c r="L44" s="106"/>
      <c r="M44" s="106"/>
      <c r="N44" s="108"/>
      <c r="O44" s="109"/>
      <c r="P44" s="90"/>
    </row>
    <row r="45" spans="1:33" ht="21" x14ac:dyDescent="0.35">
      <c r="A45" s="96"/>
      <c r="B45" s="97"/>
      <c r="C45" s="104" t="s">
        <v>368</v>
      </c>
      <c r="D45" s="104"/>
      <c r="E45" s="104"/>
      <c r="F45" s="104"/>
      <c r="G45" s="104"/>
      <c r="H45" s="104"/>
      <c r="I45" s="104"/>
      <c r="J45" s="104"/>
      <c r="K45" s="106"/>
      <c r="L45" s="106"/>
      <c r="M45" s="106"/>
      <c r="N45" s="108"/>
      <c r="O45" s="109"/>
      <c r="P45" s="90"/>
    </row>
    <row r="46" spans="1:33" ht="21" x14ac:dyDescent="0.35">
      <c r="A46" s="96" t="s">
        <v>113</v>
      </c>
      <c r="B46" s="97"/>
      <c r="C46" s="103" t="s">
        <v>395</v>
      </c>
      <c r="D46" s="104"/>
      <c r="E46" s="104"/>
      <c r="F46" s="104"/>
      <c r="G46" s="104"/>
      <c r="H46" s="104"/>
      <c r="I46" s="104"/>
      <c r="J46" s="104"/>
      <c r="K46" s="106"/>
      <c r="L46" s="106"/>
      <c r="M46" s="106"/>
      <c r="N46" s="108"/>
      <c r="O46" s="109"/>
      <c r="P46" s="90"/>
    </row>
    <row r="47" spans="1:33" ht="21" x14ac:dyDescent="0.35">
      <c r="A47" s="96" t="s">
        <v>114</v>
      </c>
      <c r="B47" s="97"/>
      <c r="C47" s="103" t="s">
        <v>396</v>
      </c>
      <c r="D47" s="104"/>
      <c r="E47" s="104"/>
      <c r="F47" s="104"/>
      <c r="G47" s="104"/>
      <c r="H47" s="104"/>
      <c r="I47" s="104"/>
      <c r="J47" s="104"/>
      <c r="K47" s="106"/>
      <c r="L47" s="106"/>
      <c r="M47" s="106"/>
      <c r="N47" s="108"/>
      <c r="O47" s="109"/>
      <c r="P47" s="90"/>
    </row>
    <row r="48" spans="1:33" ht="21" x14ac:dyDescent="0.35">
      <c r="A48" s="96"/>
      <c r="B48" s="97"/>
      <c r="C48" s="104" t="s">
        <v>369</v>
      </c>
      <c r="D48" s="104"/>
      <c r="E48" s="104"/>
      <c r="F48" s="104"/>
      <c r="G48" s="104"/>
      <c r="H48" s="104"/>
      <c r="I48" s="104"/>
      <c r="J48" s="104"/>
      <c r="K48" s="106"/>
      <c r="L48" s="106"/>
      <c r="M48" s="106"/>
      <c r="N48" s="108"/>
      <c r="O48" s="109"/>
      <c r="P48" s="90"/>
    </row>
    <row r="49" spans="1:19" ht="21" x14ac:dyDescent="0.35">
      <c r="A49" s="96" t="s">
        <v>115</v>
      </c>
      <c r="B49" s="97"/>
      <c r="C49" s="103" t="s">
        <v>370</v>
      </c>
      <c r="D49" s="104"/>
      <c r="E49" s="104"/>
      <c r="F49" s="104"/>
      <c r="G49" s="104"/>
      <c r="H49" s="104"/>
      <c r="I49" s="104"/>
      <c r="J49" s="104"/>
      <c r="K49" s="106"/>
      <c r="L49" s="106"/>
      <c r="M49" s="106"/>
      <c r="N49" s="108"/>
      <c r="O49" s="109"/>
      <c r="P49" s="90"/>
    </row>
    <row r="50" spans="1:19" ht="21" x14ac:dyDescent="0.35">
      <c r="A50" s="96"/>
      <c r="B50" s="97"/>
      <c r="C50" s="104" t="s">
        <v>371</v>
      </c>
      <c r="D50" s="104"/>
      <c r="E50" s="104"/>
      <c r="F50" s="104"/>
      <c r="G50" s="104"/>
      <c r="H50" s="104"/>
      <c r="I50" s="104"/>
      <c r="J50" s="104"/>
      <c r="K50" s="106"/>
      <c r="L50" s="106"/>
      <c r="M50" s="106"/>
      <c r="N50" s="108"/>
      <c r="O50" s="109"/>
      <c r="P50" s="90"/>
    </row>
    <row r="51" spans="1:19" ht="21" x14ac:dyDescent="0.35">
      <c r="A51" s="96" t="s">
        <v>116</v>
      </c>
      <c r="B51" s="97"/>
      <c r="C51" s="104" t="s">
        <v>117</v>
      </c>
      <c r="D51" s="104"/>
      <c r="E51" s="104"/>
      <c r="F51" s="104"/>
      <c r="G51" s="104"/>
      <c r="H51" s="104"/>
      <c r="I51" s="104"/>
      <c r="J51" s="104"/>
      <c r="K51" s="106"/>
      <c r="L51" s="106"/>
      <c r="M51" s="106"/>
      <c r="N51" s="108"/>
      <c r="O51" s="109"/>
      <c r="P51" s="90"/>
    </row>
    <row r="52" spans="1:19" ht="18.75" x14ac:dyDescent="0.3">
      <c r="A52" s="96" t="s">
        <v>118</v>
      </c>
      <c r="B52" s="86"/>
      <c r="C52" s="104" t="s">
        <v>254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87"/>
      <c r="O52" s="109"/>
      <c r="P52" s="90"/>
    </row>
    <row r="53" spans="1:19" ht="18.75" x14ac:dyDescent="0.3">
      <c r="A53" s="114" t="s">
        <v>119</v>
      </c>
      <c r="B53" s="115"/>
      <c r="C53" s="116" t="s">
        <v>372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90"/>
    </row>
    <row r="54" spans="1:19" ht="18.75" x14ac:dyDescent="0.3">
      <c r="A54" s="115"/>
      <c r="B54" s="115"/>
      <c r="C54" s="116" t="s">
        <v>373</v>
      </c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90"/>
    </row>
    <row r="55" spans="1:19" ht="18.75" x14ac:dyDescent="0.3">
      <c r="A55" s="115"/>
      <c r="B55" s="115"/>
      <c r="C55" s="116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90"/>
    </row>
    <row r="56" spans="1:19" ht="18.75" x14ac:dyDescent="0.3">
      <c r="A56" s="115"/>
      <c r="B56" s="115"/>
      <c r="C56" s="116" t="s">
        <v>375</v>
      </c>
      <c r="D56" s="119"/>
      <c r="E56" s="120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21"/>
      <c r="Q56" s="122"/>
      <c r="R56" s="122"/>
      <c r="S56" s="122"/>
    </row>
    <row r="57" spans="1:19" ht="18.75" x14ac:dyDescent="0.3">
      <c r="A57" s="114" t="s">
        <v>120</v>
      </c>
      <c r="B57" s="115"/>
      <c r="C57" s="118" t="s">
        <v>121</v>
      </c>
      <c r="D57" s="121"/>
      <c r="E57" s="121"/>
      <c r="F57" s="121"/>
      <c r="G57" s="121"/>
      <c r="H57" s="121"/>
      <c r="I57" s="121"/>
      <c r="J57" s="119"/>
      <c r="K57" s="119"/>
      <c r="L57" s="119"/>
      <c r="M57" s="119"/>
      <c r="P57" s="121"/>
      <c r="Q57" s="122"/>
      <c r="R57" s="122"/>
      <c r="S57" s="122"/>
    </row>
    <row r="58" spans="1:19" ht="18.75" x14ac:dyDescent="0.3">
      <c r="A58" s="123" t="s">
        <v>122</v>
      </c>
      <c r="B58" s="111"/>
      <c r="C58" s="258" t="s">
        <v>376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21"/>
      <c r="N58" s="121"/>
      <c r="O58" s="121"/>
    </row>
    <row r="59" spans="1:19" ht="18.75" x14ac:dyDescent="0.3">
      <c r="A59" s="123"/>
      <c r="B59" s="111"/>
      <c r="C59" s="258" t="s">
        <v>377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21"/>
      <c r="N59" s="121"/>
      <c r="O59" s="121"/>
    </row>
    <row r="60" spans="1:19" ht="18.75" x14ac:dyDescent="0.3">
      <c r="A60" s="114" t="s">
        <v>286</v>
      </c>
      <c r="B60" s="111"/>
      <c r="C60" s="258" t="s">
        <v>407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21"/>
      <c r="N60" s="121"/>
      <c r="O60" s="121"/>
      <c r="P60" s="121"/>
      <c r="Q60" s="122"/>
      <c r="R60" s="122"/>
      <c r="S60" s="122"/>
    </row>
    <row r="61" spans="1:19" ht="18.75" x14ac:dyDescent="0.3">
      <c r="A61" s="114"/>
      <c r="B61" s="111"/>
      <c r="C61" s="258" t="s">
        <v>397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21"/>
      <c r="N61" s="121"/>
      <c r="O61" s="121"/>
      <c r="P61" s="121"/>
      <c r="Q61" s="122"/>
      <c r="R61" s="122"/>
      <c r="S61" s="122"/>
    </row>
    <row r="62" spans="1:19" ht="18.75" x14ac:dyDescent="0.3">
      <c r="A62" s="114" t="s">
        <v>132</v>
      </c>
      <c r="B62" s="115"/>
      <c r="C62" s="258" t="s">
        <v>421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/>
      <c r="R62" s="122"/>
      <c r="S62" s="122"/>
    </row>
    <row r="63" spans="1:19" ht="18.75" x14ac:dyDescent="0.3">
      <c r="A63" s="114"/>
      <c r="B63" s="115"/>
      <c r="C63" s="258" t="s">
        <v>422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/>
      <c r="R63" s="122"/>
      <c r="S63" s="122"/>
    </row>
    <row r="64" spans="1:19" ht="18.75" x14ac:dyDescent="0.3">
      <c r="A64" s="114" t="s">
        <v>251</v>
      </c>
      <c r="B64" s="115"/>
      <c r="C64" s="258" t="s">
        <v>350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/>
      <c r="R64" s="122"/>
      <c r="S64" s="122"/>
    </row>
    <row r="65" spans="1:50" ht="18.75" x14ac:dyDescent="0.3">
      <c r="A65" s="114" t="s">
        <v>304</v>
      </c>
      <c r="B65" s="115"/>
      <c r="C65" s="258" t="s">
        <v>394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1"/>
      <c r="Q65" s="122"/>
      <c r="R65" s="122"/>
      <c r="S65" s="122"/>
      <c r="Z65" s="92"/>
      <c r="AA65" s="92"/>
      <c r="AC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:50" ht="18.75" x14ac:dyDescent="0.3">
      <c r="A66" s="115"/>
      <c r="B66" s="115"/>
      <c r="C66" s="280" t="s">
        <v>398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V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:50" ht="18.75" x14ac:dyDescent="0.3">
      <c r="A67" s="115"/>
      <c r="B67" s="115"/>
      <c r="C67" s="115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V67" s="92"/>
      <c r="X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:50" ht="18.75" x14ac:dyDescent="0.3">
      <c r="A68" s="115"/>
      <c r="B68" s="115"/>
      <c r="C68" s="115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V68" s="92"/>
      <c r="W68" s="92"/>
      <c r="X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:50" ht="18.75" x14ac:dyDescent="0.3">
      <c r="A69" s="115"/>
      <c r="B69" s="115"/>
      <c r="C69" s="115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:50" ht="18.75" x14ac:dyDescent="0.3">
      <c r="A70" s="115"/>
      <c r="B70" s="115"/>
      <c r="C70" s="115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:50" ht="18.75" x14ac:dyDescent="0.3">
      <c r="A71" s="115"/>
      <c r="B71" s="115"/>
      <c r="P71" s="122"/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:50" x14ac:dyDescent="0.25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:50" ht="149.25" customHeight="1" x14ac:dyDescent="0.25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x14ac:dyDescent="0.25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:50" x14ac:dyDescent="0.25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:50" x14ac:dyDescent="0.25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:50" x14ac:dyDescent="0.25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:50" x14ac:dyDescent="0.25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:50" x14ac:dyDescent="0.25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:50" x14ac:dyDescent="0.25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25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25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25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25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25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25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25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25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25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25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25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25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25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25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25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25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25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25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25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25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25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25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25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25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25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25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25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25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25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25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25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25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25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25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25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25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25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25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25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25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25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25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25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25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25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25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25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25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25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25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25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25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25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25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25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25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25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25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25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25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25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25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25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25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25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25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25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25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25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25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25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25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25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25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25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25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25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25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25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25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25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25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25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25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25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25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25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25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25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25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25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25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25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25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25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25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7:50" x14ac:dyDescent="0.25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7:50" x14ac:dyDescent="0.25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7:50" x14ac:dyDescent="0.25"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7:50" x14ac:dyDescent="0.25">
      <c r="Q180" s="122"/>
      <c r="R180" s="122"/>
      <c r="S180" s="12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7:50" x14ac:dyDescent="0.25">
      <c r="Q181" s="122"/>
      <c r="R181" s="122"/>
      <c r="S181" s="12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7:50" x14ac:dyDescent="0.25">
      <c r="Q182" s="122"/>
      <c r="R182" s="122"/>
      <c r="S182" s="12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7:50" x14ac:dyDescent="0.25">
      <c r="Q183" s="122"/>
      <c r="R183" s="122"/>
      <c r="S183" s="12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7:50" x14ac:dyDescent="0.25">
      <c r="Q184" s="122"/>
      <c r="R184" s="122"/>
      <c r="S184" s="12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7:50" x14ac:dyDescent="0.25">
      <c r="Q185" s="122"/>
      <c r="R185" s="122"/>
      <c r="S185" s="12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7:50" x14ac:dyDescent="0.25">
      <c r="Q186" s="122"/>
      <c r="R186" s="122"/>
      <c r="S186" s="12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7:50" x14ac:dyDescent="0.25">
      <c r="Q187" s="122"/>
      <c r="R187" s="122"/>
      <c r="S187" s="12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7:50" x14ac:dyDescent="0.25">
      <c r="Q188" s="122"/>
      <c r="R188" s="122"/>
      <c r="S188" s="12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7:50" x14ac:dyDescent="0.25">
      <c r="Q189" s="122"/>
      <c r="R189" s="122"/>
      <c r="S189" s="12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7:50" x14ac:dyDescent="0.25">
      <c r="Q190" s="122"/>
      <c r="R190" s="122"/>
      <c r="S190" s="12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7:50" x14ac:dyDescent="0.25">
      <c r="Q191" s="122"/>
      <c r="R191" s="122"/>
      <c r="S191" s="12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7:50" x14ac:dyDescent="0.25">
      <c r="Q192" s="122"/>
      <c r="R192" s="122"/>
      <c r="S192" s="12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7:50" x14ac:dyDescent="0.25">
      <c r="Q193" s="122"/>
      <c r="R193" s="122"/>
      <c r="S193" s="12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7:50" x14ac:dyDescent="0.25">
      <c r="Q194" s="122"/>
      <c r="R194" s="122"/>
      <c r="S194" s="12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7:50" x14ac:dyDescent="0.25">
      <c r="Q195" s="122"/>
      <c r="R195" s="122"/>
      <c r="S195" s="12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7:50" x14ac:dyDescent="0.25">
      <c r="Q196" s="122"/>
      <c r="R196" s="122"/>
      <c r="S196" s="12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7:50" x14ac:dyDescent="0.25">
      <c r="Q197" s="122"/>
      <c r="R197" s="122"/>
      <c r="S197" s="12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7:50" x14ac:dyDescent="0.25">
      <c r="Q198" s="122"/>
      <c r="R198" s="122"/>
      <c r="S198" s="12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7:50" x14ac:dyDescent="0.25">
      <c r="Q199" s="122"/>
      <c r="R199" s="122"/>
      <c r="S199" s="12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7:50" x14ac:dyDescent="0.25">
      <c r="Q200" s="122"/>
      <c r="R200" s="122"/>
      <c r="S200" s="12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7:50" x14ac:dyDescent="0.25">
      <c r="Q201" s="122"/>
      <c r="R201" s="122"/>
      <c r="S201" s="12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7:50" x14ac:dyDescent="0.25">
      <c r="Q202" s="122"/>
      <c r="R202" s="122"/>
      <c r="S202" s="12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7:50" x14ac:dyDescent="0.25">
      <c r="Q203" s="122"/>
      <c r="R203" s="122"/>
      <c r="S203" s="12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7:50" x14ac:dyDescent="0.25">
      <c r="Q204" s="122"/>
      <c r="R204" s="122"/>
      <c r="S204" s="12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7:50" x14ac:dyDescent="0.25">
      <c r="Q205" s="122"/>
      <c r="R205" s="122"/>
      <c r="S205" s="12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7:50" x14ac:dyDescent="0.25">
      <c r="Q206" s="122"/>
      <c r="R206" s="122"/>
      <c r="S206" s="12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7:50" x14ac:dyDescent="0.25">
      <c r="Q207" s="122"/>
      <c r="R207" s="122"/>
      <c r="S207" s="12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7:50" x14ac:dyDescent="0.25">
      <c r="Q208" s="122"/>
      <c r="R208" s="122"/>
      <c r="S208" s="12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25">
      <c r="Q209" s="122"/>
      <c r="R209" s="122"/>
      <c r="S209" s="12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25">
      <c r="Q210" s="122"/>
      <c r="R210" s="122"/>
      <c r="S210" s="12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25">
      <c r="Q211" s="122"/>
      <c r="R211" s="122"/>
      <c r="S211" s="12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25">
      <c r="Q212" s="122"/>
      <c r="R212" s="122"/>
      <c r="S212" s="12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25">
      <c r="A213" s="92"/>
      <c r="B213" s="92"/>
      <c r="Q213" s="122"/>
      <c r="R213" s="122"/>
      <c r="S213" s="12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25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25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25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25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25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25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25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25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25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25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25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25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25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25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25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25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25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25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25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25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25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25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25">
      <c r="A236" s="92"/>
      <c r="B236" s="92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25">
      <c r="A237" s="92"/>
      <c r="B237" s="92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25">
      <c r="A238" s="92"/>
      <c r="B238" s="92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25">
      <c r="A239" s="92"/>
      <c r="B239" s="92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25">
      <c r="A240" s="92"/>
      <c r="B240" s="92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25">
      <c r="A241" s="92"/>
      <c r="B241" s="92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25">
      <c r="A242" s="92"/>
      <c r="B242" s="92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25">
      <c r="A243" s="92"/>
      <c r="B243" s="92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25">
      <c r="A244" s="92"/>
      <c r="B244" s="92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25">
      <c r="A245" s="92"/>
      <c r="B245" s="92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25">
      <c r="A246" s="92"/>
      <c r="B246" s="92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25">
      <c r="A247" s="92"/>
      <c r="B247" s="92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25">
      <c r="A248" s="92"/>
      <c r="B248" s="92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25">
      <c r="A249" s="92"/>
      <c r="B249" s="92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25">
      <c r="A250" s="92"/>
      <c r="B250" s="92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25">
      <c r="A251" s="92"/>
      <c r="B251" s="92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25">
      <c r="A252" s="92"/>
      <c r="B252" s="92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25">
      <c r="A253" s="92"/>
      <c r="B253" s="92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25">
      <c r="A254" s="92"/>
      <c r="B254" s="92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25">
      <c r="A255" s="92"/>
      <c r="B255" s="92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25">
      <c r="A256" s="92"/>
      <c r="B256" s="92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25">
      <c r="A257" s="92"/>
      <c r="B257" s="92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25">
      <c r="A258" s="92"/>
      <c r="B258" s="92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25">
      <c r="A259" s="92"/>
      <c r="B259" s="92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25">
      <c r="A260" s="92"/>
      <c r="B260" s="92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25">
      <c r="A261" s="92"/>
      <c r="B261" s="92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25">
      <c r="A262" s="92"/>
      <c r="B262" s="92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25">
      <c r="A263" s="92"/>
      <c r="B263" s="92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25">
      <c r="A264" s="92"/>
      <c r="B264" s="92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25">
      <c r="A265" s="92"/>
      <c r="B265" s="92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25">
      <c r="A266" s="92"/>
      <c r="B266" s="92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25">
      <c r="A267" s="92"/>
      <c r="B267" s="92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25">
      <c r="A268" s="92"/>
      <c r="B268" s="92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25">
      <c r="A269" s="92"/>
      <c r="B269" s="92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124"/>
      <c r="Q270" s="124"/>
      <c r="R270" s="124"/>
      <c r="S270" s="124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</row>
    <row r="348" spans="1:50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</row>
    <row r="349" spans="1:50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</row>
    <row r="350" spans="1:50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</row>
    <row r="351" spans="1:50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</row>
    <row r="352" spans="1:50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</row>
    <row r="353" spans="1:50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</row>
    <row r="354" spans="1:50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</row>
    <row r="355" spans="1:50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</row>
    <row r="356" spans="1:50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</row>
    <row r="357" spans="1:50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</row>
    <row r="358" spans="1:50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</row>
    <row r="359" spans="1:50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</row>
    <row r="360" spans="1:50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</row>
    <row r="361" spans="1:50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</row>
    <row r="362" spans="1:50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</row>
    <row r="363" spans="1:50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</row>
    <row r="364" spans="1:50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</row>
    <row r="365" spans="1:50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</row>
    <row r="366" spans="1:50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</row>
    <row r="367" spans="1:50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</row>
    <row r="368" spans="1:50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</row>
    <row r="369" spans="1:50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</row>
    <row r="370" spans="1:50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</row>
    <row r="371" spans="1:50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</row>
    <row r="372" spans="1:50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</row>
    <row r="373" spans="1:50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</row>
    <row r="374" spans="1:50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</row>
    <row r="375" spans="1:50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</row>
    <row r="376" spans="1:50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</row>
    <row r="377" spans="1:50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</row>
    <row r="378" spans="1:50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</row>
    <row r="379" spans="1:50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</row>
    <row r="380" spans="1:50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</row>
    <row r="381" spans="1:50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AB381" s="92"/>
      <c r="AD381" s="92"/>
      <c r="AE381" s="92"/>
    </row>
    <row r="382" spans="1:50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W382" s="92"/>
      <c r="X382" s="92"/>
      <c r="Y382" s="92"/>
    </row>
    <row r="383" spans="1:50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W383" s="92"/>
      <c r="Y383" s="92"/>
    </row>
    <row r="384" spans="1:50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Y384" s="92"/>
    </row>
    <row r="385" spans="1:14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  <row r="573" spans="1:14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</row>
    <row r="574" spans="1:14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</row>
    <row r="575" spans="1:14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</row>
    <row r="576" spans="1:14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</row>
    <row r="577" spans="1:14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</row>
    <row r="578" spans="1:14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</row>
    <row r="579" spans="1:14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</row>
    <row r="580" spans="1:14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</row>
    <row r="581" spans="1:14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</row>
    <row r="582" spans="1:14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</row>
    <row r="583" spans="1:14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</row>
    <row r="584" spans="1:14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</row>
    <row r="585" spans="1:14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</row>
    <row r="586" spans="1:14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</row>
    <row r="587" spans="1:14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1:14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1:14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1:14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1:14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1:14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1:14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1:14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1:14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1:14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</row>
    <row r="597" spans="1:14" x14ac:dyDescent="0.2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</row>
    <row r="598" spans="1:14" x14ac:dyDescent="0.2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</row>
    <row r="599" spans="1:14" x14ac:dyDescent="0.2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</row>
    <row r="600" spans="1:14" x14ac:dyDescent="0.2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x14ac:dyDescent="0.2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x14ac:dyDescent="0.2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</row>
    <row r="603" spans="1:14" x14ac:dyDescent="0.2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</row>
    <row r="604" spans="1:14" x14ac:dyDescent="0.2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</row>
    <row r="605" spans="1:14" x14ac:dyDescent="0.2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</row>
    <row r="606" spans="1:14" x14ac:dyDescent="0.2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</row>
  </sheetData>
  <sheetProtection sheet="1" objects="1" scenarios="1"/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23" sqref="F23"/>
    </sheetView>
  </sheetViews>
  <sheetFormatPr defaultColWidth="9.33203125" defaultRowHeight="12.75" x14ac:dyDescent="0.2"/>
  <cols>
    <col min="1" max="1" width="9.33203125" style="125"/>
    <col min="2" max="2" width="54" style="125" bestFit="1" customWidth="1"/>
    <col min="3" max="3" width="10.5" style="125" bestFit="1" customWidth="1"/>
    <col min="4" max="16384" width="9.33203125" style="125"/>
  </cols>
  <sheetData>
    <row r="1" spans="1:5" ht="15.75" x14ac:dyDescent="0.25">
      <c r="A1" s="284" t="s">
        <v>139</v>
      </c>
    </row>
    <row r="3" spans="1:5" ht="15.75" x14ac:dyDescent="0.25">
      <c r="A3" s="285" t="s">
        <v>140</v>
      </c>
    </row>
    <row r="5" spans="1:5" ht="15.75" x14ac:dyDescent="0.25">
      <c r="A5" s="286"/>
      <c r="B5" s="286"/>
      <c r="C5" s="287" t="s">
        <v>141</v>
      </c>
    </row>
    <row r="6" spans="1:5" ht="15.75" x14ac:dyDescent="0.25">
      <c r="A6" s="286"/>
      <c r="B6" s="286"/>
      <c r="C6" s="287" t="s">
        <v>142</v>
      </c>
    </row>
    <row r="7" spans="1:5" ht="15.75" x14ac:dyDescent="0.25">
      <c r="A7" s="677" t="s">
        <v>143</v>
      </c>
      <c r="B7" s="677"/>
      <c r="C7" s="288" t="s">
        <v>144</v>
      </c>
    </row>
    <row r="8" spans="1:5" ht="15.75" x14ac:dyDescent="0.25">
      <c r="A8" s="289"/>
      <c r="B8" s="289"/>
      <c r="C8" s="290"/>
    </row>
    <row r="9" spans="1:5" ht="15.75" x14ac:dyDescent="0.25">
      <c r="A9" s="174"/>
      <c r="B9" s="286"/>
      <c r="C9" s="286"/>
    </row>
    <row r="10" spans="1:5" ht="15.75" x14ac:dyDescent="0.25">
      <c r="A10" s="291" t="s">
        <v>145</v>
      </c>
      <c r="B10" s="286"/>
      <c r="C10" s="292"/>
    </row>
    <row r="11" spans="1:5" ht="15.75" x14ac:dyDescent="0.25">
      <c r="A11" s="286"/>
      <c r="B11" s="286" t="s">
        <v>146</v>
      </c>
      <c r="C11" s="579">
        <v>9.7999999999999997E-3</v>
      </c>
      <c r="E11" s="261"/>
    </row>
    <row r="12" spans="1:5" ht="15.75" x14ac:dyDescent="0.25">
      <c r="A12" s="286"/>
      <c r="B12" s="286" t="s">
        <v>147</v>
      </c>
      <c r="C12" s="579">
        <v>0</v>
      </c>
      <c r="E12" s="261"/>
    </row>
    <row r="13" spans="1:5" ht="15.75" x14ac:dyDescent="0.25">
      <c r="A13" s="286"/>
      <c r="B13" s="286" t="s">
        <v>148</v>
      </c>
      <c r="C13" s="292">
        <v>1.54E-2</v>
      </c>
      <c r="E13" s="262"/>
    </row>
    <row r="14" spans="1:5" ht="15.75" x14ac:dyDescent="0.25">
      <c r="A14" s="286"/>
      <c r="B14" s="286" t="s">
        <v>149</v>
      </c>
      <c r="C14" s="292">
        <v>1.43E-2</v>
      </c>
      <c r="E14" s="262"/>
    </row>
    <row r="15" spans="1:5" ht="15.75" x14ac:dyDescent="0.25">
      <c r="A15" s="286"/>
      <c r="B15" s="286" t="s">
        <v>150</v>
      </c>
      <c r="C15" s="292">
        <v>1.9800000000000002E-2</v>
      </c>
      <c r="E15" s="261"/>
    </row>
    <row r="16" spans="1:5" ht="15.75" x14ac:dyDescent="0.25">
      <c r="A16" s="286"/>
      <c r="B16" s="286" t="s">
        <v>151</v>
      </c>
      <c r="C16" s="292">
        <v>4.5999999999999999E-3</v>
      </c>
      <c r="E16" s="261"/>
    </row>
    <row r="17" spans="1:5" ht="15.75" x14ac:dyDescent="0.25">
      <c r="A17" s="286"/>
      <c r="B17" s="293" t="s">
        <v>152</v>
      </c>
      <c r="C17" s="292">
        <v>1.21E-2</v>
      </c>
      <c r="E17" s="261"/>
    </row>
    <row r="18" spans="1:5" ht="15.75" x14ac:dyDescent="0.25">
      <c r="A18" s="286"/>
      <c r="B18" s="293" t="s">
        <v>153</v>
      </c>
      <c r="C18" s="292">
        <v>2.2800000000000001E-2</v>
      </c>
      <c r="E18" s="261"/>
    </row>
    <row r="19" spans="1:5" ht="15.75" x14ac:dyDescent="0.25">
      <c r="A19" s="286"/>
      <c r="B19" s="286" t="s">
        <v>154</v>
      </c>
      <c r="C19" s="292">
        <v>1.7899999999999999E-2</v>
      </c>
      <c r="E19" s="261"/>
    </row>
    <row r="20" spans="1:5" ht="15.75" x14ac:dyDescent="0.25">
      <c r="A20" s="286"/>
      <c r="B20" s="286" t="s">
        <v>155</v>
      </c>
      <c r="C20" s="292">
        <v>2.5999999999999999E-2</v>
      </c>
      <c r="E20" s="261"/>
    </row>
    <row r="21" spans="1:5" ht="15.75" x14ac:dyDescent="0.25">
      <c r="A21" s="286"/>
      <c r="B21" s="293" t="s">
        <v>156</v>
      </c>
      <c r="C21" s="292">
        <v>1.26E-2</v>
      </c>
      <c r="E21" s="261"/>
    </row>
    <row r="22" spans="1:5" ht="15.75" x14ac:dyDescent="0.25">
      <c r="A22" s="286"/>
      <c r="B22" s="301" t="s">
        <v>423</v>
      </c>
      <c r="C22" s="294"/>
    </row>
    <row r="23" spans="1:5" ht="15.75" x14ac:dyDescent="0.25">
      <c r="A23" s="286"/>
      <c r="B23" s="291" t="s">
        <v>157</v>
      </c>
      <c r="C23" s="292"/>
    </row>
    <row r="26" spans="1:5" ht="15.75" x14ac:dyDescent="0.25">
      <c r="A26" s="285" t="s">
        <v>158</v>
      </c>
    </row>
    <row r="28" spans="1:5" ht="15.75" x14ac:dyDescent="0.25">
      <c r="A28" s="295"/>
      <c r="B28" s="295"/>
      <c r="C28" s="287" t="s">
        <v>141</v>
      </c>
    </row>
    <row r="29" spans="1:5" ht="15.75" x14ac:dyDescent="0.25">
      <c r="A29" s="295"/>
      <c r="B29" s="283"/>
      <c r="C29" s="287" t="s">
        <v>142</v>
      </c>
    </row>
    <row r="30" spans="1:5" ht="15.75" x14ac:dyDescent="0.25">
      <c r="A30" s="677" t="s">
        <v>143</v>
      </c>
      <c r="B30" s="677"/>
      <c r="C30" s="288" t="s">
        <v>144</v>
      </c>
    </row>
    <row r="31" spans="1:5" ht="15.75" x14ac:dyDescent="0.25">
      <c r="A31" s="295"/>
      <c r="B31" s="295"/>
      <c r="C31" s="290"/>
    </row>
    <row r="32" spans="1:5" ht="15.75" x14ac:dyDescent="0.25">
      <c r="A32" s="296" t="s">
        <v>159</v>
      </c>
      <c r="B32" s="295"/>
      <c r="C32" s="297"/>
    </row>
    <row r="33" spans="1:5" ht="15.75" x14ac:dyDescent="0.25">
      <c r="A33" s="298" t="s">
        <v>160</v>
      </c>
      <c r="B33" s="299"/>
      <c r="C33" s="300"/>
    </row>
    <row r="34" spans="1:5" ht="15.75" x14ac:dyDescent="0.25">
      <c r="A34" s="295"/>
      <c r="B34" s="301" t="s">
        <v>161</v>
      </c>
      <c r="C34" s="302">
        <v>0</v>
      </c>
      <c r="E34" s="263"/>
    </row>
    <row r="35" spans="1:5" ht="15.75" x14ac:dyDescent="0.25">
      <c r="A35" s="295"/>
      <c r="B35" s="301" t="s">
        <v>146</v>
      </c>
      <c r="C35" s="303">
        <v>3.9199999999999999E-2</v>
      </c>
      <c r="E35" s="263"/>
    </row>
    <row r="36" spans="1:5" ht="15.75" x14ac:dyDescent="0.25">
      <c r="A36" s="295"/>
      <c r="B36" s="301" t="s">
        <v>162</v>
      </c>
      <c r="C36" s="303">
        <v>1.17E-2</v>
      </c>
      <c r="E36" s="263"/>
    </row>
    <row r="37" spans="1:5" ht="15.75" x14ac:dyDescent="0.25">
      <c r="A37" s="295"/>
      <c r="B37" s="301" t="s">
        <v>150</v>
      </c>
      <c r="C37" s="580">
        <v>1.32E-2</v>
      </c>
      <c r="E37" s="263"/>
    </row>
    <row r="38" spans="1:5" ht="15.75" x14ac:dyDescent="0.25">
      <c r="A38" s="295"/>
      <c r="B38" s="301" t="s">
        <v>152</v>
      </c>
      <c r="C38" s="303">
        <v>1.38E-2</v>
      </c>
      <c r="E38" s="263"/>
    </row>
    <row r="39" spans="1:5" ht="15.75" x14ac:dyDescent="0.25">
      <c r="A39" s="295"/>
      <c r="B39" s="301" t="s">
        <v>153</v>
      </c>
      <c r="C39" s="303">
        <v>2.9499999999999998E-2</v>
      </c>
      <c r="E39" s="263"/>
    </row>
    <row r="40" spans="1:5" ht="15.75" x14ac:dyDescent="0.25">
      <c r="A40" s="295"/>
      <c r="B40" s="301" t="s">
        <v>163</v>
      </c>
      <c r="C40" s="303">
        <v>2.52E-2</v>
      </c>
      <c r="E40" s="263"/>
    </row>
    <row r="41" spans="1:5" ht="15.75" x14ac:dyDescent="0.25">
      <c r="A41" s="295"/>
      <c r="B41" s="301" t="s">
        <v>155</v>
      </c>
      <c r="C41" s="303">
        <v>1.8499999999999999E-2</v>
      </c>
      <c r="E41" s="263"/>
    </row>
    <row r="42" spans="1:5" ht="15.75" x14ac:dyDescent="0.25">
      <c r="A42" s="295"/>
      <c r="B42" s="301" t="s">
        <v>156</v>
      </c>
      <c r="C42" s="303">
        <v>3.6499999999999998E-2</v>
      </c>
      <c r="E42" s="263"/>
    </row>
    <row r="43" spans="1:5" ht="15.75" x14ac:dyDescent="0.25">
      <c r="A43" s="295"/>
      <c r="B43" s="301" t="s">
        <v>423</v>
      </c>
      <c r="C43" s="303"/>
    </row>
    <row r="44" spans="1:5" ht="15.75" x14ac:dyDescent="0.25">
      <c r="A44" s="299"/>
      <c r="B44" s="291" t="s">
        <v>157</v>
      </c>
      <c r="C44" s="302"/>
    </row>
    <row r="47" spans="1:5" x14ac:dyDescent="0.2">
      <c r="B47" s="304" t="s">
        <v>949</v>
      </c>
    </row>
    <row r="48" spans="1:5" x14ac:dyDescent="0.2">
      <c r="B48" s="125" t="s">
        <v>424</v>
      </c>
    </row>
    <row r="49" spans="2:2" x14ac:dyDescent="0.2">
      <c r="B49" s="125" t="s">
        <v>425</v>
      </c>
    </row>
  </sheetData>
  <sheetProtection algorithmName="SHA-512" hashValue="Ndb3gDo72aZQxik/xwNAbYEv9CDfpfnl9Jt+uHqeQYB6pPJcXKRJTRDLU4iZHUXFbwprHesMgbOcYR6byooBXQ==" saltValue="PBaY8Zchk9eJBh0jFW60/Q==" spinCount="100000" sheet="1" objects="1" scenarios="1"/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23"/>
  <sheetViews>
    <sheetView zoomScale="85" zoomScaleNormal="85" workbookViewId="0">
      <selection activeCell="V41" sqref="V41"/>
    </sheetView>
  </sheetViews>
  <sheetFormatPr defaultColWidth="9.33203125" defaultRowHeight="15" x14ac:dyDescent="0.25"/>
  <cols>
    <col min="1" max="1" width="9.33203125" style="374"/>
    <col min="2" max="2" width="61" style="383" customWidth="1"/>
    <col min="3" max="3" width="20.83203125" style="377" bestFit="1" customWidth="1"/>
    <col min="4" max="4" width="13.6640625" style="377" bestFit="1" customWidth="1"/>
    <col min="5" max="5" width="15.6640625" style="377" customWidth="1"/>
    <col min="6" max="6" width="14.33203125" style="382" customWidth="1"/>
    <col min="7" max="16384" width="9.33203125" style="377"/>
  </cols>
  <sheetData>
    <row r="3" spans="1:6" x14ac:dyDescent="0.25">
      <c r="A3" s="374" t="s">
        <v>130</v>
      </c>
      <c r="B3" s="375"/>
      <c r="C3" s="376"/>
      <c r="D3" s="376"/>
      <c r="E3" s="376"/>
      <c r="F3" s="376"/>
    </row>
    <row r="4" spans="1:6" x14ac:dyDescent="0.25">
      <c r="A4" s="378" t="s">
        <v>867</v>
      </c>
      <c r="B4" s="375"/>
      <c r="C4" s="376"/>
      <c r="D4" s="376"/>
      <c r="E4" s="376"/>
      <c r="F4" s="376"/>
    </row>
    <row r="5" spans="1:6" x14ac:dyDescent="0.25">
      <c r="B5" s="375"/>
      <c r="C5" s="376"/>
      <c r="D5" s="376"/>
      <c r="E5" s="376"/>
      <c r="F5" s="376"/>
    </row>
    <row r="8" spans="1:6" x14ac:dyDescent="0.25">
      <c r="B8" s="375"/>
      <c r="C8" s="376"/>
      <c r="D8" s="376"/>
      <c r="E8" s="376"/>
      <c r="F8" s="379"/>
    </row>
    <row r="9" spans="1:6" x14ac:dyDescent="0.25">
      <c r="A9" s="374" t="s">
        <v>868</v>
      </c>
      <c r="B9" s="380" t="s">
        <v>869</v>
      </c>
      <c r="C9" s="381" t="s">
        <v>870</v>
      </c>
      <c r="D9" s="381" t="s">
        <v>6</v>
      </c>
    </row>
    <row r="10" spans="1:6" x14ac:dyDescent="0.25">
      <c r="A10" s="374" t="s">
        <v>871</v>
      </c>
      <c r="C10" s="377" t="s">
        <v>872</v>
      </c>
    </row>
    <row r="11" spans="1:6" x14ac:dyDescent="0.25">
      <c r="A11" s="384">
        <v>1</v>
      </c>
      <c r="B11" s="383" t="s">
        <v>873</v>
      </c>
      <c r="C11" s="385"/>
      <c r="D11" s="386"/>
      <c r="E11" s="382"/>
    </row>
    <row r="12" spans="1:6" x14ac:dyDescent="0.25">
      <c r="A12" s="384">
        <v>2</v>
      </c>
      <c r="B12" s="387" t="s">
        <v>874</v>
      </c>
      <c r="C12" s="392" t="s">
        <v>875</v>
      </c>
      <c r="D12" s="389">
        <f>'OATT Input Data'!E266</f>
        <v>1013960</v>
      </c>
      <c r="E12" s="382"/>
    </row>
    <row r="13" spans="1:6" ht="16.5" customHeight="1" x14ac:dyDescent="0.25">
      <c r="A13" s="384">
        <v>3</v>
      </c>
      <c r="B13" s="387" t="s">
        <v>876</v>
      </c>
      <c r="C13" s="392" t="s">
        <v>877</v>
      </c>
      <c r="D13" s="389">
        <f>'OATT Input Data'!E267</f>
        <v>3097837</v>
      </c>
      <c r="E13" s="382"/>
    </row>
    <row r="14" spans="1:6" x14ac:dyDescent="0.25">
      <c r="A14" s="384">
        <v>4</v>
      </c>
      <c r="B14" s="387" t="s">
        <v>878</v>
      </c>
      <c r="C14" s="392" t="s">
        <v>879</v>
      </c>
      <c r="D14" s="389">
        <f>'OATT Input Data'!E268</f>
        <v>1240325</v>
      </c>
      <c r="E14" s="382"/>
    </row>
    <row r="15" spans="1:6" x14ac:dyDescent="0.25">
      <c r="A15" s="384">
        <v>5</v>
      </c>
      <c r="B15" s="387" t="s">
        <v>880</v>
      </c>
      <c r="C15" s="392" t="s">
        <v>881</v>
      </c>
      <c r="D15" s="389">
        <f>'OATT Input Data'!E269</f>
        <v>0</v>
      </c>
      <c r="E15" s="382"/>
    </row>
    <row r="16" spans="1:6" x14ac:dyDescent="0.25">
      <c r="A16" s="384">
        <v>6</v>
      </c>
      <c r="B16" s="387" t="s">
        <v>882</v>
      </c>
      <c r="C16" s="392" t="s">
        <v>883</v>
      </c>
      <c r="D16" s="389">
        <f>'OATT Input Data'!E270</f>
        <v>920968</v>
      </c>
      <c r="E16" s="382"/>
    </row>
    <row r="17" spans="1:6" x14ac:dyDescent="0.25">
      <c r="A17" s="384">
        <v>7</v>
      </c>
      <c r="B17" s="387" t="s">
        <v>884</v>
      </c>
      <c r="C17" s="392" t="s">
        <v>885</v>
      </c>
      <c r="D17" s="389">
        <f>'OATT Input Data'!E271</f>
        <v>-823</v>
      </c>
      <c r="E17" s="382"/>
    </row>
    <row r="18" spans="1:6" x14ac:dyDescent="0.25">
      <c r="A18" s="384">
        <v>8</v>
      </c>
      <c r="B18" s="387" t="s">
        <v>886</v>
      </c>
      <c r="C18" s="392" t="s">
        <v>887</v>
      </c>
      <c r="D18" s="389">
        <f>'OATT Input Data'!E272</f>
        <v>70426</v>
      </c>
      <c r="E18" s="382"/>
    </row>
    <row r="19" spans="1:6" ht="12.75" customHeight="1" x14ac:dyDescent="0.25">
      <c r="A19" s="384">
        <v>9</v>
      </c>
      <c r="B19" s="387" t="s">
        <v>888</v>
      </c>
      <c r="C19" s="392" t="s">
        <v>889</v>
      </c>
      <c r="D19" s="389">
        <f>'OATT Input Data'!E273</f>
        <v>0</v>
      </c>
      <c r="E19" s="382"/>
    </row>
    <row r="20" spans="1:6" x14ac:dyDescent="0.25">
      <c r="A20" s="384"/>
      <c r="B20" s="388"/>
      <c r="C20" s="379"/>
      <c r="D20" s="389"/>
      <c r="E20" s="382"/>
    </row>
    <row r="21" spans="1:6" x14ac:dyDescent="0.25">
      <c r="A21" s="384">
        <v>10</v>
      </c>
      <c r="B21" s="387" t="s">
        <v>890</v>
      </c>
      <c r="C21" s="392"/>
      <c r="D21" s="389">
        <f>SUM(D11:D19)</f>
        <v>6342693</v>
      </c>
      <c r="E21" s="382"/>
    </row>
    <row r="22" spans="1:6" x14ac:dyDescent="0.25">
      <c r="A22" s="374" t="s">
        <v>805</v>
      </c>
      <c r="B22" s="387"/>
      <c r="C22" s="581"/>
      <c r="D22" s="389"/>
      <c r="E22" s="389"/>
      <c r="F22" s="389"/>
    </row>
    <row r="23" spans="1:6" x14ac:dyDescent="0.25">
      <c r="A23" s="384">
        <v>11</v>
      </c>
      <c r="B23" s="387" t="s">
        <v>806</v>
      </c>
      <c r="C23" s="392">
        <v>398</v>
      </c>
      <c r="D23" s="389">
        <f>'OATT Input Data'!E408</f>
        <v>1104479</v>
      </c>
      <c r="E23" s="382"/>
    </row>
    <row r="24" spans="1:6" x14ac:dyDescent="0.25">
      <c r="A24" s="384">
        <v>12</v>
      </c>
      <c r="B24" s="387" t="s">
        <v>808</v>
      </c>
      <c r="C24" s="581"/>
      <c r="D24" s="389">
        <f>'OATT Input Data'!E409</f>
        <v>-970302</v>
      </c>
      <c r="E24" s="382"/>
    </row>
    <row r="25" spans="1:6" x14ac:dyDescent="0.25">
      <c r="A25" s="384"/>
      <c r="B25" s="387"/>
      <c r="C25" s="392"/>
      <c r="D25" s="389"/>
      <c r="E25" s="382"/>
    </row>
    <row r="26" spans="1:6" x14ac:dyDescent="0.25">
      <c r="A26" s="384">
        <v>13</v>
      </c>
      <c r="B26" s="387" t="s">
        <v>811</v>
      </c>
      <c r="C26" s="392" t="s">
        <v>891</v>
      </c>
      <c r="D26" s="389">
        <f>SUM(D23:D24)</f>
        <v>134177</v>
      </c>
      <c r="E26" s="382"/>
    </row>
    <row r="27" spans="1:6" x14ac:dyDescent="0.25">
      <c r="A27" s="384"/>
      <c r="B27" s="387"/>
      <c r="C27" s="392"/>
      <c r="D27" s="389"/>
      <c r="E27" s="389"/>
      <c r="F27" s="389"/>
    </row>
    <row r="28" spans="1:6" x14ac:dyDescent="0.25">
      <c r="A28" s="384">
        <v>14</v>
      </c>
      <c r="B28" s="387" t="s">
        <v>892</v>
      </c>
      <c r="C28" s="392" t="s">
        <v>893</v>
      </c>
      <c r="D28" s="582">
        <f>D21-D26</f>
        <v>6208516</v>
      </c>
      <c r="E28" s="582"/>
      <c r="F28" s="390"/>
    </row>
    <row r="29" spans="1:6" x14ac:dyDescent="0.25">
      <c r="A29" s="384"/>
      <c r="B29" s="387"/>
      <c r="C29" s="392"/>
      <c r="D29" s="382"/>
      <c r="E29" s="382"/>
      <c r="F29" s="389"/>
    </row>
    <row r="30" spans="1:6" x14ac:dyDescent="0.25">
      <c r="A30" s="384">
        <v>15</v>
      </c>
      <c r="B30" s="388" t="s">
        <v>894</v>
      </c>
      <c r="C30" s="379" t="s">
        <v>895</v>
      </c>
      <c r="D30" s="389">
        <f>'NITS Pg 1 of 5'!$J$30</f>
        <v>6769000</v>
      </c>
      <c r="E30" s="389"/>
      <c r="F30" s="389"/>
    </row>
    <row r="31" spans="1:6" x14ac:dyDescent="0.25">
      <c r="A31" s="384"/>
      <c r="B31" s="391"/>
      <c r="C31" s="392"/>
      <c r="D31" s="382"/>
      <c r="E31" s="393"/>
      <c r="F31" s="389"/>
    </row>
    <row r="32" spans="1:6" x14ac:dyDescent="0.25">
      <c r="A32" s="384">
        <v>16</v>
      </c>
      <c r="B32" s="388" t="s">
        <v>896</v>
      </c>
      <c r="C32" s="379" t="s">
        <v>897</v>
      </c>
      <c r="D32" s="609">
        <f>ROUND(D28/D30,3)</f>
        <v>0.91700000000000004</v>
      </c>
      <c r="E32" s="382" t="s">
        <v>976</v>
      </c>
    </row>
    <row r="33" spans="1:6" x14ac:dyDescent="0.25">
      <c r="A33" s="384">
        <v>17</v>
      </c>
      <c r="B33" s="388" t="s">
        <v>969</v>
      </c>
      <c r="C33" s="392" t="s">
        <v>898</v>
      </c>
      <c r="D33" s="583">
        <f>ROUND(D32/12,4)</f>
        <v>7.6399999999999996E-2</v>
      </c>
      <c r="E33" s="382" t="s">
        <v>977</v>
      </c>
    </row>
    <row r="34" spans="1:6" x14ac:dyDescent="0.25">
      <c r="A34" s="384">
        <v>18</v>
      </c>
      <c r="B34" s="391" t="s">
        <v>970</v>
      </c>
      <c r="C34" s="392" t="s">
        <v>973</v>
      </c>
      <c r="D34" s="610">
        <f>D32/52</f>
        <v>1.7634615384615384E-2</v>
      </c>
      <c r="E34" s="382" t="s">
        <v>978</v>
      </c>
      <c r="F34" s="389"/>
    </row>
    <row r="35" spans="1:6" x14ac:dyDescent="0.25">
      <c r="A35" s="384">
        <v>19</v>
      </c>
      <c r="B35" s="391" t="s">
        <v>971</v>
      </c>
      <c r="C35" s="392" t="s">
        <v>974</v>
      </c>
      <c r="D35" s="610">
        <f>D34/7</f>
        <v>2.5192307692307693E-3</v>
      </c>
      <c r="E35" s="393" t="s">
        <v>979</v>
      </c>
      <c r="F35" s="389"/>
    </row>
    <row r="36" spans="1:6" x14ac:dyDescent="0.25">
      <c r="A36" s="384">
        <v>20</v>
      </c>
      <c r="B36" s="388" t="s">
        <v>972</v>
      </c>
      <c r="C36" s="392" t="s">
        <v>975</v>
      </c>
      <c r="D36" s="610">
        <f>D35/24</f>
        <v>1.0496794871794872E-4</v>
      </c>
      <c r="E36" s="393" t="s">
        <v>980</v>
      </c>
      <c r="F36" s="389"/>
    </row>
    <row r="37" spans="1:6" x14ac:dyDescent="0.25">
      <c r="A37" s="384"/>
      <c r="B37" s="394"/>
      <c r="C37" s="395"/>
      <c r="D37" s="396"/>
      <c r="E37" s="396"/>
      <c r="F37" s="397"/>
    </row>
    <row r="38" spans="1:6" x14ac:dyDescent="0.25">
      <c r="A38" s="384"/>
      <c r="B38" s="398"/>
      <c r="C38" s="395"/>
      <c r="D38" s="396"/>
      <c r="E38" s="399"/>
      <c r="F38" s="397"/>
    </row>
    <row r="39" spans="1:6" x14ac:dyDescent="0.25">
      <c r="A39" s="384"/>
      <c r="B39" s="388"/>
      <c r="C39" s="392"/>
      <c r="D39" s="382"/>
      <c r="E39" s="382"/>
      <c r="F39" s="389"/>
    </row>
    <row r="40" spans="1:6" x14ac:dyDescent="0.25">
      <c r="A40" s="384"/>
      <c r="B40" s="388"/>
      <c r="C40" s="392"/>
      <c r="D40" s="389"/>
      <c r="E40" s="389"/>
      <c r="F40" s="389"/>
    </row>
    <row r="41" spans="1:6" x14ac:dyDescent="0.25">
      <c r="A41" s="384"/>
      <c r="B41" s="388"/>
      <c r="C41" s="392"/>
      <c r="D41" s="389"/>
      <c r="E41" s="389"/>
      <c r="F41" s="389"/>
    </row>
    <row r="42" spans="1:6" x14ac:dyDescent="0.25">
      <c r="A42" s="384"/>
      <c r="B42" s="388"/>
      <c r="C42" s="392"/>
      <c r="D42" s="389"/>
      <c r="E42" s="389"/>
      <c r="F42" s="389"/>
    </row>
    <row r="43" spans="1:6" x14ac:dyDescent="0.25">
      <c r="A43" s="384"/>
      <c r="B43" s="388"/>
      <c r="C43" s="392"/>
      <c r="D43" s="389"/>
      <c r="E43" s="389"/>
      <c r="F43" s="389"/>
    </row>
    <row r="44" spans="1:6" x14ac:dyDescent="0.25">
      <c r="A44" s="384"/>
      <c r="B44" s="388"/>
      <c r="C44" s="379"/>
      <c r="D44" s="400"/>
      <c r="E44" s="400"/>
      <c r="F44" s="400"/>
    </row>
    <row r="45" spans="1:6" x14ac:dyDescent="0.25">
      <c r="A45" s="384"/>
      <c r="B45" s="388"/>
      <c r="C45" s="379"/>
      <c r="D45" s="401"/>
      <c r="E45" s="401"/>
      <c r="F45" s="401"/>
    </row>
    <row r="46" spans="1:6" x14ac:dyDescent="0.25">
      <c r="A46" s="384"/>
      <c r="B46" s="388"/>
      <c r="C46" s="392"/>
      <c r="D46" s="382"/>
      <c r="E46" s="382"/>
    </row>
    <row r="47" spans="1:6" x14ac:dyDescent="0.25">
      <c r="A47" s="384"/>
      <c r="B47" s="388"/>
      <c r="C47" s="379"/>
      <c r="D47" s="389"/>
      <c r="E47" s="389"/>
      <c r="F47" s="389"/>
    </row>
    <row r="48" spans="1:6" x14ac:dyDescent="0.25">
      <c r="A48" s="384"/>
      <c r="B48" s="388"/>
      <c r="C48" s="379"/>
      <c r="D48" s="389"/>
      <c r="E48" s="389"/>
      <c r="F48" s="389"/>
    </row>
    <row r="49" spans="1:6" x14ac:dyDescent="0.25">
      <c r="A49" s="384"/>
      <c r="B49" s="388"/>
      <c r="C49" s="379"/>
      <c r="D49" s="389"/>
      <c r="E49" s="389"/>
      <c r="F49" s="389"/>
    </row>
    <row r="50" spans="1:6" x14ac:dyDescent="0.25">
      <c r="A50" s="384"/>
      <c r="B50" s="388"/>
      <c r="C50" s="379"/>
      <c r="D50" s="389"/>
      <c r="E50" s="389"/>
      <c r="F50" s="389"/>
    </row>
    <row r="51" spans="1:6" x14ac:dyDescent="0.25">
      <c r="A51" s="384"/>
      <c r="B51" s="388"/>
      <c r="C51" s="379"/>
      <c r="D51" s="400"/>
      <c r="E51" s="400"/>
      <c r="F51" s="400"/>
    </row>
    <row r="52" spans="1:6" x14ac:dyDescent="0.25">
      <c r="A52" s="384"/>
      <c r="B52" s="388"/>
      <c r="C52" s="392"/>
      <c r="D52" s="389"/>
      <c r="E52" s="389"/>
      <c r="F52" s="389"/>
    </row>
    <row r="53" spans="1:6" x14ac:dyDescent="0.25">
      <c r="A53" s="384"/>
      <c r="B53" s="388"/>
      <c r="C53" s="392"/>
      <c r="D53" s="382"/>
      <c r="E53" s="382"/>
    </row>
    <row r="54" spans="1:6" x14ac:dyDescent="0.25">
      <c r="A54" s="384"/>
      <c r="B54" s="388"/>
      <c r="C54" s="392"/>
      <c r="D54" s="389"/>
      <c r="E54" s="389"/>
      <c r="F54" s="389"/>
    </row>
    <row r="55" spans="1:6" x14ac:dyDescent="0.25">
      <c r="A55" s="384"/>
      <c r="B55" s="388"/>
      <c r="C55" s="392"/>
      <c r="D55" s="389"/>
      <c r="E55" s="389"/>
      <c r="F55" s="389"/>
    </row>
    <row r="56" spans="1:6" x14ac:dyDescent="0.25">
      <c r="A56" s="384"/>
      <c r="B56" s="388"/>
      <c r="C56" s="392"/>
      <c r="D56" s="389"/>
      <c r="E56" s="389"/>
      <c r="F56" s="389"/>
    </row>
    <row r="57" spans="1:6" x14ac:dyDescent="0.25">
      <c r="A57" s="384"/>
      <c r="B57" s="388"/>
      <c r="C57" s="392"/>
      <c r="D57" s="389"/>
      <c r="E57" s="389"/>
      <c r="F57" s="389"/>
    </row>
    <row r="58" spans="1:6" x14ac:dyDescent="0.25">
      <c r="A58" s="384"/>
      <c r="B58" s="388"/>
      <c r="C58" s="392"/>
      <c r="D58" s="400"/>
      <c r="E58" s="400"/>
      <c r="F58" s="400"/>
    </row>
    <row r="59" spans="1:6" x14ac:dyDescent="0.25">
      <c r="A59" s="384"/>
      <c r="B59" s="391"/>
      <c r="C59" s="392"/>
      <c r="D59" s="389"/>
      <c r="E59" s="389"/>
      <c r="F59" s="389"/>
    </row>
    <row r="60" spans="1:6" x14ac:dyDescent="0.25">
      <c r="A60" s="384"/>
      <c r="B60" s="388"/>
      <c r="C60" s="392"/>
      <c r="D60" s="382"/>
      <c r="E60" s="382"/>
    </row>
    <row r="61" spans="1:6" x14ac:dyDescent="0.25">
      <c r="A61" s="384"/>
      <c r="B61" s="391"/>
      <c r="C61" s="379"/>
      <c r="D61" s="389"/>
      <c r="E61" s="389"/>
      <c r="F61" s="389"/>
    </row>
    <row r="62" spans="1:6" x14ac:dyDescent="0.25">
      <c r="A62" s="384"/>
      <c r="B62" s="388"/>
      <c r="C62" s="379"/>
      <c r="D62" s="389"/>
      <c r="E62" s="389"/>
      <c r="F62" s="389"/>
    </row>
    <row r="63" spans="1:6" x14ac:dyDescent="0.25">
      <c r="A63" s="384"/>
      <c r="B63" s="388"/>
      <c r="C63" s="379"/>
      <c r="D63" s="389"/>
      <c r="E63" s="389"/>
      <c r="F63" s="389"/>
    </row>
    <row r="64" spans="1:6" x14ac:dyDescent="0.25">
      <c r="A64" s="384"/>
      <c r="B64" s="388"/>
      <c r="C64" s="379"/>
      <c r="D64" s="389"/>
      <c r="E64" s="389"/>
      <c r="F64" s="389"/>
    </row>
    <row r="65" spans="1:6" x14ac:dyDescent="0.25">
      <c r="A65" s="384"/>
      <c r="B65" s="388"/>
      <c r="C65" s="379"/>
      <c r="D65" s="400"/>
      <c r="E65" s="400"/>
      <c r="F65" s="400"/>
    </row>
    <row r="66" spans="1:6" x14ac:dyDescent="0.25">
      <c r="A66" s="384"/>
      <c r="B66" s="388"/>
      <c r="C66" s="392"/>
      <c r="D66" s="389"/>
      <c r="E66" s="389"/>
      <c r="F66" s="389"/>
    </row>
    <row r="67" spans="1:6" x14ac:dyDescent="0.25">
      <c r="A67" s="384"/>
      <c r="B67" s="388"/>
      <c r="C67" s="379"/>
      <c r="D67" s="389"/>
      <c r="E67" s="389"/>
      <c r="F67" s="389"/>
    </row>
    <row r="68" spans="1:6" x14ac:dyDescent="0.25">
      <c r="A68" s="384"/>
      <c r="B68" s="388"/>
      <c r="C68" s="392"/>
      <c r="D68" s="382"/>
      <c r="E68" s="382"/>
    </row>
    <row r="69" spans="1:6" x14ac:dyDescent="0.25">
      <c r="A69" s="384"/>
      <c r="B69" s="388"/>
      <c r="C69" s="379"/>
      <c r="D69" s="389"/>
      <c r="E69" s="389"/>
      <c r="F69" s="389"/>
    </row>
    <row r="70" spans="1:6" x14ac:dyDescent="0.25">
      <c r="A70" s="384"/>
      <c r="B70" s="388"/>
      <c r="C70" s="379"/>
      <c r="D70" s="389"/>
      <c r="E70" s="389"/>
      <c r="F70" s="389"/>
    </row>
    <row r="71" spans="1:6" ht="17.25" x14ac:dyDescent="0.4">
      <c r="A71" s="384"/>
      <c r="B71" s="388"/>
      <c r="C71" s="379"/>
      <c r="D71" s="400"/>
      <c r="E71" s="400"/>
      <c r="F71" s="402"/>
    </row>
    <row r="72" spans="1:6" x14ac:dyDescent="0.25">
      <c r="A72" s="384"/>
      <c r="B72" s="388"/>
      <c r="C72" s="392"/>
      <c r="D72" s="401"/>
      <c r="E72" s="401"/>
      <c r="F72" s="401"/>
    </row>
    <row r="73" spans="1:6" ht="15.75" thickBot="1" x14ac:dyDescent="0.3">
      <c r="A73" s="384"/>
      <c r="B73" s="403"/>
      <c r="C73" s="404"/>
      <c r="D73" s="405"/>
      <c r="E73" s="405"/>
      <c r="F73" s="405"/>
    </row>
    <row r="74" spans="1:6" x14ac:dyDescent="0.25">
      <c r="B74" s="406"/>
      <c r="C74" s="382"/>
      <c r="D74" s="382"/>
      <c r="E74" s="382"/>
    </row>
    <row r="75" spans="1:6" x14ac:dyDescent="0.25">
      <c r="A75" s="384"/>
      <c r="B75" s="388"/>
      <c r="C75" s="382"/>
      <c r="D75" s="389"/>
      <c r="E75" s="389"/>
      <c r="F75" s="389"/>
    </row>
    <row r="76" spans="1:6" x14ac:dyDescent="0.25">
      <c r="A76" s="384"/>
      <c r="B76" s="388"/>
      <c r="C76" s="382"/>
      <c r="D76" s="389"/>
      <c r="E76" s="389"/>
      <c r="F76" s="389"/>
    </row>
    <row r="77" spans="1:6" x14ac:dyDescent="0.25">
      <c r="A77" s="384"/>
      <c r="B77" s="388"/>
      <c r="C77" s="382"/>
      <c r="D77" s="389"/>
      <c r="E77" s="389"/>
      <c r="F77" s="389"/>
    </row>
    <row r="78" spans="1:6" x14ac:dyDescent="0.25">
      <c r="A78" s="384"/>
      <c r="B78" s="388"/>
      <c r="C78" s="382"/>
      <c r="D78" s="389"/>
      <c r="E78" s="389"/>
      <c r="F78" s="389"/>
    </row>
    <row r="79" spans="1:6" x14ac:dyDescent="0.25">
      <c r="A79" s="384"/>
      <c r="B79" s="388"/>
      <c r="C79" s="382"/>
      <c r="D79" s="389"/>
      <c r="E79" s="389"/>
      <c r="F79" s="389"/>
    </row>
    <row r="80" spans="1:6" x14ac:dyDescent="0.25">
      <c r="A80" s="384"/>
      <c r="B80" s="388"/>
      <c r="C80" s="382"/>
      <c r="D80" s="389"/>
      <c r="E80" s="389"/>
      <c r="F80" s="389"/>
    </row>
    <row r="81" spans="1:6" x14ac:dyDescent="0.25">
      <c r="A81" s="384"/>
      <c r="B81" s="388"/>
      <c r="C81" s="382"/>
      <c r="D81" s="389"/>
      <c r="E81" s="389"/>
      <c r="F81" s="389"/>
    </row>
    <row r="82" spans="1:6" ht="17.25" x14ac:dyDescent="0.4">
      <c r="A82" s="384"/>
      <c r="B82" s="388"/>
      <c r="C82" s="382"/>
      <c r="D82" s="402"/>
      <c r="E82" s="402"/>
      <c r="F82" s="402"/>
    </row>
    <row r="83" spans="1:6" x14ac:dyDescent="0.25">
      <c r="A83" s="384"/>
      <c r="B83" s="388"/>
      <c r="C83" s="382"/>
      <c r="D83" s="401"/>
      <c r="E83" s="401"/>
      <c r="F83" s="401"/>
    </row>
    <row r="84" spans="1:6" x14ac:dyDescent="0.25">
      <c r="B84" s="388"/>
      <c r="C84" s="382"/>
      <c r="D84" s="382"/>
      <c r="E84" s="382"/>
    </row>
    <row r="85" spans="1:6" x14ac:dyDescent="0.25">
      <c r="A85" s="384"/>
      <c r="B85" s="391"/>
      <c r="C85" s="382"/>
      <c r="D85" s="389"/>
      <c r="E85" s="389"/>
      <c r="F85" s="389"/>
    </row>
    <row r="86" spans="1:6" x14ac:dyDescent="0.25">
      <c r="A86" s="384"/>
      <c r="B86" s="388"/>
      <c r="C86" s="382"/>
      <c r="D86" s="389"/>
      <c r="E86" s="389"/>
      <c r="F86" s="389"/>
    </row>
    <row r="87" spans="1:6" ht="17.25" x14ac:dyDescent="0.4">
      <c r="A87" s="384"/>
      <c r="B87" s="388"/>
      <c r="C87" s="382"/>
      <c r="D87" s="400"/>
      <c r="E87" s="402"/>
      <c r="F87" s="402"/>
    </row>
    <row r="88" spans="1:6" x14ac:dyDescent="0.25">
      <c r="A88" s="384"/>
      <c r="B88" s="388"/>
      <c r="C88" s="382"/>
      <c r="D88" s="401"/>
      <c r="E88" s="401"/>
      <c r="F88" s="401"/>
    </row>
    <row r="89" spans="1:6" x14ac:dyDescent="0.25">
      <c r="A89" s="384"/>
      <c r="B89" s="388"/>
      <c r="C89" s="382"/>
      <c r="D89" s="382"/>
      <c r="E89" s="382"/>
    </row>
    <row r="90" spans="1:6" x14ac:dyDescent="0.25">
      <c r="B90" s="388"/>
      <c r="C90" s="382"/>
      <c r="D90" s="382"/>
      <c r="E90" s="382"/>
    </row>
    <row r="91" spans="1:6" x14ac:dyDescent="0.25">
      <c r="A91" s="384"/>
      <c r="B91" s="388"/>
      <c r="C91" s="382"/>
      <c r="D91" s="389"/>
      <c r="E91" s="389"/>
      <c r="F91" s="389"/>
    </row>
    <row r="92" spans="1:6" x14ac:dyDescent="0.25">
      <c r="A92" s="384"/>
      <c r="B92" s="388"/>
      <c r="C92" s="382"/>
      <c r="D92" s="389"/>
      <c r="E92" s="389"/>
      <c r="F92" s="389"/>
    </row>
    <row r="93" spans="1:6" x14ac:dyDescent="0.25">
      <c r="A93" s="384"/>
      <c r="B93" s="388"/>
      <c r="C93" s="382"/>
      <c r="D93" s="382"/>
      <c r="E93" s="382"/>
    </row>
    <row r="94" spans="1:6" x14ac:dyDescent="0.25">
      <c r="A94" s="384"/>
      <c r="B94" s="388"/>
      <c r="C94" s="382"/>
      <c r="D94" s="389"/>
      <c r="E94" s="389"/>
      <c r="F94" s="389"/>
    </row>
    <row r="95" spans="1:6" x14ac:dyDescent="0.25">
      <c r="A95" s="384"/>
      <c r="B95" s="388"/>
      <c r="C95" s="382"/>
      <c r="D95" s="389"/>
      <c r="E95" s="389"/>
      <c r="F95" s="389"/>
    </row>
    <row r="96" spans="1:6" x14ac:dyDescent="0.25">
      <c r="A96" s="384"/>
      <c r="B96" s="388"/>
      <c r="C96" s="382"/>
      <c r="D96" s="389"/>
      <c r="E96" s="389"/>
      <c r="F96" s="389"/>
    </row>
    <row r="97" spans="1:6" ht="17.25" x14ac:dyDescent="0.4">
      <c r="A97" s="384"/>
      <c r="B97" s="388"/>
      <c r="C97" s="382"/>
      <c r="D97" s="400"/>
      <c r="E97" s="400"/>
      <c r="F97" s="402"/>
    </row>
    <row r="98" spans="1:6" x14ac:dyDescent="0.25">
      <c r="A98" s="384"/>
      <c r="B98" s="388"/>
      <c r="C98" s="382"/>
      <c r="D98" s="389"/>
      <c r="E98" s="389"/>
      <c r="F98" s="389"/>
    </row>
    <row r="99" spans="1:6" x14ac:dyDescent="0.25">
      <c r="B99" s="388"/>
      <c r="C99" s="382"/>
      <c r="D99" s="382"/>
      <c r="E99" s="382"/>
    </row>
    <row r="100" spans="1:6" x14ac:dyDescent="0.25">
      <c r="A100" s="384"/>
      <c r="B100" s="391"/>
      <c r="C100" s="382"/>
      <c r="D100" s="382"/>
      <c r="E100" s="382"/>
    </row>
    <row r="101" spans="1:6" x14ac:dyDescent="0.25">
      <c r="A101" s="384"/>
      <c r="B101" s="391"/>
      <c r="C101" s="382"/>
      <c r="D101" s="382"/>
      <c r="E101" s="382"/>
    </row>
    <row r="102" spans="1:6" x14ac:dyDescent="0.25">
      <c r="A102" s="384"/>
      <c r="B102" s="388"/>
      <c r="C102" s="382"/>
      <c r="D102" s="382"/>
      <c r="E102" s="382"/>
    </row>
    <row r="103" spans="1:6" x14ac:dyDescent="0.25">
      <c r="A103" s="384"/>
      <c r="B103" s="388"/>
      <c r="C103" s="382"/>
      <c r="D103" s="389"/>
      <c r="E103" s="389"/>
      <c r="F103" s="389"/>
    </row>
    <row r="104" spans="1:6" x14ac:dyDescent="0.25">
      <c r="A104" s="384"/>
      <c r="B104" s="388"/>
      <c r="C104" s="382"/>
      <c r="D104" s="389"/>
      <c r="E104" s="389"/>
      <c r="F104" s="389"/>
    </row>
    <row r="105" spans="1:6" x14ac:dyDescent="0.25">
      <c r="A105" s="384"/>
      <c r="B105" s="388"/>
      <c r="C105" s="382"/>
      <c r="D105" s="389"/>
      <c r="E105" s="389"/>
      <c r="F105" s="389"/>
    </row>
    <row r="106" spans="1:6" x14ac:dyDescent="0.25">
      <c r="A106" s="384"/>
      <c r="B106" s="388"/>
      <c r="C106" s="382"/>
      <c r="D106" s="389"/>
      <c r="E106" s="389"/>
      <c r="F106" s="389"/>
    </row>
    <row r="107" spans="1:6" x14ac:dyDescent="0.25">
      <c r="A107" s="384"/>
      <c r="B107" s="391"/>
      <c r="C107" s="392"/>
      <c r="D107" s="389"/>
      <c r="E107" s="389"/>
      <c r="F107" s="389"/>
    </row>
    <row r="108" spans="1:6" x14ac:dyDescent="0.25">
      <c r="A108" s="384"/>
      <c r="B108" s="388"/>
      <c r="C108" s="382"/>
      <c r="D108" s="401"/>
      <c r="E108" s="401"/>
      <c r="F108" s="401"/>
    </row>
    <row r="109" spans="1:6" x14ac:dyDescent="0.25">
      <c r="B109" s="388"/>
      <c r="C109" s="382"/>
      <c r="D109" s="382"/>
      <c r="E109" s="382"/>
    </row>
    <row r="110" spans="1:6" x14ac:dyDescent="0.25">
      <c r="A110" s="384"/>
      <c r="B110" s="388"/>
      <c r="C110" s="392"/>
      <c r="D110" s="401"/>
      <c r="E110" s="401"/>
      <c r="F110" s="401"/>
    </row>
    <row r="111" spans="1:6" x14ac:dyDescent="0.25">
      <c r="A111" s="384"/>
      <c r="B111" s="388"/>
      <c r="C111" s="382"/>
      <c r="D111" s="382"/>
      <c r="E111" s="382"/>
    </row>
    <row r="112" spans="1:6" ht="17.25" x14ac:dyDescent="0.4">
      <c r="A112" s="384"/>
      <c r="B112" s="388"/>
      <c r="C112" s="382"/>
      <c r="D112" s="400"/>
      <c r="E112" s="402"/>
      <c r="F112" s="402"/>
    </row>
    <row r="113" spans="1:6" x14ac:dyDescent="0.25">
      <c r="A113" s="384"/>
      <c r="B113" s="388"/>
      <c r="C113" s="382"/>
      <c r="D113" s="389"/>
      <c r="E113" s="389"/>
      <c r="F113" s="389"/>
    </row>
    <row r="114" spans="1:6" x14ac:dyDescent="0.25">
      <c r="A114" s="384"/>
      <c r="B114" s="388"/>
      <c r="C114" s="382"/>
      <c r="D114" s="382"/>
      <c r="E114" s="382"/>
    </row>
    <row r="115" spans="1:6" x14ac:dyDescent="0.25">
      <c r="B115" s="388"/>
      <c r="C115" s="382"/>
      <c r="D115" s="382"/>
      <c r="E115" s="382"/>
    </row>
    <row r="116" spans="1:6" x14ac:dyDescent="0.25">
      <c r="A116" s="384"/>
      <c r="B116" s="391"/>
      <c r="C116" s="392"/>
      <c r="D116" s="401"/>
      <c r="E116" s="401"/>
      <c r="F116" s="401"/>
    </row>
    <row r="117" spans="1:6" x14ac:dyDescent="0.25">
      <c r="A117" s="384"/>
      <c r="B117" s="388"/>
      <c r="C117" s="382"/>
      <c r="D117" s="407"/>
      <c r="E117" s="400"/>
      <c r="F117" s="400"/>
    </row>
    <row r="118" spans="1:6" x14ac:dyDescent="0.25">
      <c r="A118" s="384"/>
      <c r="B118" s="388"/>
      <c r="C118" s="408"/>
      <c r="D118" s="401"/>
      <c r="E118" s="401"/>
      <c r="F118" s="401"/>
    </row>
    <row r="119" spans="1:6" x14ac:dyDescent="0.25">
      <c r="A119" s="384"/>
      <c r="B119" s="388"/>
      <c r="C119" s="382"/>
      <c r="D119" s="382"/>
      <c r="E119" s="382"/>
    </row>
    <row r="120" spans="1:6" x14ac:dyDescent="0.25">
      <c r="A120" s="384"/>
      <c r="B120" s="388"/>
      <c r="C120" s="382"/>
      <c r="D120" s="382"/>
      <c r="E120" s="382"/>
    </row>
    <row r="121" spans="1:6" x14ac:dyDescent="0.25">
      <c r="A121" s="384"/>
      <c r="B121" s="388"/>
      <c r="C121" s="382"/>
      <c r="D121" s="382"/>
      <c r="E121" s="382"/>
    </row>
    <row r="122" spans="1:6" x14ac:dyDescent="0.25">
      <c r="B122" s="388"/>
      <c r="C122" s="382"/>
      <c r="D122" s="382"/>
      <c r="E122" s="382"/>
    </row>
    <row r="123" spans="1:6" x14ac:dyDescent="0.25">
      <c r="A123" s="384"/>
      <c r="B123" s="388"/>
      <c r="C123" s="382"/>
      <c r="D123" s="389"/>
      <c r="E123" s="389"/>
      <c r="F123" s="389"/>
    </row>
    <row r="124" spans="1:6" x14ac:dyDescent="0.25">
      <c r="A124" s="384"/>
      <c r="B124" s="388"/>
      <c r="C124" s="382"/>
      <c r="D124" s="389"/>
      <c r="E124" s="389"/>
      <c r="F124" s="389"/>
    </row>
    <row r="125" spans="1:6" x14ac:dyDescent="0.25">
      <c r="A125" s="384"/>
      <c r="B125" s="388"/>
      <c r="C125" s="382"/>
      <c r="D125" s="389"/>
      <c r="E125" s="389"/>
      <c r="F125" s="389"/>
    </row>
    <row r="126" spans="1:6" ht="17.25" x14ac:dyDescent="0.4">
      <c r="A126" s="384"/>
      <c r="B126" s="388"/>
      <c r="C126" s="382"/>
      <c r="D126" s="402"/>
      <c r="E126" s="402"/>
      <c r="F126" s="402"/>
    </row>
    <row r="127" spans="1:6" x14ac:dyDescent="0.25">
      <c r="A127" s="384"/>
      <c r="B127" s="388"/>
      <c r="C127" s="382"/>
      <c r="D127" s="389"/>
      <c r="E127" s="389"/>
      <c r="F127" s="389"/>
    </row>
    <row r="128" spans="1:6" x14ac:dyDescent="0.25">
      <c r="B128" s="391"/>
      <c r="C128" s="382"/>
      <c r="D128" s="382"/>
      <c r="E128" s="382"/>
    </row>
    <row r="129" spans="1:6" x14ac:dyDescent="0.25">
      <c r="B129" s="388"/>
      <c r="C129" s="382"/>
      <c r="D129" s="382"/>
      <c r="E129" s="382"/>
    </row>
    <row r="130" spans="1:6" x14ac:dyDescent="0.25">
      <c r="A130" s="384"/>
      <c r="B130" s="388"/>
      <c r="C130" s="382"/>
      <c r="D130" s="389"/>
      <c r="E130" s="389"/>
      <c r="F130" s="389"/>
    </row>
    <row r="131" spans="1:6" x14ac:dyDescent="0.25">
      <c r="A131" s="384"/>
      <c r="B131" s="388"/>
      <c r="C131" s="382"/>
      <c r="D131" s="389"/>
      <c r="E131" s="389"/>
      <c r="F131" s="389"/>
    </row>
    <row r="132" spans="1:6" ht="17.25" x14ac:dyDescent="0.4">
      <c r="A132" s="384"/>
      <c r="B132" s="388"/>
      <c r="C132" s="382"/>
      <c r="D132" s="400"/>
      <c r="E132" s="402"/>
      <c r="F132" s="402"/>
    </row>
    <row r="133" spans="1:6" x14ac:dyDescent="0.25">
      <c r="A133" s="384"/>
      <c r="B133" s="388"/>
      <c r="C133" s="382"/>
      <c r="D133" s="389"/>
      <c r="E133" s="389"/>
      <c r="F133" s="389"/>
    </row>
    <row r="134" spans="1:6" x14ac:dyDescent="0.25">
      <c r="B134" s="406"/>
      <c r="C134" s="382"/>
      <c r="D134" s="382"/>
      <c r="E134" s="382"/>
    </row>
    <row r="135" spans="1:6" x14ac:dyDescent="0.25">
      <c r="A135" s="384"/>
      <c r="B135" s="406"/>
      <c r="C135" s="382"/>
      <c r="D135" s="389"/>
      <c r="E135" s="389"/>
      <c r="F135" s="389"/>
    </row>
    <row r="136" spans="1:6" x14ac:dyDescent="0.25">
      <c r="A136" s="384"/>
      <c r="B136" s="406"/>
      <c r="C136" s="408"/>
      <c r="D136" s="389"/>
      <c r="E136" s="389"/>
      <c r="F136" s="389"/>
    </row>
    <row r="137" spans="1:6" x14ac:dyDescent="0.25">
      <c r="B137" s="388"/>
      <c r="C137" s="382"/>
      <c r="D137" s="382"/>
      <c r="E137" s="382"/>
    </row>
    <row r="138" spans="1:6" x14ac:dyDescent="0.25">
      <c r="A138" s="384"/>
      <c r="B138" s="388"/>
      <c r="C138" s="408"/>
      <c r="D138" s="389"/>
      <c r="E138" s="389"/>
      <c r="F138" s="389"/>
    </row>
    <row r="139" spans="1:6" x14ac:dyDescent="0.25">
      <c r="A139" s="384"/>
      <c r="B139" s="388"/>
      <c r="C139" s="382"/>
      <c r="D139" s="389"/>
      <c r="E139" s="389"/>
      <c r="F139" s="389"/>
    </row>
    <row r="140" spans="1:6" ht="17.25" x14ac:dyDescent="0.4">
      <c r="A140" s="384"/>
      <c r="B140" s="391"/>
      <c r="C140" s="382"/>
      <c r="D140" s="400"/>
      <c r="E140" s="402"/>
      <c r="F140" s="402"/>
    </row>
    <row r="141" spans="1:6" x14ac:dyDescent="0.25">
      <c r="A141" s="384"/>
      <c r="B141" s="388"/>
      <c r="C141" s="382"/>
      <c r="D141" s="389"/>
      <c r="E141" s="389"/>
      <c r="F141" s="389"/>
    </row>
    <row r="142" spans="1:6" x14ac:dyDescent="0.25">
      <c r="B142" s="388"/>
      <c r="C142" s="382"/>
      <c r="D142" s="382"/>
      <c r="E142" s="382"/>
    </row>
    <row r="143" spans="1:6" x14ac:dyDescent="0.25">
      <c r="A143" s="384"/>
      <c r="B143" s="388"/>
      <c r="C143" s="382"/>
      <c r="D143" s="389"/>
      <c r="E143" s="389"/>
      <c r="F143" s="389"/>
    </row>
    <row r="144" spans="1:6" x14ac:dyDescent="0.25">
      <c r="A144" s="384"/>
      <c r="B144" s="388"/>
      <c r="C144" s="382"/>
      <c r="D144" s="389"/>
      <c r="E144" s="389"/>
      <c r="F144" s="389"/>
    </row>
    <row r="145" spans="1:6" ht="17.25" x14ac:dyDescent="0.4">
      <c r="A145" s="384"/>
      <c r="B145" s="388"/>
      <c r="C145" s="382"/>
      <c r="D145" s="400"/>
      <c r="E145" s="402"/>
      <c r="F145" s="402"/>
    </row>
    <row r="146" spans="1:6" x14ac:dyDescent="0.25">
      <c r="A146" s="384"/>
      <c r="B146" s="388"/>
      <c r="C146" s="382"/>
      <c r="D146" s="389"/>
      <c r="E146" s="389"/>
      <c r="F146" s="389"/>
    </row>
    <row r="147" spans="1:6" x14ac:dyDescent="0.25">
      <c r="B147" s="388"/>
      <c r="C147" s="382"/>
      <c r="D147" s="382"/>
      <c r="E147" s="382"/>
    </row>
    <row r="148" spans="1:6" x14ac:dyDescent="0.25">
      <c r="B148" s="388"/>
      <c r="C148" s="382"/>
      <c r="D148" s="382"/>
      <c r="E148" s="382"/>
    </row>
    <row r="149" spans="1:6" x14ac:dyDescent="0.25">
      <c r="A149" s="384"/>
      <c r="B149" s="388"/>
      <c r="C149" s="382"/>
      <c r="D149" s="382"/>
      <c r="E149" s="382"/>
    </row>
    <row r="150" spans="1:6" x14ac:dyDescent="0.25">
      <c r="A150" s="384"/>
      <c r="B150" s="388"/>
      <c r="C150" s="382"/>
      <c r="D150" s="389"/>
      <c r="E150" s="389"/>
      <c r="F150" s="389"/>
    </row>
    <row r="151" spans="1:6" ht="17.25" x14ac:dyDescent="0.4">
      <c r="A151" s="384"/>
      <c r="B151" s="388"/>
      <c r="C151" s="382"/>
      <c r="D151" s="402"/>
      <c r="E151" s="402"/>
      <c r="F151" s="402"/>
    </row>
    <row r="152" spans="1:6" x14ac:dyDescent="0.25">
      <c r="A152" s="384"/>
      <c r="B152" s="388"/>
      <c r="C152" s="382"/>
      <c r="D152" s="389"/>
      <c r="E152" s="389"/>
      <c r="F152" s="389"/>
    </row>
    <row r="153" spans="1:6" x14ac:dyDescent="0.25">
      <c r="A153" s="384"/>
      <c r="B153" s="388"/>
      <c r="C153" s="382"/>
      <c r="D153" s="389"/>
      <c r="E153" s="389"/>
      <c r="F153" s="389"/>
    </row>
    <row r="154" spans="1:6" x14ac:dyDescent="0.25">
      <c r="A154" s="384"/>
      <c r="B154" s="388"/>
      <c r="C154" s="382"/>
      <c r="D154" s="382"/>
      <c r="E154" s="382"/>
    </row>
    <row r="155" spans="1:6" x14ac:dyDescent="0.25">
      <c r="A155" s="384"/>
      <c r="B155" s="388"/>
      <c r="C155" s="382"/>
      <c r="D155" s="389"/>
      <c r="E155" s="389"/>
      <c r="F155" s="389"/>
    </row>
    <row r="156" spans="1:6" ht="17.25" x14ac:dyDescent="0.4">
      <c r="A156" s="384"/>
      <c r="B156" s="388"/>
      <c r="C156" s="382"/>
      <c r="D156" s="402"/>
      <c r="E156" s="402"/>
      <c r="F156" s="402"/>
    </row>
    <row r="157" spans="1:6" x14ac:dyDescent="0.25">
      <c r="A157" s="384"/>
      <c r="B157" s="388"/>
      <c r="C157" s="382"/>
      <c r="D157" s="389"/>
      <c r="E157" s="389"/>
      <c r="F157" s="389"/>
    </row>
    <row r="158" spans="1:6" x14ac:dyDescent="0.25">
      <c r="B158" s="391"/>
      <c r="C158" s="382"/>
      <c r="D158" s="382"/>
      <c r="E158" s="382"/>
    </row>
    <row r="159" spans="1:6" x14ac:dyDescent="0.25">
      <c r="B159" s="388"/>
      <c r="C159" s="382"/>
      <c r="D159" s="382"/>
      <c r="E159" s="382"/>
    </row>
    <row r="160" spans="1:6" x14ac:dyDescent="0.25">
      <c r="B160" s="391"/>
      <c r="C160" s="382"/>
      <c r="D160" s="382"/>
      <c r="E160" s="382"/>
    </row>
    <row r="161" spans="2:5" x14ac:dyDescent="0.25">
      <c r="B161" s="388"/>
      <c r="C161" s="382"/>
      <c r="D161" s="382"/>
      <c r="E161" s="382"/>
    </row>
    <row r="162" spans="2:5" x14ac:dyDescent="0.25">
      <c r="B162" s="388"/>
      <c r="C162" s="382"/>
      <c r="D162" s="382"/>
      <c r="E162" s="382"/>
    </row>
    <row r="163" spans="2:5" x14ac:dyDescent="0.25">
      <c r="B163" s="391"/>
      <c r="C163" s="382"/>
      <c r="D163" s="382"/>
      <c r="E163" s="382"/>
    </row>
    <row r="164" spans="2:5" x14ac:dyDescent="0.25">
      <c r="B164" s="388"/>
      <c r="C164" s="382"/>
      <c r="D164" s="382"/>
      <c r="E164" s="382"/>
    </row>
    <row r="165" spans="2:5" x14ac:dyDescent="0.25">
      <c r="B165" s="391"/>
      <c r="C165" s="382"/>
      <c r="D165" s="382"/>
      <c r="E165" s="382"/>
    </row>
    <row r="166" spans="2:5" x14ac:dyDescent="0.25">
      <c r="B166" s="391"/>
      <c r="C166" s="382"/>
      <c r="D166" s="382"/>
      <c r="E166" s="382"/>
    </row>
    <row r="167" spans="2:5" x14ac:dyDescent="0.25">
      <c r="B167" s="388"/>
      <c r="C167" s="382"/>
      <c r="D167" s="382"/>
      <c r="E167" s="382"/>
    </row>
    <row r="168" spans="2:5" x14ac:dyDescent="0.25">
      <c r="B168" s="391"/>
      <c r="C168" s="382"/>
      <c r="D168" s="382"/>
      <c r="E168" s="382"/>
    </row>
    <row r="169" spans="2:5" x14ac:dyDescent="0.25">
      <c r="B169" s="388"/>
      <c r="C169" s="382"/>
      <c r="D169" s="382"/>
      <c r="E169" s="382"/>
    </row>
    <row r="170" spans="2:5" x14ac:dyDescent="0.25">
      <c r="B170" s="391"/>
      <c r="C170" s="382"/>
      <c r="D170" s="382"/>
      <c r="E170" s="382"/>
    </row>
    <row r="171" spans="2:5" x14ac:dyDescent="0.25">
      <c r="B171" s="391"/>
      <c r="C171" s="382"/>
      <c r="D171" s="382"/>
      <c r="E171" s="382"/>
    </row>
    <row r="172" spans="2:5" x14ac:dyDescent="0.25">
      <c r="B172" s="391"/>
      <c r="C172" s="382"/>
      <c r="D172" s="382"/>
      <c r="E172" s="382"/>
    </row>
    <row r="173" spans="2:5" x14ac:dyDescent="0.25">
      <c r="B173" s="391"/>
      <c r="C173" s="382"/>
      <c r="D173" s="382"/>
      <c r="E173" s="382"/>
    </row>
    <row r="174" spans="2:5" x14ac:dyDescent="0.25">
      <c r="B174" s="388"/>
      <c r="C174" s="382"/>
      <c r="D174" s="382"/>
      <c r="E174" s="382"/>
    </row>
    <row r="175" spans="2:5" x14ac:dyDescent="0.25">
      <c r="B175" s="391"/>
      <c r="C175" s="382"/>
      <c r="D175" s="382"/>
      <c r="E175" s="382"/>
    </row>
    <row r="176" spans="2:5" x14ac:dyDescent="0.25">
      <c r="B176" s="388"/>
      <c r="C176" s="382"/>
      <c r="D176" s="382"/>
      <c r="E176" s="382"/>
    </row>
    <row r="177" spans="2:5" x14ac:dyDescent="0.25">
      <c r="B177" s="388"/>
      <c r="C177" s="382"/>
      <c r="D177" s="382"/>
      <c r="E177" s="382"/>
    </row>
    <row r="178" spans="2:5" x14ac:dyDescent="0.25">
      <c r="B178" s="391"/>
      <c r="C178" s="382"/>
      <c r="D178" s="382"/>
      <c r="E178" s="382"/>
    </row>
    <row r="179" spans="2:5" x14ac:dyDescent="0.25">
      <c r="B179" s="388"/>
      <c r="C179" s="382"/>
      <c r="D179" s="382"/>
      <c r="E179" s="382"/>
    </row>
    <row r="180" spans="2:5" x14ac:dyDescent="0.25">
      <c r="B180" s="391"/>
      <c r="C180" s="382"/>
      <c r="D180" s="382"/>
      <c r="E180" s="382"/>
    </row>
    <row r="181" spans="2:5" x14ac:dyDescent="0.25">
      <c r="B181" s="391"/>
      <c r="C181" s="382"/>
      <c r="D181" s="382"/>
      <c r="E181" s="382"/>
    </row>
    <row r="182" spans="2:5" x14ac:dyDescent="0.25">
      <c r="B182" s="388"/>
      <c r="C182" s="382"/>
      <c r="D182" s="382"/>
      <c r="E182" s="382"/>
    </row>
    <row r="183" spans="2:5" x14ac:dyDescent="0.25">
      <c r="B183" s="391"/>
      <c r="C183" s="382"/>
      <c r="D183" s="382"/>
      <c r="E183" s="382"/>
    </row>
    <row r="184" spans="2:5" x14ac:dyDescent="0.25">
      <c r="B184" s="388"/>
      <c r="C184" s="382"/>
      <c r="D184" s="382"/>
      <c r="E184" s="382"/>
    </row>
    <row r="185" spans="2:5" x14ac:dyDescent="0.25">
      <c r="B185" s="391"/>
      <c r="C185" s="382"/>
      <c r="D185" s="382"/>
      <c r="E185" s="382"/>
    </row>
    <row r="186" spans="2:5" x14ac:dyDescent="0.25">
      <c r="B186" s="391"/>
      <c r="C186" s="382"/>
      <c r="D186" s="382"/>
      <c r="E186" s="382"/>
    </row>
    <row r="187" spans="2:5" x14ac:dyDescent="0.25">
      <c r="B187" s="388"/>
      <c r="C187" s="382"/>
      <c r="D187" s="382"/>
      <c r="E187" s="382"/>
    </row>
    <row r="188" spans="2:5" x14ac:dyDescent="0.25">
      <c r="B188" s="391"/>
      <c r="C188" s="382"/>
      <c r="D188" s="382"/>
      <c r="E188" s="382"/>
    </row>
    <row r="189" spans="2:5" x14ac:dyDescent="0.25">
      <c r="B189" s="388"/>
      <c r="C189" s="382"/>
      <c r="D189" s="382"/>
      <c r="E189" s="382"/>
    </row>
    <row r="190" spans="2:5" x14ac:dyDescent="0.25">
      <c r="B190" s="391"/>
      <c r="C190" s="382"/>
      <c r="D190" s="382"/>
      <c r="E190" s="382"/>
    </row>
    <row r="191" spans="2:5" x14ac:dyDescent="0.25">
      <c r="B191" s="391"/>
      <c r="C191" s="382"/>
      <c r="D191" s="382"/>
      <c r="E191" s="382"/>
    </row>
    <row r="192" spans="2:5" x14ac:dyDescent="0.25">
      <c r="B192" s="388"/>
      <c r="C192" s="382"/>
      <c r="D192" s="382"/>
      <c r="E192" s="382"/>
    </row>
    <row r="193" spans="2:5" x14ac:dyDescent="0.25">
      <c r="B193" s="391"/>
      <c r="C193" s="382"/>
      <c r="D193" s="382"/>
      <c r="E193" s="382"/>
    </row>
    <row r="194" spans="2:5" x14ac:dyDescent="0.25">
      <c r="B194" s="388"/>
      <c r="C194" s="382"/>
      <c r="D194" s="382"/>
      <c r="E194" s="382"/>
    </row>
    <row r="195" spans="2:5" x14ac:dyDescent="0.25">
      <c r="B195" s="391"/>
      <c r="C195" s="382"/>
      <c r="D195" s="382"/>
      <c r="E195" s="382"/>
    </row>
    <row r="196" spans="2:5" x14ac:dyDescent="0.25">
      <c r="B196" s="391"/>
      <c r="C196" s="382"/>
      <c r="D196" s="382"/>
      <c r="E196" s="382"/>
    </row>
    <row r="197" spans="2:5" x14ac:dyDescent="0.25">
      <c r="B197" s="406"/>
      <c r="C197" s="382"/>
      <c r="D197" s="382"/>
      <c r="E197" s="382"/>
    </row>
    <row r="198" spans="2:5" x14ac:dyDescent="0.25">
      <c r="B198" s="406"/>
      <c r="C198" s="382"/>
      <c r="D198" s="382"/>
      <c r="E198" s="382"/>
    </row>
    <row r="199" spans="2:5" x14ac:dyDescent="0.25">
      <c r="B199" s="406"/>
      <c r="C199" s="382"/>
      <c r="D199" s="382"/>
      <c r="E199" s="382"/>
    </row>
    <row r="200" spans="2:5" x14ac:dyDescent="0.25">
      <c r="B200" s="406"/>
      <c r="C200" s="382"/>
      <c r="D200" s="382"/>
      <c r="E200" s="382"/>
    </row>
    <row r="201" spans="2:5" x14ac:dyDescent="0.25">
      <c r="B201" s="406"/>
      <c r="C201" s="382"/>
      <c r="D201" s="382"/>
      <c r="E201" s="382"/>
    </row>
    <row r="202" spans="2:5" x14ac:dyDescent="0.25">
      <c r="B202" s="406"/>
      <c r="C202" s="382"/>
      <c r="D202" s="382"/>
      <c r="E202" s="382"/>
    </row>
    <row r="203" spans="2:5" x14ac:dyDescent="0.25">
      <c r="B203" s="406"/>
      <c r="C203" s="382"/>
      <c r="D203" s="382"/>
      <c r="E203" s="382"/>
    </row>
    <row r="204" spans="2:5" x14ac:dyDescent="0.25">
      <c r="B204" s="406"/>
      <c r="C204" s="382"/>
      <c r="D204" s="382"/>
      <c r="E204" s="382"/>
    </row>
    <row r="205" spans="2:5" x14ac:dyDescent="0.25">
      <c r="B205" s="406"/>
      <c r="C205" s="382"/>
      <c r="D205" s="382"/>
      <c r="E205" s="382"/>
    </row>
    <row r="206" spans="2:5" x14ac:dyDescent="0.25">
      <c r="B206" s="406"/>
      <c r="C206" s="382"/>
      <c r="D206" s="382"/>
      <c r="E206" s="382"/>
    </row>
    <row r="207" spans="2:5" x14ac:dyDescent="0.25">
      <c r="B207" s="406"/>
      <c r="C207" s="382"/>
      <c r="D207" s="382"/>
      <c r="E207" s="382"/>
    </row>
    <row r="208" spans="2:5" x14ac:dyDescent="0.25">
      <c r="B208" s="406"/>
      <c r="C208" s="382"/>
      <c r="D208" s="382"/>
      <c r="E208" s="382"/>
    </row>
    <row r="209" spans="2:5" x14ac:dyDescent="0.25">
      <c r="B209" s="406"/>
      <c r="C209" s="382"/>
      <c r="D209" s="382"/>
      <c r="E209" s="382"/>
    </row>
    <row r="210" spans="2:5" x14ac:dyDescent="0.25">
      <c r="B210" s="406"/>
      <c r="C210" s="382"/>
      <c r="D210" s="382"/>
      <c r="E210" s="382"/>
    </row>
    <row r="211" spans="2:5" x14ac:dyDescent="0.25">
      <c r="B211" s="406"/>
      <c r="C211" s="382"/>
      <c r="D211" s="382"/>
      <c r="E211" s="382"/>
    </row>
    <row r="212" spans="2:5" x14ac:dyDescent="0.25">
      <c r="B212" s="406"/>
      <c r="C212" s="382"/>
      <c r="D212" s="382"/>
      <c r="E212" s="382"/>
    </row>
    <row r="213" spans="2:5" x14ac:dyDescent="0.25">
      <c r="B213" s="406"/>
      <c r="C213" s="382"/>
      <c r="D213" s="382"/>
      <c r="E213" s="382"/>
    </row>
    <row r="214" spans="2:5" x14ac:dyDescent="0.25">
      <c r="B214" s="406"/>
      <c r="C214" s="382"/>
      <c r="D214" s="382"/>
      <c r="E214" s="382"/>
    </row>
    <row r="215" spans="2:5" x14ac:dyDescent="0.25">
      <c r="B215" s="406"/>
      <c r="C215" s="382"/>
      <c r="D215" s="382"/>
      <c r="E215" s="382"/>
    </row>
    <row r="216" spans="2:5" x14ac:dyDescent="0.25">
      <c r="B216" s="406"/>
      <c r="C216" s="382"/>
      <c r="D216" s="382"/>
      <c r="E216" s="382"/>
    </row>
    <row r="217" spans="2:5" x14ac:dyDescent="0.25">
      <c r="B217" s="406"/>
      <c r="C217" s="382"/>
      <c r="D217" s="382"/>
      <c r="E217" s="382"/>
    </row>
    <row r="218" spans="2:5" x14ac:dyDescent="0.25">
      <c r="B218" s="406"/>
      <c r="C218" s="382"/>
      <c r="D218" s="382"/>
      <c r="E218" s="382"/>
    </row>
    <row r="219" spans="2:5" x14ac:dyDescent="0.25">
      <c r="B219" s="406"/>
      <c r="C219" s="382"/>
      <c r="D219" s="382"/>
      <c r="E219" s="382"/>
    </row>
    <row r="220" spans="2:5" x14ac:dyDescent="0.25">
      <c r="B220" s="406"/>
      <c r="C220" s="382"/>
      <c r="D220" s="382"/>
      <c r="E220" s="382"/>
    </row>
    <row r="221" spans="2:5" x14ac:dyDescent="0.25">
      <c r="B221" s="406"/>
      <c r="C221" s="382"/>
      <c r="D221" s="382"/>
      <c r="E221" s="382"/>
    </row>
    <row r="222" spans="2:5" x14ac:dyDescent="0.25">
      <c r="B222" s="406"/>
      <c r="C222" s="382"/>
      <c r="D222" s="382"/>
      <c r="E222" s="382"/>
    </row>
    <row r="223" spans="2:5" x14ac:dyDescent="0.25">
      <c r="B223" s="406"/>
      <c r="C223" s="382"/>
      <c r="D223" s="382"/>
      <c r="E223" s="382"/>
    </row>
  </sheetData>
  <sheetProtection sheet="1" objects="1" scenarios="1"/>
  <printOptions horizontalCentered="1"/>
  <pageMargins left="0.75" right="0.75" top="1" bottom="1" header="0.5" footer="0.5"/>
  <pageSetup scale="95"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1"/>
  <sheetViews>
    <sheetView showGridLines="0" zoomScaleNormal="100" workbookViewId="0">
      <pane xSplit="2" ySplit="6" topLeftCell="C118" activePane="bottomRight" state="frozen"/>
      <selection pane="topRight" activeCell="C1" sqref="C1"/>
      <selection pane="bottomLeft" activeCell="A7" sqref="A7"/>
      <selection pane="bottomRight" activeCell="D126" sqref="D126"/>
    </sheetView>
  </sheetViews>
  <sheetFormatPr defaultColWidth="9.33203125" defaultRowHeight="12.75" x14ac:dyDescent="0.2"/>
  <cols>
    <col min="1" max="1" width="38.83203125" style="17" customWidth="1"/>
    <col min="2" max="2" width="34" style="17" customWidth="1"/>
    <col min="3" max="3" width="23.83203125" style="17" customWidth="1"/>
    <col min="4" max="4" width="21.33203125" style="17" customWidth="1"/>
    <col min="5" max="5" width="18.6640625" style="17" customWidth="1"/>
    <col min="6" max="6" width="20.33203125" style="17" customWidth="1"/>
    <col min="7" max="7" width="9.33203125" style="17"/>
    <col min="8" max="8" width="79.5" style="17" customWidth="1"/>
    <col min="9" max="9" width="13.83203125" style="17" customWidth="1"/>
    <col min="10" max="11" width="18.33203125" style="17" customWidth="1"/>
    <col min="12" max="12" width="9.5" style="17" bestFit="1" customWidth="1"/>
    <col min="13" max="13" width="13.5" style="17" bestFit="1" customWidth="1"/>
    <col min="14" max="14" width="14.1640625" style="17" bestFit="1" customWidth="1"/>
    <col min="15" max="15" width="13.5" style="17" bestFit="1" customWidth="1"/>
    <col min="16" max="16" width="10.83203125" style="17" bestFit="1" customWidth="1"/>
    <col min="17" max="16384" width="9.33203125" style="17"/>
  </cols>
  <sheetData>
    <row r="1" spans="1:9" ht="18.75" x14ac:dyDescent="0.3">
      <c r="A1" s="427" t="s">
        <v>911</v>
      </c>
      <c r="H1" s="313"/>
      <c r="I1" s="313"/>
    </row>
    <row r="2" spans="1:9" x14ac:dyDescent="0.2">
      <c r="A2" s="307"/>
      <c r="B2" s="307"/>
      <c r="C2" s="307"/>
      <c r="D2" s="307"/>
      <c r="E2" s="307"/>
      <c r="F2" s="307"/>
      <c r="G2" s="307"/>
      <c r="H2" s="307"/>
      <c r="I2" s="307"/>
    </row>
    <row r="3" spans="1:9" x14ac:dyDescent="0.2">
      <c r="A3" s="17" t="s">
        <v>430</v>
      </c>
      <c r="H3" s="411" t="s">
        <v>913</v>
      </c>
    </row>
    <row r="4" spans="1:9" x14ac:dyDescent="0.2">
      <c r="A4" s="313" t="s">
        <v>431</v>
      </c>
      <c r="B4" s="415">
        <v>43465</v>
      </c>
      <c r="H4" s="417" t="s">
        <v>452</v>
      </c>
    </row>
    <row r="5" spans="1:9" x14ac:dyDescent="0.2">
      <c r="B5" s="313"/>
      <c r="H5" s="418" t="s">
        <v>454</v>
      </c>
    </row>
    <row r="6" spans="1:9" ht="15" x14ac:dyDescent="0.35">
      <c r="A6" s="17" t="s">
        <v>432</v>
      </c>
      <c r="C6" s="428" t="s">
        <v>433</v>
      </c>
      <c r="D6" s="428" t="s">
        <v>434</v>
      </c>
      <c r="E6" s="428" t="s">
        <v>435</v>
      </c>
      <c r="H6" s="313"/>
    </row>
    <row r="7" spans="1:9" x14ac:dyDescent="0.2">
      <c r="A7" s="17" t="s">
        <v>436</v>
      </c>
      <c r="C7" s="450">
        <v>0</v>
      </c>
      <c r="D7" s="450">
        <v>0</v>
      </c>
      <c r="E7" s="17">
        <f>C7+D7</f>
        <v>0</v>
      </c>
      <c r="F7" s="414" t="s">
        <v>437</v>
      </c>
      <c r="H7" s="414" t="s">
        <v>438</v>
      </c>
    </row>
    <row r="8" spans="1:9" x14ac:dyDescent="0.2">
      <c r="A8" s="17" t="s">
        <v>439</v>
      </c>
      <c r="C8" s="450">
        <v>0</v>
      </c>
      <c r="D8" s="450">
        <v>0</v>
      </c>
      <c r="E8" s="17">
        <f>C8+D8</f>
        <v>0</v>
      </c>
      <c r="F8" s="416" t="s">
        <v>440</v>
      </c>
      <c r="H8" s="416" t="s">
        <v>441</v>
      </c>
    </row>
    <row r="9" spans="1:9" x14ac:dyDescent="0.2">
      <c r="C9" s="310"/>
      <c r="D9" s="310"/>
      <c r="F9" s="309"/>
      <c r="H9" s="416" t="s">
        <v>442</v>
      </c>
    </row>
    <row r="10" spans="1:9" x14ac:dyDescent="0.2">
      <c r="B10" s="313"/>
      <c r="H10" s="414" t="s">
        <v>443</v>
      </c>
    </row>
    <row r="11" spans="1:9" ht="15" x14ac:dyDescent="0.35">
      <c r="A11" s="306" t="s">
        <v>444</v>
      </c>
      <c r="B11" s="312" t="s">
        <v>445</v>
      </c>
      <c r="C11" s="428" t="s">
        <v>433</v>
      </c>
      <c r="D11" s="428" t="s">
        <v>434</v>
      </c>
      <c r="E11" s="428" t="s">
        <v>435</v>
      </c>
    </row>
    <row r="12" spans="1:9" x14ac:dyDescent="0.2">
      <c r="A12" s="321" t="s">
        <v>446</v>
      </c>
      <c r="B12" s="313" t="s">
        <v>447</v>
      </c>
      <c r="C12" s="584">
        <v>4790000</v>
      </c>
      <c r="D12" s="584">
        <v>1909000</v>
      </c>
      <c r="E12" s="17">
        <f>C12+D12</f>
        <v>6699000</v>
      </c>
      <c r="G12" s="313"/>
    </row>
    <row r="13" spans="1:9" x14ac:dyDescent="0.2">
      <c r="A13" s="321" t="s">
        <v>448</v>
      </c>
      <c r="B13" s="312"/>
      <c r="C13" s="584">
        <v>3846000</v>
      </c>
      <c r="D13" s="584">
        <v>1687000</v>
      </c>
      <c r="E13" s="17">
        <f t="shared" ref="E13:E23" si="0">C13+D13</f>
        <v>5533000</v>
      </c>
      <c r="G13" s="313"/>
    </row>
    <row r="14" spans="1:9" x14ac:dyDescent="0.2">
      <c r="A14" s="321" t="s">
        <v>449</v>
      </c>
      <c r="B14" s="313"/>
      <c r="C14" s="584">
        <v>3498000</v>
      </c>
      <c r="D14" s="584">
        <v>1567000</v>
      </c>
      <c r="E14" s="17">
        <f t="shared" si="0"/>
        <v>5065000</v>
      </c>
      <c r="G14" s="313"/>
    </row>
    <row r="15" spans="1:9" x14ac:dyDescent="0.2">
      <c r="A15" s="321" t="s">
        <v>450</v>
      </c>
      <c r="B15" s="313"/>
      <c r="C15" s="584">
        <v>3066000</v>
      </c>
      <c r="D15" s="584">
        <v>1499000</v>
      </c>
      <c r="E15" s="17">
        <f t="shared" si="0"/>
        <v>4565000</v>
      </c>
      <c r="G15" s="313"/>
    </row>
    <row r="16" spans="1:9" x14ac:dyDescent="0.2">
      <c r="A16" s="321" t="s">
        <v>451</v>
      </c>
      <c r="B16" s="313"/>
      <c r="C16" s="584">
        <v>3563000</v>
      </c>
      <c r="D16" s="584">
        <v>2297000</v>
      </c>
      <c r="E16" s="17">
        <f t="shared" si="0"/>
        <v>5860000</v>
      </c>
      <c r="G16" s="313"/>
    </row>
    <row r="17" spans="1:8" x14ac:dyDescent="0.2">
      <c r="A17" s="321" t="s">
        <v>453</v>
      </c>
      <c r="B17" s="313"/>
      <c r="C17" s="584">
        <v>3933000</v>
      </c>
      <c r="D17" s="584">
        <v>2521000</v>
      </c>
      <c r="E17" s="17">
        <f t="shared" si="0"/>
        <v>6454000</v>
      </c>
      <c r="G17" s="313"/>
    </row>
    <row r="18" spans="1:8" x14ac:dyDescent="0.2">
      <c r="A18" s="321" t="s">
        <v>455</v>
      </c>
      <c r="B18" s="313"/>
      <c r="C18" s="584">
        <v>3873000</v>
      </c>
      <c r="D18" s="584">
        <v>2618000</v>
      </c>
      <c r="E18" s="17">
        <f t="shared" si="0"/>
        <v>6491000</v>
      </c>
      <c r="G18" s="313"/>
    </row>
    <row r="19" spans="1:8" x14ac:dyDescent="0.2">
      <c r="A19" s="321" t="s">
        <v>456</v>
      </c>
      <c r="B19" s="313"/>
      <c r="C19" s="584">
        <v>3893000</v>
      </c>
      <c r="D19" s="584">
        <v>2498000</v>
      </c>
      <c r="E19" s="17">
        <f t="shared" si="0"/>
        <v>6391000</v>
      </c>
      <c r="G19" s="313"/>
    </row>
    <row r="20" spans="1:8" x14ac:dyDescent="0.2">
      <c r="A20" s="321" t="s">
        <v>457</v>
      </c>
      <c r="B20" s="313"/>
      <c r="C20" s="584">
        <v>3909000</v>
      </c>
      <c r="D20" s="584">
        <v>2475000</v>
      </c>
      <c r="E20" s="17">
        <f t="shared" si="0"/>
        <v>6384000</v>
      </c>
      <c r="G20" s="313"/>
    </row>
    <row r="21" spans="1:8" x14ac:dyDescent="0.2">
      <c r="A21" s="321" t="s">
        <v>458</v>
      </c>
      <c r="B21" s="313"/>
      <c r="C21" s="584">
        <v>3454000</v>
      </c>
      <c r="D21" s="584">
        <v>2210000</v>
      </c>
      <c r="E21" s="17">
        <f t="shared" si="0"/>
        <v>5664000</v>
      </c>
      <c r="G21" s="313"/>
    </row>
    <row r="22" spans="1:8" x14ac:dyDescent="0.2">
      <c r="A22" s="321" t="s">
        <v>459</v>
      </c>
      <c r="B22" s="313"/>
      <c r="C22" s="584">
        <v>3623000</v>
      </c>
      <c r="D22" s="584">
        <v>1740000</v>
      </c>
      <c r="E22" s="17">
        <f t="shared" si="0"/>
        <v>5363000</v>
      </c>
      <c r="G22" s="313"/>
    </row>
    <row r="23" spans="1:8" x14ac:dyDescent="0.2">
      <c r="A23" s="321" t="s">
        <v>460</v>
      </c>
      <c r="B23" s="313"/>
      <c r="C23" s="584">
        <v>3814000</v>
      </c>
      <c r="D23" s="584">
        <v>1694000</v>
      </c>
      <c r="E23" s="17">
        <f t="shared" si="0"/>
        <v>5508000</v>
      </c>
      <c r="G23" s="313"/>
    </row>
    <row r="24" spans="1:8" x14ac:dyDescent="0.2">
      <c r="A24" s="321"/>
      <c r="B24" s="313"/>
      <c r="C24" s="313"/>
      <c r="D24" s="313"/>
      <c r="E24" s="313"/>
      <c r="G24" s="313"/>
    </row>
    <row r="25" spans="1:8" x14ac:dyDescent="0.2">
      <c r="A25" s="321" t="s">
        <v>461</v>
      </c>
      <c r="B25" s="313"/>
      <c r="C25" s="313">
        <f>AVERAGE(C12:C23)</f>
        <v>3771833.3333333335</v>
      </c>
      <c r="D25" s="313">
        <f>AVERAGE(D12:D23)</f>
        <v>2059583.3333333333</v>
      </c>
      <c r="E25" s="313">
        <f>ROUND(AVERAGE(E12:E23),-3)</f>
        <v>5831000</v>
      </c>
      <c r="F25" s="416" t="s">
        <v>462</v>
      </c>
      <c r="G25" s="313"/>
    </row>
    <row r="26" spans="1:8" x14ac:dyDescent="0.2">
      <c r="B26" s="313"/>
      <c r="D26" s="411" t="s">
        <v>906</v>
      </c>
      <c r="E26" s="412" t="str">
        <f>IF($E$25='NITS Pg 1 of 5'!$J$23,"ok","err on NITS pg 1")</f>
        <v>ok</v>
      </c>
      <c r="F26" s="309"/>
      <c r="G26" s="313"/>
    </row>
    <row r="27" spans="1:8" x14ac:dyDescent="0.2">
      <c r="B27" s="313"/>
      <c r="D27" s="411" t="s">
        <v>907</v>
      </c>
      <c r="E27" s="412" t="str">
        <f>IF($E$25='PTP Pg 1 of 5'!$J$23,"ok","err on PTP pg 1")</f>
        <v>ok</v>
      </c>
      <c r="F27" s="309"/>
      <c r="G27" s="313"/>
    </row>
    <row r="28" spans="1:8" x14ac:dyDescent="0.2">
      <c r="B28" s="313"/>
      <c r="G28" s="313"/>
    </row>
    <row r="29" spans="1:8" ht="15" x14ac:dyDescent="0.35">
      <c r="A29" s="306" t="s">
        <v>463</v>
      </c>
      <c r="B29" s="312" t="s">
        <v>955</v>
      </c>
      <c r="C29" s="428" t="s">
        <v>433</v>
      </c>
      <c r="D29" s="428" t="s">
        <v>434</v>
      </c>
      <c r="E29" s="428" t="s">
        <v>435</v>
      </c>
      <c r="G29" s="313"/>
    </row>
    <row r="30" spans="1:8" x14ac:dyDescent="0.2">
      <c r="A30" s="321" t="s">
        <v>446</v>
      </c>
      <c r="B30" s="312" t="s">
        <v>464</v>
      </c>
      <c r="C30" s="584">
        <v>0</v>
      </c>
      <c r="D30" s="584">
        <v>0</v>
      </c>
      <c r="E30" s="17">
        <f>C30+D30</f>
        <v>0</v>
      </c>
      <c r="G30" s="313"/>
      <c r="H30" s="545" t="s">
        <v>926</v>
      </c>
    </row>
    <row r="31" spans="1:8" x14ac:dyDescent="0.2">
      <c r="A31" s="321" t="s">
        <v>448</v>
      </c>
      <c r="B31" s="312" t="s">
        <v>465</v>
      </c>
      <c r="C31" s="584">
        <v>0</v>
      </c>
      <c r="D31" s="584">
        <v>0</v>
      </c>
      <c r="E31" s="17">
        <f t="shared" ref="E31:E41" si="1">C31+D31</f>
        <v>0</v>
      </c>
      <c r="G31" s="313"/>
    </row>
    <row r="32" spans="1:8" x14ac:dyDescent="0.2">
      <c r="A32" s="321" t="s">
        <v>449</v>
      </c>
      <c r="B32" s="589" t="s">
        <v>466</v>
      </c>
      <c r="C32" s="584">
        <v>0</v>
      </c>
      <c r="D32" s="584">
        <v>0</v>
      </c>
      <c r="E32" s="17">
        <f t="shared" si="1"/>
        <v>0</v>
      </c>
      <c r="G32" s="313"/>
    </row>
    <row r="33" spans="1:8" x14ac:dyDescent="0.2">
      <c r="A33" s="321" t="s">
        <v>450</v>
      </c>
      <c r="B33" s="313" t="s">
        <v>447</v>
      </c>
      <c r="C33" s="584">
        <v>0</v>
      </c>
      <c r="D33" s="584">
        <v>0</v>
      </c>
      <c r="E33" s="17">
        <f t="shared" si="1"/>
        <v>0</v>
      </c>
      <c r="G33" s="313"/>
    </row>
    <row r="34" spans="1:8" x14ac:dyDescent="0.2">
      <c r="A34" s="321" t="s">
        <v>451</v>
      </c>
      <c r="B34" s="313"/>
      <c r="C34" s="584">
        <v>0</v>
      </c>
      <c r="D34" s="584">
        <v>0</v>
      </c>
      <c r="E34" s="17">
        <f t="shared" si="1"/>
        <v>0</v>
      </c>
      <c r="G34" s="313"/>
    </row>
    <row r="35" spans="1:8" x14ac:dyDescent="0.2">
      <c r="A35" s="321" t="s">
        <v>453</v>
      </c>
      <c r="B35" s="313"/>
      <c r="C35" s="584">
        <v>0</v>
      </c>
      <c r="D35" s="584">
        <v>0</v>
      </c>
      <c r="E35" s="17">
        <f t="shared" si="1"/>
        <v>0</v>
      </c>
      <c r="G35" s="313"/>
    </row>
    <row r="36" spans="1:8" x14ac:dyDescent="0.2">
      <c r="A36" s="321" t="s">
        <v>455</v>
      </c>
      <c r="B36" s="313"/>
      <c r="C36" s="584">
        <v>0</v>
      </c>
      <c r="D36" s="584">
        <v>0</v>
      </c>
      <c r="E36" s="17">
        <f t="shared" si="1"/>
        <v>0</v>
      </c>
      <c r="G36" s="313"/>
    </row>
    <row r="37" spans="1:8" x14ac:dyDescent="0.2">
      <c r="A37" s="321" t="s">
        <v>456</v>
      </c>
      <c r="B37" s="313"/>
      <c r="C37" s="584">
        <v>0</v>
      </c>
      <c r="D37" s="584">
        <v>0</v>
      </c>
      <c r="E37" s="17">
        <f t="shared" si="1"/>
        <v>0</v>
      </c>
      <c r="G37" s="313"/>
    </row>
    <row r="38" spans="1:8" x14ac:dyDescent="0.2">
      <c r="A38" s="321" t="s">
        <v>457</v>
      </c>
      <c r="B38" s="313"/>
      <c r="C38" s="584">
        <v>0</v>
      </c>
      <c r="D38" s="584">
        <v>0</v>
      </c>
      <c r="E38" s="17">
        <f t="shared" si="1"/>
        <v>0</v>
      </c>
      <c r="G38" s="313"/>
    </row>
    <row r="39" spans="1:8" x14ac:dyDescent="0.2">
      <c r="A39" s="321" t="s">
        <v>458</v>
      </c>
      <c r="B39" s="313"/>
      <c r="C39" s="584">
        <v>0</v>
      </c>
      <c r="D39" s="584">
        <v>0</v>
      </c>
      <c r="E39" s="313">
        <f t="shared" si="1"/>
        <v>0</v>
      </c>
      <c r="F39" s="313"/>
      <c r="G39" s="313"/>
      <c r="H39" s="313"/>
    </row>
    <row r="40" spans="1:8" x14ac:dyDescent="0.2">
      <c r="A40" s="321" t="s">
        <v>459</v>
      </c>
      <c r="B40" s="313"/>
      <c r="C40" s="584">
        <v>0</v>
      </c>
      <c r="D40" s="584">
        <v>0</v>
      </c>
      <c r="E40" s="313">
        <f t="shared" si="1"/>
        <v>0</v>
      </c>
      <c r="F40" s="313"/>
      <c r="G40" s="313"/>
      <c r="H40" s="313"/>
    </row>
    <row r="41" spans="1:8" x14ac:dyDescent="0.2">
      <c r="A41" s="321" t="s">
        <v>460</v>
      </c>
      <c r="B41" s="313"/>
      <c r="C41" s="584">
        <v>0</v>
      </c>
      <c r="D41" s="584">
        <v>0</v>
      </c>
      <c r="E41" s="313">
        <f t="shared" si="1"/>
        <v>0</v>
      </c>
      <c r="F41" s="313"/>
      <c r="G41" s="313"/>
      <c r="H41" s="313"/>
    </row>
    <row r="42" spans="1:8" x14ac:dyDescent="0.2">
      <c r="A42" s="321"/>
      <c r="B42" s="313"/>
      <c r="C42" s="313"/>
      <c r="D42" s="313"/>
      <c r="E42" s="313"/>
      <c r="F42" s="313"/>
      <c r="G42" s="313"/>
      <c r="H42" s="313"/>
    </row>
    <row r="43" spans="1:8" x14ac:dyDescent="0.2">
      <c r="A43" s="321" t="s">
        <v>6</v>
      </c>
      <c r="B43" s="313"/>
      <c r="C43" s="313">
        <f>SUM(C30:C41)</f>
        <v>0</v>
      </c>
      <c r="D43" s="313">
        <f>SUM(D30:D41)</f>
        <v>0</v>
      </c>
      <c r="E43" s="313">
        <f>SUM(E30:E41)</f>
        <v>0</v>
      </c>
      <c r="F43" s="416" t="s">
        <v>467</v>
      </c>
      <c r="G43" s="313"/>
    </row>
    <row r="44" spans="1:8" x14ac:dyDescent="0.2">
      <c r="B44" s="313"/>
      <c r="D44" s="411" t="s">
        <v>906</v>
      </c>
      <c r="E44" s="412" t="str">
        <f>IF($E$43='NITS Pg 1 of 5'!$J$24,"ok","err on NITS pg 1")</f>
        <v>ok</v>
      </c>
      <c r="F44" s="309"/>
      <c r="G44" s="313"/>
    </row>
    <row r="45" spans="1:8" x14ac:dyDescent="0.2">
      <c r="D45" s="411" t="s">
        <v>907</v>
      </c>
      <c r="E45" s="412" t="str">
        <f>IF($E$43='PTP Pg 1 of 5'!$J$24,"ok","err on PTP pg 1")</f>
        <v>ok</v>
      </c>
      <c r="F45" s="309"/>
      <c r="G45" s="313"/>
    </row>
    <row r="46" spans="1:8" x14ac:dyDescent="0.2">
      <c r="G46" s="313"/>
    </row>
    <row r="47" spans="1:8" ht="15" x14ac:dyDescent="0.35">
      <c r="A47" s="306" t="s">
        <v>468</v>
      </c>
      <c r="B47" s="312" t="s">
        <v>469</v>
      </c>
      <c r="C47" s="428" t="s">
        <v>470</v>
      </c>
      <c r="D47" s="428" t="s">
        <v>471</v>
      </c>
      <c r="E47" s="428" t="s">
        <v>472</v>
      </c>
      <c r="F47" s="428" t="s">
        <v>435</v>
      </c>
      <c r="G47" s="313"/>
    </row>
    <row r="48" spans="1:8" x14ac:dyDescent="0.2">
      <c r="A48" s="321" t="s">
        <v>446</v>
      </c>
      <c r="B48" s="313" t="s">
        <v>447</v>
      </c>
      <c r="C48" s="584">
        <v>596000</v>
      </c>
      <c r="D48" s="584">
        <v>0</v>
      </c>
      <c r="E48" s="584">
        <v>307000</v>
      </c>
      <c r="F48" s="17">
        <f>C48+D48+E48</f>
        <v>903000</v>
      </c>
      <c r="G48" s="313"/>
    </row>
    <row r="49" spans="1:7" x14ac:dyDescent="0.2">
      <c r="A49" s="321" t="s">
        <v>448</v>
      </c>
      <c r="B49" s="312" t="s">
        <v>1008</v>
      </c>
      <c r="C49" s="584">
        <v>483000</v>
      </c>
      <c r="D49" s="584">
        <v>0</v>
      </c>
      <c r="E49" s="584">
        <v>250000</v>
      </c>
      <c r="F49" s="17">
        <f t="shared" ref="F49:F59" si="2">C49+D49+E49</f>
        <v>733000</v>
      </c>
      <c r="G49" s="313"/>
    </row>
    <row r="50" spans="1:7" x14ac:dyDescent="0.2">
      <c r="A50" s="321" t="s">
        <v>449</v>
      </c>
      <c r="B50" s="589"/>
      <c r="C50" s="584">
        <v>450000</v>
      </c>
      <c r="D50" s="584">
        <v>0</v>
      </c>
      <c r="E50" s="584">
        <v>232000</v>
      </c>
      <c r="F50" s="17">
        <f t="shared" si="2"/>
        <v>682000</v>
      </c>
      <c r="G50" s="313"/>
    </row>
    <row r="51" spans="1:7" x14ac:dyDescent="0.2">
      <c r="A51" s="321" t="s">
        <v>450</v>
      </c>
      <c r="B51" s="313"/>
      <c r="C51" s="584">
        <v>411000</v>
      </c>
      <c r="D51" s="584">
        <v>0</v>
      </c>
      <c r="E51" s="584">
        <v>211000</v>
      </c>
      <c r="F51" s="17">
        <f t="shared" si="2"/>
        <v>622000</v>
      </c>
      <c r="G51" s="313"/>
    </row>
    <row r="52" spans="1:7" x14ac:dyDescent="0.2">
      <c r="A52" s="321" t="s">
        <v>451</v>
      </c>
      <c r="B52" s="313"/>
      <c r="C52" s="584">
        <v>486000</v>
      </c>
      <c r="D52" s="584">
        <v>0</v>
      </c>
      <c r="E52" s="584">
        <v>249000</v>
      </c>
      <c r="F52" s="17">
        <f t="shared" si="2"/>
        <v>735000</v>
      </c>
      <c r="G52" s="313"/>
    </row>
    <row r="53" spans="1:7" x14ac:dyDescent="0.2">
      <c r="A53" s="321" t="s">
        <v>453</v>
      </c>
      <c r="B53" s="313"/>
      <c r="C53" s="584">
        <v>530000</v>
      </c>
      <c r="D53" s="584">
        <v>0</v>
      </c>
      <c r="E53" s="584">
        <v>273000</v>
      </c>
      <c r="F53" s="17">
        <f t="shared" si="2"/>
        <v>803000</v>
      </c>
      <c r="G53" s="313"/>
    </row>
    <row r="54" spans="1:7" x14ac:dyDescent="0.2">
      <c r="A54" s="321" t="s">
        <v>455</v>
      </c>
      <c r="B54" s="313"/>
      <c r="C54" s="584">
        <v>572000</v>
      </c>
      <c r="D54" s="584">
        <v>0</v>
      </c>
      <c r="E54" s="584">
        <v>273000</v>
      </c>
      <c r="F54" s="17">
        <f t="shared" si="2"/>
        <v>845000</v>
      </c>
      <c r="G54" s="313"/>
    </row>
    <row r="55" spans="1:7" x14ac:dyDescent="0.2">
      <c r="A55" s="321" t="s">
        <v>456</v>
      </c>
      <c r="B55" s="313"/>
      <c r="C55" s="584">
        <v>538000</v>
      </c>
      <c r="D55" s="584">
        <v>0</v>
      </c>
      <c r="E55" s="584">
        <v>257000</v>
      </c>
      <c r="F55" s="17">
        <f t="shared" si="2"/>
        <v>795000</v>
      </c>
      <c r="G55" s="313"/>
    </row>
    <row r="56" spans="1:7" x14ac:dyDescent="0.2">
      <c r="A56" s="321" t="s">
        <v>457</v>
      </c>
      <c r="B56" s="313"/>
      <c r="C56" s="584">
        <v>543000</v>
      </c>
      <c r="D56" s="584">
        <v>0</v>
      </c>
      <c r="E56" s="584">
        <v>259000</v>
      </c>
      <c r="F56" s="17">
        <f t="shared" si="2"/>
        <v>802000</v>
      </c>
      <c r="G56" s="313"/>
    </row>
    <row r="57" spans="1:7" x14ac:dyDescent="0.2">
      <c r="A57" s="321" t="s">
        <v>458</v>
      </c>
      <c r="B57" s="313"/>
      <c r="C57" s="584">
        <v>482000</v>
      </c>
      <c r="D57" s="584">
        <v>0</v>
      </c>
      <c r="E57" s="584">
        <v>230000</v>
      </c>
      <c r="F57" s="17">
        <f t="shared" si="2"/>
        <v>712000</v>
      </c>
      <c r="G57" s="313"/>
    </row>
    <row r="58" spans="1:7" x14ac:dyDescent="0.2">
      <c r="A58" s="321" t="s">
        <v>459</v>
      </c>
      <c r="B58" s="313"/>
      <c r="C58" s="584">
        <v>487000</v>
      </c>
      <c r="D58" s="584">
        <v>0</v>
      </c>
      <c r="E58" s="584">
        <v>232000</v>
      </c>
      <c r="F58" s="17">
        <f t="shared" si="2"/>
        <v>719000</v>
      </c>
      <c r="G58" s="313"/>
    </row>
    <row r="59" spans="1:7" x14ac:dyDescent="0.2">
      <c r="A59" s="321" t="s">
        <v>460</v>
      </c>
      <c r="B59" s="313"/>
      <c r="C59" s="584">
        <v>486000</v>
      </c>
      <c r="D59" s="584">
        <v>0</v>
      </c>
      <c r="E59" s="584">
        <v>231000</v>
      </c>
      <c r="F59" s="17">
        <f t="shared" si="2"/>
        <v>717000</v>
      </c>
      <c r="G59" s="313"/>
    </row>
    <row r="60" spans="1:7" x14ac:dyDescent="0.2">
      <c r="A60" s="321"/>
      <c r="B60" s="313"/>
      <c r="C60" s="313"/>
      <c r="D60" s="313"/>
      <c r="E60" s="313"/>
      <c r="F60" s="313"/>
      <c r="G60" s="313"/>
    </row>
    <row r="61" spans="1:7" x14ac:dyDescent="0.2">
      <c r="A61" s="321" t="s">
        <v>461</v>
      </c>
      <c r="B61" s="313"/>
      <c r="C61" s="313">
        <f>AVERAGE(C48:C59)</f>
        <v>505333.33333333331</v>
      </c>
      <c r="D61" s="313">
        <f>AVERAGE(D48:D59)</f>
        <v>0</v>
      </c>
      <c r="E61" s="313">
        <f>AVERAGE(E48:E59)</f>
        <v>250333.33333333334</v>
      </c>
      <c r="F61" s="313">
        <f>ROUND(AVERAGE(F48:F59),-3)</f>
        <v>756000</v>
      </c>
      <c r="G61" s="419" t="s">
        <v>473</v>
      </c>
    </row>
    <row r="62" spans="1:7" x14ac:dyDescent="0.2">
      <c r="B62" s="313"/>
      <c r="E62" s="411" t="s">
        <v>906</v>
      </c>
      <c r="F62" s="412" t="str">
        <f>IF($F$61='NITS Pg 1 of 5'!$J$25,"ok","err on NITS pg 1")</f>
        <v>ok</v>
      </c>
      <c r="G62" s="312"/>
    </row>
    <row r="63" spans="1:7" x14ac:dyDescent="0.2">
      <c r="E63" s="411" t="s">
        <v>907</v>
      </c>
      <c r="F63" s="412" t="str">
        <f>IF($F$61='PTP Pg 1 of 5'!$J$25,"ok","err on PTP pg 1")</f>
        <v>ok</v>
      </c>
      <c r="G63" s="312"/>
    </row>
    <row r="64" spans="1:7" x14ac:dyDescent="0.2">
      <c r="G64" s="313"/>
    </row>
    <row r="65" spans="1:8" ht="15" x14ac:dyDescent="0.35">
      <c r="A65" s="306" t="s">
        <v>912</v>
      </c>
      <c r="B65" s="312"/>
      <c r="C65" s="428" t="s">
        <v>433</v>
      </c>
      <c r="D65" s="428" t="s">
        <v>434</v>
      </c>
      <c r="E65" s="428" t="s">
        <v>435</v>
      </c>
      <c r="G65" s="313"/>
      <c r="H65" s="414" t="s">
        <v>474</v>
      </c>
    </row>
    <row r="66" spans="1:8" x14ac:dyDescent="0.2">
      <c r="A66" s="321" t="s">
        <v>446</v>
      </c>
      <c r="B66" s="313"/>
      <c r="C66" s="308"/>
      <c r="D66" s="308"/>
      <c r="E66" s="17">
        <f>C66+D66</f>
        <v>0</v>
      </c>
      <c r="G66" s="313"/>
      <c r="H66" s="416" t="s">
        <v>475</v>
      </c>
    </row>
    <row r="67" spans="1:8" x14ac:dyDescent="0.2">
      <c r="A67" s="321" t="s">
        <v>448</v>
      </c>
      <c r="B67" s="312"/>
      <c r="C67" s="308"/>
      <c r="D67" s="308"/>
      <c r="E67" s="17">
        <f t="shared" ref="E67:E77" si="3">C67+D67</f>
        <v>0</v>
      </c>
      <c r="G67" s="313"/>
      <c r="H67" s="414" t="s">
        <v>476</v>
      </c>
    </row>
    <row r="68" spans="1:8" x14ac:dyDescent="0.2">
      <c r="A68" s="321" t="s">
        <v>449</v>
      </c>
      <c r="B68" s="589"/>
      <c r="C68" s="308"/>
      <c r="D68" s="308"/>
      <c r="E68" s="17">
        <f t="shared" si="3"/>
        <v>0</v>
      </c>
      <c r="G68" s="313"/>
      <c r="H68" s="414" t="s">
        <v>477</v>
      </c>
    </row>
    <row r="69" spans="1:8" x14ac:dyDescent="0.2">
      <c r="A69" s="321" t="s">
        <v>450</v>
      </c>
      <c r="B69" s="313"/>
      <c r="C69" s="308"/>
      <c r="D69" s="308"/>
      <c r="E69" s="17">
        <f t="shared" si="3"/>
        <v>0</v>
      </c>
      <c r="G69" s="313"/>
      <c r="H69" s="414" t="s">
        <v>478</v>
      </c>
    </row>
    <row r="70" spans="1:8" x14ac:dyDescent="0.2">
      <c r="A70" s="321" t="s">
        <v>451</v>
      </c>
      <c r="B70" s="313"/>
      <c r="C70" s="308"/>
      <c r="D70" s="308"/>
      <c r="E70" s="17">
        <f t="shared" si="3"/>
        <v>0</v>
      </c>
      <c r="G70" s="313"/>
      <c r="H70" s="416" t="s">
        <v>479</v>
      </c>
    </row>
    <row r="71" spans="1:8" x14ac:dyDescent="0.2">
      <c r="A71" s="321" t="s">
        <v>453</v>
      </c>
      <c r="B71" s="313"/>
      <c r="C71" s="308"/>
      <c r="D71" s="308"/>
      <c r="E71" s="17">
        <f t="shared" si="3"/>
        <v>0</v>
      </c>
      <c r="G71" s="313"/>
      <c r="H71" s="414" t="s">
        <v>480</v>
      </c>
    </row>
    <row r="72" spans="1:8" x14ac:dyDescent="0.2">
      <c r="A72" s="321" t="s">
        <v>455</v>
      </c>
      <c r="B72" s="313"/>
      <c r="C72" s="308"/>
      <c r="D72" s="308"/>
      <c r="E72" s="17">
        <f t="shared" si="3"/>
        <v>0</v>
      </c>
      <c r="G72" s="313"/>
    </row>
    <row r="73" spans="1:8" x14ac:dyDescent="0.2">
      <c r="A73" s="321" t="s">
        <v>456</v>
      </c>
      <c r="B73" s="313"/>
      <c r="C73" s="308"/>
      <c r="D73" s="308"/>
      <c r="E73" s="17">
        <f t="shared" si="3"/>
        <v>0</v>
      </c>
      <c r="G73" s="313"/>
    </row>
    <row r="74" spans="1:8" x14ac:dyDescent="0.2">
      <c r="A74" s="321" t="s">
        <v>457</v>
      </c>
      <c r="B74" s="313"/>
      <c r="C74" s="308"/>
      <c r="D74" s="308"/>
      <c r="E74" s="17">
        <f t="shared" si="3"/>
        <v>0</v>
      </c>
      <c r="G74" s="313"/>
    </row>
    <row r="75" spans="1:8" x14ac:dyDescent="0.2">
      <c r="A75" s="321" t="s">
        <v>458</v>
      </c>
      <c r="B75" s="313"/>
      <c r="C75" s="308"/>
      <c r="D75" s="308"/>
      <c r="E75" s="17">
        <f t="shared" si="3"/>
        <v>0</v>
      </c>
      <c r="G75" s="313"/>
    </row>
    <row r="76" spans="1:8" x14ac:dyDescent="0.2">
      <c r="A76" s="321" t="s">
        <v>459</v>
      </c>
      <c r="B76" s="313"/>
      <c r="C76" s="308"/>
      <c r="D76" s="308"/>
      <c r="E76" s="17">
        <f t="shared" si="3"/>
        <v>0</v>
      </c>
      <c r="G76" s="313"/>
    </row>
    <row r="77" spans="1:8" x14ac:dyDescent="0.2">
      <c r="A77" s="321" t="s">
        <v>460</v>
      </c>
      <c r="B77" s="313"/>
      <c r="C77" s="308"/>
      <c r="D77" s="308"/>
      <c r="E77" s="17">
        <f t="shared" si="3"/>
        <v>0</v>
      </c>
      <c r="G77" s="313"/>
    </row>
    <row r="78" spans="1:8" x14ac:dyDescent="0.2">
      <c r="A78" s="321"/>
      <c r="B78" s="313"/>
      <c r="G78" s="313"/>
    </row>
    <row r="79" spans="1:8" x14ac:dyDescent="0.2">
      <c r="A79" s="321" t="s">
        <v>461</v>
      </c>
      <c r="B79" s="313"/>
      <c r="C79" s="17" t="str">
        <f>IFERROR(AVERAGE(C66:C77),"")</f>
        <v/>
      </c>
      <c r="D79" s="17" t="str">
        <f>IFERROR(AVERAGE(D66:D77),"")</f>
        <v/>
      </c>
      <c r="E79" s="17">
        <f>ROUND(AVERAGE(E66:E77),-3)</f>
        <v>0</v>
      </c>
      <c r="F79" s="416" t="s">
        <v>481</v>
      </c>
      <c r="G79" s="313"/>
    </row>
    <row r="80" spans="1:8" x14ac:dyDescent="0.2">
      <c r="B80" s="313"/>
      <c r="D80" s="411" t="s">
        <v>906</v>
      </c>
      <c r="E80" s="412" t="str">
        <f>IF($E$79='NITS Pg 1 of 5'!$J$26,"ok","err on NITS pg 1")</f>
        <v>ok</v>
      </c>
      <c r="F80" s="309"/>
      <c r="G80" s="313"/>
    </row>
    <row r="81" spans="1:7" x14ac:dyDescent="0.2">
      <c r="B81" s="313"/>
      <c r="D81" s="411" t="s">
        <v>907</v>
      </c>
      <c r="E81" s="412" t="str">
        <f>IF($E$79='PTP Pg 1 of 5'!$J$26,"ok","err on PTP pg 1")</f>
        <v>ok</v>
      </c>
      <c r="F81" s="309"/>
      <c r="G81" s="313"/>
    </row>
    <row r="82" spans="1:7" x14ac:dyDescent="0.2">
      <c r="B82" s="313"/>
      <c r="G82" s="313"/>
    </row>
    <row r="83" spans="1:7" ht="27.75" x14ac:dyDescent="0.35">
      <c r="A83" s="306" t="s">
        <v>482</v>
      </c>
      <c r="B83" s="312" t="s">
        <v>483</v>
      </c>
      <c r="C83" s="428" t="s">
        <v>433</v>
      </c>
      <c r="D83" s="428" t="s">
        <v>434</v>
      </c>
      <c r="E83" s="428" t="s">
        <v>435</v>
      </c>
      <c r="G83" s="313"/>
    </row>
    <row r="84" spans="1:7" x14ac:dyDescent="0.2">
      <c r="A84" s="321" t="s">
        <v>446</v>
      </c>
      <c r="B84" s="313" t="s">
        <v>447</v>
      </c>
      <c r="C84" s="584">
        <v>405000</v>
      </c>
      <c r="D84" s="584">
        <v>204000</v>
      </c>
      <c r="E84" s="17">
        <f>C84+D84</f>
        <v>609000</v>
      </c>
      <c r="G84" s="313"/>
    </row>
    <row r="85" spans="1:7" x14ac:dyDescent="0.2">
      <c r="A85" s="321" t="s">
        <v>448</v>
      </c>
      <c r="B85" s="312"/>
      <c r="C85" s="584">
        <v>405000</v>
      </c>
      <c r="D85" s="584">
        <v>204000</v>
      </c>
      <c r="E85" s="17">
        <f t="shared" ref="E85:E95" si="4">C85+D85</f>
        <v>609000</v>
      </c>
      <c r="G85" s="313"/>
    </row>
    <row r="86" spans="1:7" x14ac:dyDescent="0.2">
      <c r="A86" s="321" t="s">
        <v>449</v>
      </c>
      <c r="B86" s="589"/>
      <c r="C86" s="584">
        <v>405000</v>
      </c>
      <c r="D86" s="584">
        <v>204000</v>
      </c>
      <c r="E86" s="17">
        <f t="shared" si="4"/>
        <v>609000</v>
      </c>
      <c r="G86" s="313"/>
    </row>
    <row r="87" spans="1:7" x14ac:dyDescent="0.2">
      <c r="A87" s="321" t="s">
        <v>450</v>
      </c>
      <c r="B87" s="313"/>
      <c r="C87" s="584">
        <v>405000</v>
      </c>
      <c r="D87" s="584">
        <v>204000</v>
      </c>
      <c r="E87" s="17">
        <f t="shared" si="4"/>
        <v>609000</v>
      </c>
      <c r="G87" s="313"/>
    </row>
    <row r="88" spans="1:7" x14ac:dyDescent="0.2">
      <c r="A88" s="321" t="s">
        <v>451</v>
      </c>
      <c r="B88" s="313"/>
      <c r="C88" s="584">
        <v>405000</v>
      </c>
      <c r="D88" s="584">
        <v>204000</v>
      </c>
      <c r="E88" s="17">
        <f t="shared" si="4"/>
        <v>609000</v>
      </c>
      <c r="G88" s="313"/>
    </row>
    <row r="89" spans="1:7" x14ac:dyDescent="0.2">
      <c r="A89" s="321" t="s">
        <v>453</v>
      </c>
      <c r="B89" s="313"/>
      <c r="C89" s="584">
        <v>405000</v>
      </c>
      <c r="D89" s="584">
        <v>204000</v>
      </c>
      <c r="E89" s="17">
        <f t="shared" si="4"/>
        <v>609000</v>
      </c>
      <c r="G89" s="313"/>
    </row>
    <row r="90" spans="1:7" x14ac:dyDescent="0.2">
      <c r="A90" s="321" t="s">
        <v>455</v>
      </c>
      <c r="B90" s="313"/>
      <c r="C90" s="584">
        <v>415000</v>
      </c>
      <c r="D90" s="584">
        <v>194000</v>
      </c>
      <c r="E90" s="17">
        <f t="shared" si="4"/>
        <v>609000</v>
      </c>
      <c r="G90" s="313"/>
    </row>
    <row r="91" spans="1:7" x14ac:dyDescent="0.2">
      <c r="A91" s="321" t="s">
        <v>456</v>
      </c>
      <c r="B91" s="313"/>
      <c r="C91" s="584">
        <v>415000</v>
      </c>
      <c r="D91" s="584">
        <v>194000</v>
      </c>
      <c r="E91" s="17">
        <f t="shared" si="4"/>
        <v>609000</v>
      </c>
      <c r="G91" s="313"/>
    </row>
    <row r="92" spans="1:7" x14ac:dyDescent="0.2">
      <c r="A92" s="321" t="s">
        <v>457</v>
      </c>
      <c r="B92" s="313"/>
      <c r="C92" s="584">
        <v>415000</v>
      </c>
      <c r="D92" s="584">
        <v>194000</v>
      </c>
      <c r="E92" s="17">
        <f t="shared" si="4"/>
        <v>609000</v>
      </c>
      <c r="G92" s="313"/>
    </row>
    <row r="93" spans="1:7" x14ac:dyDescent="0.2">
      <c r="A93" s="321" t="s">
        <v>458</v>
      </c>
      <c r="B93" s="313"/>
      <c r="C93" s="584">
        <v>415000</v>
      </c>
      <c r="D93" s="584">
        <v>194000</v>
      </c>
      <c r="E93" s="17">
        <f t="shared" si="4"/>
        <v>609000</v>
      </c>
      <c r="G93" s="313"/>
    </row>
    <row r="94" spans="1:7" x14ac:dyDescent="0.2">
      <c r="A94" s="321" t="s">
        <v>459</v>
      </c>
      <c r="B94" s="313"/>
      <c r="C94" s="584">
        <v>415000</v>
      </c>
      <c r="D94" s="584">
        <v>194000</v>
      </c>
      <c r="E94" s="17">
        <f t="shared" si="4"/>
        <v>609000</v>
      </c>
      <c r="G94" s="313"/>
    </row>
    <row r="95" spans="1:7" x14ac:dyDescent="0.2">
      <c r="A95" s="321" t="s">
        <v>460</v>
      </c>
      <c r="B95" s="313"/>
      <c r="C95" s="584">
        <v>415000</v>
      </c>
      <c r="D95" s="584">
        <v>194000</v>
      </c>
      <c r="E95" s="17">
        <f t="shared" si="4"/>
        <v>609000</v>
      </c>
      <c r="G95" s="313"/>
    </row>
    <row r="96" spans="1:7" x14ac:dyDescent="0.2">
      <c r="A96" s="321"/>
      <c r="B96" s="313"/>
      <c r="C96" s="313"/>
      <c r="D96" s="313"/>
      <c r="E96" s="313"/>
      <c r="G96" s="313"/>
    </row>
    <row r="97" spans="1:11" x14ac:dyDescent="0.2">
      <c r="A97" s="321" t="s">
        <v>461</v>
      </c>
      <c r="B97" s="313"/>
      <c r="C97" s="313">
        <f>AVERAGE(C84:C95)</f>
        <v>410000</v>
      </c>
      <c r="D97" s="313">
        <f>AVERAGE(D84:D95)</f>
        <v>199000</v>
      </c>
      <c r="E97" s="313"/>
      <c r="G97" s="313"/>
    </row>
    <row r="98" spans="1:11" x14ac:dyDescent="0.2">
      <c r="A98" s="324" t="s">
        <v>484</v>
      </c>
      <c r="B98" s="313"/>
      <c r="C98" s="596"/>
      <c r="D98" s="313"/>
      <c r="E98" s="313">
        <f>C97+D97+C98</f>
        <v>609000</v>
      </c>
      <c r="F98" s="416" t="s">
        <v>485</v>
      </c>
      <c r="G98" s="313"/>
      <c r="H98" s="416"/>
    </row>
    <row r="99" spans="1:11" x14ac:dyDescent="0.2">
      <c r="A99" s="309"/>
      <c r="D99" s="411" t="s">
        <v>906</v>
      </c>
      <c r="E99" s="412" t="str">
        <f>IF($E$98='NITS Pg 1 of 5'!$J$27,"ok","err on NITS pg 1")</f>
        <v>ok</v>
      </c>
      <c r="F99" s="309"/>
      <c r="G99" s="313"/>
      <c r="H99" s="309"/>
    </row>
    <row r="100" spans="1:11" x14ac:dyDescent="0.2">
      <c r="A100" s="309"/>
      <c r="D100" s="411" t="s">
        <v>907</v>
      </c>
      <c r="E100" s="412" t="str">
        <f>IF(ROUND($E$98,0)='PTP Pg 1 of 5'!$J$27,"ok","err on PTP pg 1")</f>
        <v>ok</v>
      </c>
      <c r="F100" s="309"/>
      <c r="G100" s="313"/>
      <c r="H100" s="309"/>
    </row>
    <row r="101" spans="1:11" x14ac:dyDescent="0.2">
      <c r="G101" s="313"/>
    </row>
    <row r="102" spans="1:11" x14ac:dyDescent="0.2">
      <c r="A102" s="17" t="s">
        <v>486</v>
      </c>
      <c r="G102" s="313"/>
    </row>
    <row r="103" spans="1:11" ht="15" x14ac:dyDescent="0.35">
      <c r="C103" s="428" t="s">
        <v>433</v>
      </c>
      <c r="D103" s="428" t="s">
        <v>434</v>
      </c>
      <c r="E103" s="428" t="s">
        <v>435</v>
      </c>
      <c r="G103" s="313"/>
    </row>
    <row r="104" spans="1:11" x14ac:dyDescent="0.2">
      <c r="A104" s="309" t="s">
        <v>487</v>
      </c>
      <c r="C104" s="411" t="s">
        <v>907</v>
      </c>
      <c r="D104" s="412" t="str">
        <f>IF(ROUND($E$104,0)='PTP Pg 1 of 5'!$J$28,"ok","err on PTP pg 1")</f>
        <v>ok</v>
      </c>
      <c r="E104" s="659">
        <v>92167</v>
      </c>
      <c r="F104" s="419" t="s">
        <v>488</v>
      </c>
      <c r="G104" s="313"/>
      <c r="H104" s="416" t="s">
        <v>489</v>
      </c>
    </row>
    <row r="105" spans="1:11" x14ac:dyDescent="0.2">
      <c r="A105" s="309" t="s">
        <v>490</v>
      </c>
      <c r="C105" s="411" t="s">
        <v>907</v>
      </c>
      <c r="D105" s="412" t="str">
        <f>IF(ROUND($E$105,0)*-1='PTP Pg 1 of 5'!$J$29,"ok","err on PTP pg 1")</f>
        <v>ok</v>
      </c>
      <c r="E105" s="659">
        <v>427000</v>
      </c>
      <c r="F105" s="419" t="s">
        <v>491</v>
      </c>
      <c r="G105" s="313"/>
      <c r="H105" s="416" t="s">
        <v>492</v>
      </c>
    </row>
    <row r="106" spans="1:11" x14ac:dyDescent="0.2">
      <c r="A106" s="309"/>
      <c r="F106" s="309"/>
      <c r="G106" s="313"/>
      <c r="H106" s="414" t="s">
        <v>493</v>
      </c>
    </row>
    <row r="107" spans="1:11" x14ac:dyDescent="0.2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</row>
    <row r="108" spans="1:11" ht="15" x14ac:dyDescent="0.25">
      <c r="A108" s="314" t="s">
        <v>123</v>
      </c>
    </row>
    <row r="109" spans="1:11" ht="15" x14ac:dyDescent="0.35">
      <c r="A109" s="315" t="s">
        <v>30</v>
      </c>
      <c r="B109" s="239"/>
      <c r="C109" s="428" t="s">
        <v>433</v>
      </c>
      <c r="D109" s="428" t="s">
        <v>434</v>
      </c>
      <c r="E109" s="428" t="s">
        <v>435</v>
      </c>
    </row>
    <row r="110" spans="1:11" x14ac:dyDescent="0.2">
      <c r="A110" s="316" t="s">
        <v>494</v>
      </c>
      <c r="B110" s="242" t="s">
        <v>495</v>
      </c>
      <c r="C110" s="584">
        <v>118942548</v>
      </c>
      <c r="D110" s="584">
        <v>2240</v>
      </c>
      <c r="E110" s="17">
        <f t="shared" ref="E110:E114" si="5">C110+D110</f>
        <v>118944788</v>
      </c>
      <c r="F110" s="416" t="s">
        <v>496</v>
      </c>
      <c r="G110" s="313"/>
    </row>
    <row r="111" spans="1:11" x14ac:dyDescent="0.2">
      <c r="A111" s="316" t="s">
        <v>497</v>
      </c>
      <c r="B111" s="245" t="s">
        <v>498</v>
      </c>
      <c r="C111" s="584">
        <v>6292160955</v>
      </c>
      <c r="D111" s="584">
        <v>3601989373</v>
      </c>
      <c r="E111" s="17">
        <f t="shared" si="5"/>
        <v>9894150328</v>
      </c>
      <c r="F111" s="416" t="s">
        <v>499</v>
      </c>
      <c r="G111" s="313"/>
    </row>
    <row r="112" spans="1:11" x14ac:dyDescent="0.2">
      <c r="A112" s="317" t="s">
        <v>24</v>
      </c>
      <c r="B112" s="242" t="s">
        <v>500</v>
      </c>
      <c r="C112" s="584">
        <v>1038305644</v>
      </c>
      <c r="D112" s="584">
        <v>464207840</v>
      </c>
      <c r="E112" s="17">
        <f t="shared" si="5"/>
        <v>1502513484</v>
      </c>
      <c r="F112" s="416" t="s">
        <v>501</v>
      </c>
      <c r="G112" s="313"/>
      <c r="I112" s="17" t="s">
        <v>851</v>
      </c>
    </row>
    <row r="113" spans="1:14" x14ac:dyDescent="0.2">
      <c r="A113" s="317" t="s">
        <v>502</v>
      </c>
      <c r="B113" s="242" t="s">
        <v>503</v>
      </c>
      <c r="C113" s="584">
        <v>1898260923</v>
      </c>
      <c r="D113" s="584">
        <v>1451637310</v>
      </c>
      <c r="E113" s="17">
        <f t="shared" si="5"/>
        <v>3349898233</v>
      </c>
      <c r="F113" s="416" t="s">
        <v>504</v>
      </c>
      <c r="G113" s="313"/>
      <c r="H113" s="419" t="s">
        <v>850</v>
      </c>
      <c r="I113" s="584">
        <v>288194654</v>
      </c>
      <c r="J113" s="313"/>
    </row>
    <row r="114" spans="1:14" x14ac:dyDescent="0.2">
      <c r="A114" s="317" t="s">
        <v>505</v>
      </c>
      <c r="B114" s="242" t="s">
        <v>506</v>
      </c>
      <c r="C114" s="584">
        <v>210039677</v>
      </c>
      <c r="D114" s="584">
        <v>22496962</v>
      </c>
      <c r="E114" s="17">
        <f t="shared" si="5"/>
        <v>232536639</v>
      </c>
      <c r="F114" s="416" t="s">
        <v>496</v>
      </c>
      <c r="G114" s="313"/>
      <c r="H114" s="545" t="s">
        <v>952</v>
      </c>
      <c r="I114" s="652">
        <v>0.69</v>
      </c>
      <c r="J114" s="313"/>
    </row>
    <row r="115" spans="1:14" x14ac:dyDescent="0.2">
      <c r="A115" s="317" t="s">
        <v>43</v>
      </c>
      <c r="B115" s="242" t="s">
        <v>507</v>
      </c>
      <c r="C115" s="313" t="s">
        <v>508</v>
      </c>
      <c r="D115" s="313">
        <f>I115</f>
        <v>198854311.25999999</v>
      </c>
      <c r="E115" s="17">
        <f>D115</f>
        <v>198854311.25999999</v>
      </c>
      <c r="F115" s="416" t="s">
        <v>509</v>
      </c>
      <c r="G115" s="313"/>
      <c r="I115" s="17">
        <f>I113*I114</f>
        <v>198854311.25999999</v>
      </c>
      <c r="J115" s="313"/>
    </row>
    <row r="116" spans="1:14" x14ac:dyDescent="0.2">
      <c r="A116" s="317"/>
      <c r="B116" s="242"/>
      <c r="C116" s="313" t="s">
        <v>908</v>
      </c>
      <c r="D116" s="313"/>
      <c r="E116" s="313">
        <f>ROUND(SUM(E110:E115),0)</f>
        <v>15296897783</v>
      </c>
      <c r="F116" s="309"/>
      <c r="G116" s="313"/>
      <c r="J116" s="313"/>
    </row>
    <row r="117" spans="1:14" x14ac:dyDescent="0.2">
      <c r="B117" s="313"/>
      <c r="C117" s="412"/>
      <c r="D117" s="411" t="s">
        <v>906</v>
      </c>
      <c r="E117" s="412" t="str">
        <f>IF($E$116='NITS Pg 2 of 5'!$E$19,"ok","err on NITS pg 2")</f>
        <v>ok</v>
      </c>
      <c r="G117" s="313"/>
      <c r="J117" s="673" t="s">
        <v>946</v>
      </c>
      <c r="K117" s="673"/>
    </row>
    <row r="118" spans="1:14" x14ac:dyDescent="0.2">
      <c r="B118" s="588"/>
      <c r="C118" s="412"/>
      <c r="D118" s="411" t="s">
        <v>907</v>
      </c>
      <c r="E118" s="412" t="str">
        <f>IF($E$116='PTP Pg 2 of 5'!$E$19,"ok","err on PTP pg 2")</f>
        <v>ok</v>
      </c>
      <c r="G118" s="313"/>
      <c r="I118" s="309"/>
      <c r="J118" s="673"/>
      <c r="K118" s="673"/>
      <c r="M118" s="309" t="s">
        <v>510</v>
      </c>
    </row>
    <row r="119" spans="1:14" ht="15" x14ac:dyDescent="0.35">
      <c r="A119" s="315" t="s">
        <v>40</v>
      </c>
      <c r="B119" s="245"/>
      <c r="C119" s="428" t="s">
        <v>433</v>
      </c>
      <c r="D119" s="428" t="s">
        <v>434</v>
      </c>
      <c r="E119" s="428" t="s">
        <v>435</v>
      </c>
      <c r="G119" s="313"/>
      <c r="J119" s="428" t="s">
        <v>433</v>
      </c>
      <c r="K119" s="428" t="s">
        <v>434</v>
      </c>
      <c r="M119" s="611" t="s">
        <v>433</v>
      </c>
      <c r="N119" s="611" t="s">
        <v>434</v>
      </c>
    </row>
    <row r="120" spans="1:14" x14ac:dyDescent="0.2">
      <c r="A120" s="316" t="s">
        <v>494</v>
      </c>
      <c r="B120" s="245" t="s">
        <v>511</v>
      </c>
      <c r="C120" s="310">
        <f>J120-M120</f>
        <v>77771715.540000007</v>
      </c>
      <c r="D120" s="310">
        <f t="shared" ref="D120:D126" si="6">K120-N120</f>
        <v>0</v>
      </c>
      <c r="E120" s="17">
        <f t="shared" ref="E120:E126" si="7">C120+D120</f>
        <v>77771715.540000007</v>
      </c>
      <c r="F120" s="416" t="s">
        <v>512</v>
      </c>
      <c r="G120" s="313"/>
      <c r="I120" s="595" t="s">
        <v>494</v>
      </c>
      <c r="J120" s="584">
        <v>69957780</v>
      </c>
      <c r="K120" s="584">
        <v>0</v>
      </c>
      <c r="L120" s="313"/>
      <c r="M120" s="450">
        <v>-7813935.54</v>
      </c>
      <c r="N120" s="450"/>
    </row>
    <row r="121" spans="1:14" x14ac:dyDescent="0.2">
      <c r="A121" s="316" t="s">
        <v>513</v>
      </c>
      <c r="B121" s="242" t="s">
        <v>514</v>
      </c>
      <c r="C121" s="310">
        <f t="shared" ref="C121:C126" si="8">J121-M121</f>
        <v>1970940372.45</v>
      </c>
      <c r="D121" s="310">
        <f t="shared" si="6"/>
        <v>1044147441.48</v>
      </c>
      <c r="E121" s="17">
        <f t="shared" si="7"/>
        <v>3015087813.9300003</v>
      </c>
      <c r="F121" s="416" t="s">
        <v>515</v>
      </c>
      <c r="G121" s="313"/>
      <c r="I121" s="595" t="s">
        <v>516</v>
      </c>
      <c r="J121" s="584">
        <v>1888715189</v>
      </c>
      <c r="K121" s="584">
        <v>894619363</v>
      </c>
      <c r="L121" s="313"/>
      <c r="M121" s="450">
        <v>-82225183.450000003</v>
      </c>
      <c r="N121" s="450">
        <v>-149528078.47999999</v>
      </c>
    </row>
    <row r="122" spans="1:14" x14ac:dyDescent="0.2">
      <c r="A122" s="316" t="s">
        <v>517</v>
      </c>
      <c r="B122" s="242" t="s">
        <v>518</v>
      </c>
      <c r="C122" s="310">
        <f t="shared" si="8"/>
        <v>8904654.5099999998</v>
      </c>
      <c r="D122" s="310">
        <f t="shared" si="6"/>
        <v>1331634.9100000001</v>
      </c>
      <c r="E122" s="17">
        <f t="shared" si="7"/>
        <v>10236289.42</v>
      </c>
      <c r="F122" s="416" t="s">
        <v>515</v>
      </c>
      <c r="G122" s="313"/>
      <c r="I122" s="595" t="s">
        <v>519</v>
      </c>
      <c r="J122" s="584">
        <v>14193793</v>
      </c>
      <c r="K122" s="584">
        <v>11137436</v>
      </c>
      <c r="L122" s="313"/>
      <c r="M122" s="450">
        <v>5289138.49</v>
      </c>
      <c r="N122" s="450">
        <v>9805801.0899999999</v>
      </c>
    </row>
    <row r="123" spans="1:14" x14ac:dyDescent="0.2">
      <c r="A123" s="316" t="s">
        <v>520</v>
      </c>
      <c r="B123" s="242" t="s">
        <v>521</v>
      </c>
      <c r="C123" s="310">
        <f t="shared" si="8"/>
        <v>317053550.64999998</v>
      </c>
      <c r="D123" s="310">
        <f t="shared" si="6"/>
        <v>135615893.44999999</v>
      </c>
      <c r="E123" s="17">
        <f t="shared" si="7"/>
        <v>452669444.09999996</v>
      </c>
      <c r="F123" s="416" t="s">
        <v>515</v>
      </c>
      <c r="G123" s="313"/>
      <c r="I123" s="595" t="s">
        <v>522</v>
      </c>
      <c r="J123" s="584">
        <v>346641804</v>
      </c>
      <c r="K123" s="584">
        <v>146021962</v>
      </c>
      <c r="L123" s="313"/>
      <c r="M123" s="450">
        <v>29588253.350000001</v>
      </c>
      <c r="N123" s="450">
        <v>10406068.550000001</v>
      </c>
    </row>
    <row r="124" spans="1:14" x14ac:dyDescent="0.2">
      <c r="A124" s="316" t="s">
        <v>24</v>
      </c>
      <c r="B124" s="242" t="s">
        <v>523</v>
      </c>
      <c r="C124" s="310">
        <f t="shared" si="8"/>
        <v>340234277.95999998</v>
      </c>
      <c r="D124" s="310">
        <f t="shared" si="6"/>
        <v>157780439.19999999</v>
      </c>
      <c r="E124" s="17">
        <f t="shared" si="7"/>
        <v>498014717.15999997</v>
      </c>
      <c r="F124" s="416" t="s">
        <v>524</v>
      </c>
      <c r="G124" s="313"/>
      <c r="I124" s="595" t="s">
        <v>24</v>
      </c>
      <c r="J124" s="584">
        <v>344470508</v>
      </c>
      <c r="K124" s="584">
        <v>159471380</v>
      </c>
      <c r="L124" s="313"/>
      <c r="M124" s="450">
        <v>4236230.04</v>
      </c>
      <c r="N124" s="450">
        <v>1690940.8</v>
      </c>
    </row>
    <row r="125" spans="1:14" x14ac:dyDescent="0.2">
      <c r="A125" s="316" t="s">
        <v>502</v>
      </c>
      <c r="B125" s="242" t="s">
        <v>525</v>
      </c>
      <c r="C125" s="310">
        <f t="shared" si="8"/>
        <v>681417654.10000002</v>
      </c>
      <c r="D125" s="310">
        <f t="shared" si="6"/>
        <v>503771238.33999997</v>
      </c>
      <c r="E125" s="17">
        <f t="shared" si="7"/>
        <v>1185188892.4400001</v>
      </c>
      <c r="F125" s="416" t="s">
        <v>526</v>
      </c>
      <c r="G125" s="313"/>
      <c r="I125" s="595" t="s">
        <v>502</v>
      </c>
      <c r="J125" s="584">
        <v>692324576</v>
      </c>
      <c r="K125" s="584">
        <v>526307877</v>
      </c>
      <c r="L125" s="313"/>
      <c r="M125" s="450">
        <v>10906921.9</v>
      </c>
      <c r="N125" s="450">
        <v>22536638.66</v>
      </c>
    </row>
    <row r="126" spans="1:14" x14ac:dyDescent="0.2">
      <c r="A126" s="316" t="s">
        <v>505</v>
      </c>
      <c r="B126" s="242" t="s">
        <v>527</v>
      </c>
      <c r="C126" s="310">
        <f t="shared" si="8"/>
        <v>63301995.267000005</v>
      </c>
      <c r="D126" s="310">
        <f t="shared" si="6"/>
        <v>11264843.890000001</v>
      </c>
      <c r="E126" s="17">
        <f t="shared" si="7"/>
        <v>74566839.157000005</v>
      </c>
      <c r="F126" s="416" t="s">
        <v>512</v>
      </c>
      <c r="G126" s="313"/>
      <c r="I126" s="595" t="s">
        <v>505</v>
      </c>
      <c r="J126" s="584">
        <v>73018609</v>
      </c>
      <c r="K126" s="584">
        <v>10823928</v>
      </c>
      <c r="L126" s="313"/>
      <c r="M126" s="450">
        <v>9716613.7329999991</v>
      </c>
      <c r="N126" s="450">
        <v>-440915.89</v>
      </c>
    </row>
    <row r="127" spans="1:14" x14ac:dyDescent="0.2">
      <c r="A127" s="316" t="s">
        <v>43</v>
      </c>
      <c r="B127" s="242" t="s">
        <v>507</v>
      </c>
      <c r="C127" s="313" t="s">
        <v>508</v>
      </c>
      <c r="D127" s="310">
        <f>K127-N127</f>
        <v>112991363.54000001</v>
      </c>
      <c r="E127" s="17">
        <f>D127</f>
        <v>112991363.54000001</v>
      </c>
      <c r="F127" s="416" t="s">
        <v>528</v>
      </c>
      <c r="G127" s="313"/>
      <c r="I127" s="595" t="s">
        <v>43</v>
      </c>
      <c r="J127" s="596" t="s">
        <v>508</v>
      </c>
      <c r="K127" s="584">
        <v>106378917</v>
      </c>
      <c r="L127" s="313"/>
      <c r="M127" s="313"/>
      <c r="N127" s="450">
        <v>-6612446.54</v>
      </c>
    </row>
    <row r="128" spans="1:14" x14ac:dyDescent="0.2">
      <c r="A128" s="316"/>
      <c r="B128" s="225"/>
      <c r="C128" s="313" t="s">
        <v>909</v>
      </c>
      <c r="D128" s="310"/>
      <c r="E128" s="313">
        <f>ROUND(SUM(E120:E127),0)</f>
        <v>5426527075</v>
      </c>
      <c r="F128" s="309"/>
      <c r="G128" s="313"/>
      <c r="I128" s="316"/>
      <c r="J128" s="313"/>
      <c r="K128" s="310"/>
      <c r="L128" s="313"/>
      <c r="M128" s="313"/>
      <c r="N128" s="310"/>
    </row>
    <row r="129" spans="1:8" x14ac:dyDescent="0.2">
      <c r="C129" s="412"/>
      <c r="D129" s="411" t="s">
        <v>906</v>
      </c>
      <c r="E129" s="412" t="str">
        <f>IF($E$128='NITS Pg 2 of 5'!$E$27,"ok","err on NITS pg 2")</f>
        <v>ok</v>
      </c>
      <c r="G129" s="313"/>
    </row>
    <row r="130" spans="1:8" x14ac:dyDescent="0.2">
      <c r="A130" s="317"/>
      <c r="C130" s="412"/>
      <c r="D130" s="411" t="s">
        <v>907</v>
      </c>
      <c r="E130" s="412" t="str">
        <f>IF($E$128='PTP Pg 2 of 5'!$E$27,"ok","err on PTP pg 2")</f>
        <v>ok</v>
      </c>
      <c r="G130" s="313"/>
    </row>
    <row r="131" spans="1:8" x14ac:dyDescent="0.2">
      <c r="G131" s="313"/>
    </row>
    <row r="132" spans="1:8" ht="15" x14ac:dyDescent="0.35">
      <c r="A132" s="315" t="s">
        <v>529</v>
      </c>
      <c r="B132" s="239"/>
      <c r="C132" s="428" t="s">
        <v>433</v>
      </c>
      <c r="D132" s="428" t="s">
        <v>434</v>
      </c>
      <c r="E132" s="428" t="s">
        <v>435</v>
      </c>
      <c r="G132" s="313"/>
    </row>
    <row r="133" spans="1:8" x14ac:dyDescent="0.2">
      <c r="A133" s="317" t="s">
        <v>530</v>
      </c>
      <c r="B133" s="242" t="s">
        <v>531</v>
      </c>
      <c r="C133" s="584">
        <v>0</v>
      </c>
      <c r="D133" s="584">
        <v>0</v>
      </c>
      <c r="E133" s="17">
        <f>C133+D133</f>
        <v>0</v>
      </c>
      <c r="F133" s="416" t="s">
        <v>532</v>
      </c>
      <c r="G133" s="313"/>
    </row>
    <row r="134" spans="1:8" x14ac:dyDescent="0.2">
      <c r="A134" s="317" t="s">
        <v>533</v>
      </c>
      <c r="B134" s="242" t="s">
        <v>534</v>
      </c>
      <c r="C134" s="584">
        <v>913660553</v>
      </c>
      <c r="D134" s="584">
        <v>608214303</v>
      </c>
      <c r="G134" s="313"/>
    </row>
    <row r="135" spans="1:8" x14ac:dyDescent="0.2">
      <c r="A135" s="317" t="s">
        <v>991</v>
      </c>
      <c r="B135" s="242"/>
      <c r="C135" s="584">
        <v>453221370</v>
      </c>
      <c r="D135" s="584">
        <v>327223483</v>
      </c>
      <c r="E135" s="313"/>
      <c r="F135" s="416"/>
      <c r="G135" s="313"/>
    </row>
    <row r="136" spans="1:8" x14ac:dyDescent="0.2">
      <c r="A136" s="317"/>
      <c r="B136" s="242"/>
      <c r="C136" s="310">
        <f>+C134+C135</f>
        <v>1366881923</v>
      </c>
      <c r="D136" s="310">
        <f>+D134+D135</f>
        <v>935437786</v>
      </c>
      <c r="E136" s="313">
        <f>C136+D136</f>
        <v>2302319709</v>
      </c>
      <c r="F136" s="416" t="s">
        <v>535</v>
      </c>
      <c r="G136" s="313"/>
    </row>
    <row r="137" spans="1:8" x14ac:dyDescent="0.2">
      <c r="A137" s="317" t="s">
        <v>536</v>
      </c>
      <c r="B137" s="242" t="s">
        <v>537</v>
      </c>
      <c r="C137" s="584">
        <v>153365114</v>
      </c>
      <c r="D137" s="584">
        <v>124929949</v>
      </c>
      <c r="F137" s="309"/>
      <c r="G137" s="313"/>
    </row>
    <row r="138" spans="1:8" ht="102" x14ac:dyDescent="0.2">
      <c r="A138" s="333" t="s">
        <v>538</v>
      </c>
      <c r="B138" s="242" t="s">
        <v>539</v>
      </c>
      <c r="C138" s="584">
        <v>13760420</v>
      </c>
      <c r="D138" s="584">
        <v>17557228</v>
      </c>
      <c r="E138" s="17">
        <f>C138+D138</f>
        <v>31317648</v>
      </c>
      <c r="F138" s="309"/>
      <c r="G138" s="313"/>
      <c r="H138" s="612" t="s">
        <v>968</v>
      </c>
    </row>
    <row r="139" spans="1:8" x14ac:dyDescent="0.2">
      <c r="A139" s="333" t="s">
        <v>540</v>
      </c>
      <c r="B139" s="242" t="s">
        <v>541</v>
      </c>
      <c r="C139" s="584">
        <v>13760420</v>
      </c>
      <c r="D139" s="584">
        <v>17557228</v>
      </c>
      <c r="G139" s="313"/>
      <c r="H139" s="414" t="s">
        <v>542</v>
      </c>
    </row>
    <row r="140" spans="1:8" x14ac:dyDescent="0.2">
      <c r="A140" s="660" t="s">
        <v>991</v>
      </c>
      <c r="B140" s="242"/>
      <c r="C140" s="584">
        <v>-8651196</v>
      </c>
      <c r="D140" s="584">
        <v>-1754438</v>
      </c>
      <c r="G140" s="313"/>
      <c r="H140" s="414"/>
    </row>
    <row r="141" spans="1:8" x14ac:dyDescent="0.2">
      <c r="A141" s="317" t="s">
        <v>543</v>
      </c>
      <c r="B141" s="242"/>
      <c r="C141" s="313">
        <f>C137-C138+C139+C140</f>
        <v>144713918</v>
      </c>
      <c r="D141" s="313">
        <f>D137-D138+D139+D140</f>
        <v>123175511</v>
      </c>
      <c r="E141" s="313">
        <f>C141+D141</f>
        <v>267889429</v>
      </c>
      <c r="F141" s="416" t="s">
        <v>544</v>
      </c>
      <c r="G141" s="313"/>
    </row>
    <row r="142" spans="1:8" x14ac:dyDescent="0.2">
      <c r="A142" s="317" t="s">
        <v>545</v>
      </c>
      <c r="B142" s="242" t="s">
        <v>546</v>
      </c>
      <c r="C142" s="584">
        <v>331743132</v>
      </c>
      <c r="D142" s="584">
        <v>226927635</v>
      </c>
      <c r="F142" s="309"/>
      <c r="G142" s="313"/>
    </row>
    <row r="143" spans="1:8" ht="102" x14ac:dyDescent="0.2">
      <c r="A143" s="333" t="s">
        <v>547</v>
      </c>
      <c r="B143" s="242" t="s">
        <v>548</v>
      </c>
      <c r="C143" s="584">
        <v>30884307</v>
      </c>
      <c r="D143" s="584">
        <v>30961289</v>
      </c>
      <c r="F143" s="309"/>
      <c r="G143" s="313"/>
      <c r="H143" s="612" t="s">
        <v>968</v>
      </c>
    </row>
    <row r="144" spans="1:8" x14ac:dyDescent="0.2">
      <c r="A144" s="333" t="s">
        <v>549</v>
      </c>
      <c r="B144" s="242" t="s">
        <v>550</v>
      </c>
      <c r="C144" s="584">
        <v>30884307</v>
      </c>
      <c r="D144" s="584">
        <v>30961289</v>
      </c>
      <c r="G144" s="313"/>
      <c r="H144" s="414" t="s">
        <v>542</v>
      </c>
    </row>
    <row r="145" spans="1:9" x14ac:dyDescent="0.2">
      <c r="A145" s="317" t="s">
        <v>991</v>
      </c>
      <c r="B145" s="242"/>
      <c r="C145" s="584">
        <v>-195470556</v>
      </c>
      <c r="D145" s="584">
        <v>-122075832</v>
      </c>
      <c r="G145" s="313"/>
      <c r="H145" s="414"/>
    </row>
    <row r="146" spans="1:9" x14ac:dyDescent="0.2">
      <c r="A146" s="317" t="s">
        <v>551</v>
      </c>
      <c r="B146" s="242"/>
      <c r="C146" s="313">
        <f>C142-C143+C144+C145</f>
        <v>136272576</v>
      </c>
      <c r="D146" s="313">
        <f>D142-D143+D144+D145</f>
        <v>104851803</v>
      </c>
      <c r="E146" s="313">
        <f>C146+D146</f>
        <v>241124379</v>
      </c>
      <c r="F146" s="416" t="s">
        <v>552</v>
      </c>
      <c r="G146" s="313"/>
      <c r="H146" s="309"/>
    </row>
    <row r="147" spans="1:9" ht="25.5" x14ac:dyDescent="0.2">
      <c r="A147" s="425" t="s">
        <v>553</v>
      </c>
      <c r="B147" s="328" t="s">
        <v>554</v>
      </c>
      <c r="C147" s="584">
        <v>0</v>
      </c>
      <c r="D147" s="661" t="s">
        <v>508</v>
      </c>
      <c r="E147" s="17">
        <f>C147</f>
        <v>0</v>
      </c>
      <c r="F147" s="416" t="s">
        <v>555</v>
      </c>
      <c r="G147" s="313"/>
      <c r="H147" s="612" t="s">
        <v>556</v>
      </c>
    </row>
    <row r="148" spans="1:9" x14ac:dyDescent="0.2">
      <c r="B148" s="82"/>
      <c r="G148" s="313"/>
    </row>
    <row r="149" spans="1:9" x14ac:dyDescent="0.2">
      <c r="A149" s="309" t="s">
        <v>632</v>
      </c>
      <c r="B149" s="242" t="s">
        <v>557</v>
      </c>
      <c r="C149" s="584">
        <v>549689</v>
      </c>
      <c r="D149" s="584">
        <v>195962</v>
      </c>
      <c r="E149" s="313">
        <f t="shared" ref="E149:E150" si="9">C149+D149</f>
        <v>745651</v>
      </c>
      <c r="F149" s="309"/>
      <c r="G149" s="313"/>
    </row>
    <row r="150" spans="1:9" x14ac:dyDescent="0.2">
      <c r="A150" s="17" t="s">
        <v>558</v>
      </c>
      <c r="B150" s="242" t="s">
        <v>927</v>
      </c>
      <c r="C150" s="450">
        <v>90829.89</v>
      </c>
      <c r="D150" s="450">
        <v>41951.78</v>
      </c>
      <c r="E150" s="313">
        <f t="shared" si="9"/>
        <v>132781.66999999998</v>
      </c>
      <c r="F150" s="309"/>
      <c r="G150" s="313"/>
    </row>
    <row r="151" spans="1:9" x14ac:dyDescent="0.2">
      <c r="B151" s="240"/>
      <c r="C151" s="310"/>
      <c r="D151" s="310"/>
      <c r="E151" s="313">
        <f>E149-E150</f>
        <v>612869.33000000007</v>
      </c>
      <c r="F151" s="416" t="s">
        <v>559</v>
      </c>
      <c r="G151" s="313"/>
    </row>
    <row r="152" spans="1:9" x14ac:dyDescent="0.2">
      <c r="A152" s="309" t="s">
        <v>855</v>
      </c>
      <c r="B152" s="225" t="s">
        <v>856</v>
      </c>
      <c r="C152" s="661" t="s">
        <v>508</v>
      </c>
      <c r="D152" s="584">
        <v>0</v>
      </c>
      <c r="E152" s="17">
        <f>D152</f>
        <v>0</v>
      </c>
      <c r="F152" s="309"/>
      <c r="G152" s="313"/>
      <c r="H152" s="414" t="s">
        <v>560</v>
      </c>
    </row>
    <row r="153" spans="1:9" x14ac:dyDescent="0.2">
      <c r="A153" s="17" t="s">
        <v>561</v>
      </c>
      <c r="B153" s="225" t="s">
        <v>928</v>
      </c>
      <c r="C153" s="661" t="s">
        <v>508</v>
      </c>
      <c r="D153" s="450">
        <v>0</v>
      </c>
      <c r="E153" s="17">
        <f>D153</f>
        <v>0</v>
      </c>
      <c r="F153" s="309"/>
      <c r="G153" s="313"/>
      <c r="H153" s="414" t="s">
        <v>560</v>
      </c>
    </row>
    <row r="154" spans="1:9" x14ac:dyDescent="0.2">
      <c r="B154" s="240"/>
      <c r="C154" s="310"/>
      <c r="D154" s="310"/>
      <c r="E154" s="17">
        <f>E152-E153</f>
        <v>0</v>
      </c>
      <c r="F154" s="416" t="s">
        <v>854</v>
      </c>
      <c r="G154" s="313"/>
    </row>
    <row r="155" spans="1:9" x14ac:dyDescent="0.2">
      <c r="A155" s="17" t="s">
        <v>905</v>
      </c>
      <c r="B155" s="240"/>
      <c r="C155" s="310"/>
      <c r="D155" s="310"/>
      <c r="F155" s="309"/>
      <c r="G155" s="313"/>
    </row>
    <row r="156" spans="1:9" x14ac:dyDescent="0.2">
      <c r="A156" s="321" t="s">
        <v>563</v>
      </c>
      <c r="E156" s="450">
        <v>1890163.9981558127</v>
      </c>
      <c r="F156" s="313"/>
      <c r="G156" s="313"/>
      <c r="I156" s="416" t="s">
        <v>929</v>
      </c>
    </row>
    <row r="157" spans="1:9" x14ac:dyDescent="0.2">
      <c r="A157" s="321" t="s">
        <v>565</v>
      </c>
      <c r="E157" s="310">
        <f>E156*$I$165</f>
        <v>102503.3357925897</v>
      </c>
      <c r="F157" s="312"/>
      <c r="G157" s="313"/>
    </row>
    <row r="158" spans="1:9" x14ac:dyDescent="0.2">
      <c r="A158" s="321" t="s">
        <v>940</v>
      </c>
      <c r="E158" s="17">
        <f>E156-E157</f>
        <v>1787660.662363223</v>
      </c>
      <c r="F158" s="312"/>
      <c r="G158" s="313"/>
    </row>
    <row r="159" spans="1:9" x14ac:dyDescent="0.2">
      <c r="A159" s="324" t="s">
        <v>569</v>
      </c>
      <c r="E159" s="450">
        <v>193045.33</v>
      </c>
      <c r="F159" s="312"/>
      <c r="G159" s="313"/>
      <c r="H159" s="414" t="s">
        <v>562</v>
      </c>
    </row>
    <row r="160" spans="1:9" x14ac:dyDescent="0.2">
      <c r="A160" s="311" t="s">
        <v>571</v>
      </c>
      <c r="E160" s="313">
        <f>E158+E159</f>
        <v>1980705.9923632231</v>
      </c>
      <c r="F160" s="419" t="s">
        <v>853</v>
      </c>
      <c r="G160" s="313"/>
      <c r="H160" s="414" t="s">
        <v>935</v>
      </c>
    </row>
    <row r="161" spans="1:15" x14ac:dyDescent="0.2">
      <c r="A161" s="311"/>
      <c r="E161" s="313"/>
      <c r="F161" s="312"/>
      <c r="G161" s="313"/>
    </row>
    <row r="162" spans="1:15" x14ac:dyDescent="0.2">
      <c r="A162" s="311" t="s">
        <v>904</v>
      </c>
      <c r="F162" s="312"/>
      <c r="G162" s="313"/>
    </row>
    <row r="163" spans="1:15" x14ac:dyDescent="0.2">
      <c r="A163" s="321" t="s">
        <v>563</v>
      </c>
      <c r="E163" s="450">
        <v>11337329.021524608</v>
      </c>
      <c r="F163" s="313"/>
      <c r="G163" s="313"/>
      <c r="L163" s="414" t="s">
        <v>564</v>
      </c>
      <c r="M163" s="310">
        <f>C124</f>
        <v>340234277.95999998</v>
      </c>
      <c r="N163" s="310">
        <f>D124</f>
        <v>157780439.19999999</v>
      </c>
      <c r="O163" s="17">
        <f>M163+N163</f>
        <v>498014717.15999997</v>
      </c>
    </row>
    <row r="164" spans="1:15" x14ac:dyDescent="0.2">
      <c r="A164" s="321" t="s">
        <v>565</v>
      </c>
      <c r="E164" s="310">
        <f>E163*$I$165</f>
        <v>614821.80637143436</v>
      </c>
      <c r="F164" s="313"/>
      <c r="G164" s="313"/>
      <c r="H164" s="414" t="s">
        <v>566</v>
      </c>
      <c r="L164" s="414" t="s">
        <v>567</v>
      </c>
      <c r="M164" s="310">
        <f>C216</f>
        <v>18498927.870000001</v>
      </c>
      <c r="N164" s="310">
        <f>D216</f>
        <v>8508342.3100000005</v>
      </c>
      <c r="O164" s="17">
        <f>M164+N164</f>
        <v>27007270.18</v>
      </c>
    </row>
    <row r="165" spans="1:15" x14ac:dyDescent="0.2">
      <c r="A165" s="321" t="s">
        <v>568</v>
      </c>
      <c r="E165" s="17">
        <f>E163-E164</f>
        <v>10722507.215153174</v>
      </c>
      <c r="F165" s="313"/>
      <c r="G165" s="313"/>
      <c r="H165" s="322">
        <f>E164/E163</f>
        <v>5.4229863595222277E-2</v>
      </c>
      <c r="I165" s="318">
        <f>O164/O163</f>
        <v>5.4229863595222277E-2</v>
      </c>
      <c r="J165" s="323"/>
    </row>
    <row r="166" spans="1:15" x14ac:dyDescent="0.2">
      <c r="A166" s="324" t="s">
        <v>569</v>
      </c>
      <c r="E166" s="450">
        <v>9081606</v>
      </c>
      <c r="F166" s="313"/>
      <c r="G166" s="313"/>
      <c r="H166" s="414" t="s">
        <v>570</v>
      </c>
      <c r="I166" s="416" t="s">
        <v>1009</v>
      </c>
    </row>
    <row r="167" spans="1:15" x14ac:dyDescent="0.2">
      <c r="A167" s="311" t="s">
        <v>571</v>
      </c>
      <c r="E167" s="313">
        <f>E165+E166</f>
        <v>19804113.215153173</v>
      </c>
      <c r="F167" s="419" t="s">
        <v>852</v>
      </c>
      <c r="G167" s="313"/>
      <c r="I167" s="416" t="s">
        <v>1010</v>
      </c>
    </row>
    <row r="168" spans="1:15" x14ac:dyDescent="0.2">
      <c r="A168" s="311"/>
      <c r="E168" s="313"/>
      <c r="F168" s="416"/>
      <c r="G168" s="313"/>
      <c r="I168" s="416"/>
    </row>
    <row r="169" spans="1:15" x14ac:dyDescent="0.2">
      <c r="A169" s="311" t="s">
        <v>572</v>
      </c>
      <c r="B169" s="309" t="s">
        <v>573</v>
      </c>
      <c r="C169" s="450">
        <v>0</v>
      </c>
      <c r="D169" s="450">
        <v>0</v>
      </c>
      <c r="E169" s="313">
        <f t="shared" ref="E169" si="10">C169+D169</f>
        <v>0</v>
      </c>
      <c r="F169" s="416" t="s">
        <v>574</v>
      </c>
      <c r="G169" s="313"/>
      <c r="H169" s="416" t="s">
        <v>575</v>
      </c>
    </row>
    <row r="170" spans="1:15" x14ac:dyDescent="0.2">
      <c r="A170" s="311"/>
      <c r="B170" s="309"/>
      <c r="C170" s="312" t="s">
        <v>903</v>
      </c>
      <c r="D170" s="312"/>
      <c r="E170" s="313">
        <f>ROUND(E133-E136-E141+E146-E147-E151-E154-E160-E167,0)</f>
        <v>-2351482448</v>
      </c>
      <c r="F170" s="309"/>
      <c r="G170" s="313"/>
      <c r="H170" s="416" t="s">
        <v>936</v>
      </c>
    </row>
    <row r="171" spans="1:15" x14ac:dyDescent="0.2">
      <c r="A171" s="311"/>
      <c r="B171" s="309"/>
      <c r="C171" s="411"/>
      <c r="D171" s="411" t="s">
        <v>906</v>
      </c>
      <c r="E171" s="313" t="str">
        <f>IF(E170='NITS Pg 2 of 5'!$E$47,"ok","err on NITS pg 2")</f>
        <v>ok</v>
      </c>
      <c r="F171" s="309"/>
      <c r="G171" s="313"/>
    </row>
    <row r="172" spans="1:15" x14ac:dyDescent="0.2">
      <c r="A172" s="311"/>
      <c r="B172" s="309"/>
      <c r="C172" s="411"/>
      <c r="D172" s="411" t="s">
        <v>907</v>
      </c>
      <c r="E172" s="313" t="str">
        <f>IF(E170='PTP Pg 2 of 5'!$E$47,"ok","err on PTP pg 2")</f>
        <v>ok</v>
      </c>
      <c r="F172" s="309"/>
      <c r="G172" s="313"/>
    </row>
    <row r="173" spans="1:15" x14ac:dyDescent="0.2">
      <c r="A173" s="311" t="s">
        <v>24</v>
      </c>
      <c r="B173" s="312" t="s">
        <v>576</v>
      </c>
      <c r="C173" s="584">
        <v>10779244</v>
      </c>
      <c r="D173" s="584">
        <v>2623830</v>
      </c>
      <c r="E173" s="313"/>
      <c r="F173" s="309"/>
      <c r="G173" s="313"/>
    </row>
    <row r="174" spans="1:15" x14ac:dyDescent="0.2">
      <c r="A174" s="311" t="s">
        <v>577</v>
      </c>
      <c r="B174" s="312" t="s">
        <v>578</v>
      </c>
      <c r="C174" s="584">
        <v>9836645</v>
      </c>
      <c r="D174" s="584">
        <v>4878404</v>
      </c>
      <c r="E174" s="313"/>
      <c r="F174" s="309"/>
      <c r="G174" s="313"/>
    </row>
    <row r="175" spans="1:15" x14ac:dyDescent="0.2">
      <c r="A175" s="311"/>
      <c r="B175" s="312"/>
      <c r="C175" s="598">
        <f>C174*C180</f>
        <v>1905675.3708759928</v>
      </c>
      <c r="D175" s="598">
        <f>D174*D180</f>
        <v>333134.5152361751</v>
      </c>
      <c r="E175" s="313"/>
      <c r="F175" s="309"/>
      <c r="G175" s="313"/>
    </row>
    <row r="176" spans="1:15" x14ac:dyDescent="0.2">
      <c r="A176" s="311"/>
      <c r="B176" s="312"/>
      <c r="C176" s="597">
        <f>C173+C175</f>
        <v>12684919.370875992</v>
      </c>
      <c r="D176" s="597">
        <f>D173+D175</f>
        <v>2956964.5152361752</v>
      </c>
      <c r="E176" s="313">
        <f>C176+D176</f>
        <v>15641883.886112167</v>
      </c>
      <c r="F176" s="416" t="s">
        <v>900</v>
      </c>
      <c r="G176" s="313"/>
    </row>
    <row r="177" spans="1:11" x14ac:dyDescent="0.2">
      <c r="A177" s="311"/>
      <c r="B177" s="312"/>
      <c r="C177" s="325"/>
      <c r="D177" s="411" t="s">
        <v>906</v>
      </c>
      <c r="E177" s="412" t="str">
        <f>IF(E176='NITS Pg 2 of 5'!$E$53,"ok","err on NITS pg 2")</f>
        <v>ok</v>
      </c>
      <c r="F177" s="309"/>
      <c r="G177" s="313"/>
    </row>
    <row r="178" spans="1:11" x14ac:dyDescent="0.2">
      <c r="A178" s="311"/>
      <c r="B178" s="312"/>
      <c r="C178" s="325"/>
      <c r="D178" s="411" t="s">
        <v>907</v>
      </c>
      <c r="E178" s="412" t="str">
        <f>IF(E176='PTP Pg 2 of 5'!$E$53,"ok","err on PTP pg 2")</f>
        <v>ok</v>
      </c>
      <c r="F178" s="309"/>
      <c r="G178" s="313"/>
    </row>
    <row r="179" spans="1:11" x14ac:dyDescent="0.2">
      <c r="A179" s="311" t="s">
        <v>579</v>
      </c>
      <c r="B179" s="312" t="s">
        <v>580</v>
      </c>
      <c r="C179" s="584">
        <v>55639905</v>
      </c>
      <c r="D179" s="584">
        <v>38423226</v>
      </c>
      <c r="E179" s="313">
        <f>C179+D179</f>
        <v>94063131</v>
      </c>
      <c r="F179" s="309"/>
      <c r="G179" s="313"/>
      <c r="H179" s="416" t="s">
        <v>950</v>
      </c>
    </row>
    <row r="180" spans="1:11" x14ac:dyDescent="0.2">
      <c r="A180" s="321"/>
      <c r="B180" s="312" t="s">
        <v>581</v>
      </c>
      <c r="C180" s="599">
        <f>C173/C179</f>
        <v>0.19373225026175009</v>
      </c>
      <c r="D180" s="599">
        <f>D173/D179</f>
        <v>6.8287602920171248E-2</v>
      </c>
      <c r="E180" s="313"/>
      <c r="F180" s="309"/>
      <c r="G180" s="313"/>
    </row>
    <row r="181" spans="1:11" x14ac:dyDescent="0.2">
      <c r="A181" s="321"/>
      <c r="B181" s="312"/>
      <c r="C181" s="325"/>
      <c r="D181" s="325"/>
      <c r="F181" s="309"/>
      <c r="G181" s="313"/>
    </row>
    <row r="182" spans="1:11" x14ac:dyDescent="0.2">
      <c r="A182" s="311" t="s">
        <v>582</v>
      </c>
      <c r="B182" s="312" t="s">
        <v>583</v>
      </c>
      <c r="C182" s="584">
        <v>16889824</v>
      </c>
      <c r="D182" s="584">
        <v>15477577</v>
      </c>
      <c r="E182" s="313">
        <f t="shared" ref="E182" si="11">C182+D182</f>
        <v>32367401</v>
      </c>
      <c r="F182" s="416" t="s">
        <v>1013</v>
      </c>
      <c r="G182" s="313"/>
      <c r="H182" s="416" t="s">
        <v>956</v>
      </c>
    </row>
    <row r="183" spans="1:11" x14ac:dyDescent="0.2">
      <c r="A183" s="311"/>
      <c r="B183" s="312"/>
      <c r="D183" s="411" t="s">
        <v>906</v>
      </c>
      <c r="E183" s="412" t="str">
        <f>IF(E182='NITS Pg 2 of 5'!$E$54,"ok","err on NITS pg 2")</f>
        <v>ok</v>
      </c>
      <c r="F183" s="309"/>
      <c r="G183" s="313"/>
    </row>
    <row r="184" spans="1:11" x14ac:dyDescent="0.2">
      <c r="A184" s="311"/>
      <c r="B184" s="309"/>
      <c r="D184" s="411" t="s">
        <v>907</v>
      </c>
      <c r="E184" s="412" t="str">
        <f>IF(E182='PTP Pg 2 of 5'!$E$54,"ok","err on PTP pg 2")</f>
        <v>ok</v>
      </c>
      <c r="F184" s="309"/>
      <c r="G184" s="313"/>
    </row>
    <row r="185" spans="1:11" x14ac:dyDescent="0.2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</row>
    <row r="186" spans="1:11" ht="15" x14ac:dyDescent="0.25">
      <c r="A186" s="326" t="s">
        <v>124</v>
      </c>
      <c r="C186" s="313"/>
    </row>
    <row r="187" spans="1:11" ht="15" x14ac:dyDescent="0.35">
      <c r="A187" s="315" t="s">
        <v>55</v>
      </c>
      <c r="B187" s="239"/>
      <c r="C187" s="428" t="s">
        <v>433</v>
      </c>
      <c r="D187" s="428" t="s">
        <v>434</v>
      </c>
      <c r="E187" s="428" t="s">
        <v>435</v>
      </c>
    </row>
    <row r="188" spans="1:11" x14ac:dyDescent="0.2">
      <c r="A188" s="320" t="s">
        <v>584</v>
      </c>
      <c r="B188" s="242" t="s">
        <v>585</v>
      </c>
      <c r="C188" s="584">
        <v>41849964</v>
      </c>
      <c r="D188" s="584">
        <v>20614125</v>
      </c>
      <c r="E188" s="313"/>
      <c r="G188" s="313"/>
      <c r="H188" s="414" t="s">
        <v>586</v>
      </c>
    </row>
    <row r="189" spans="1:11" x14ac:dyDescent="0.2">
      <c r="A189" s="317" t="s">
        <v>587</v>
      </c>
      <c r="B189" s="245"/>
      <c r="C189" s="313"/>
      <c r="D189" s="313"/>
      <c r="E189" s="313"/>
      <c r="G189" s="313"/>
      <c r="H189" s="414" t="s">
        <v>588</v>
      </c>
    </row>
    <row r="190" spans="1:11" x14ac:dyDescent="0.2">
      <c r="A190" s="333" t="s">
        <v>589</v>
      </c>
      <c r="B190" s="245"/>
      <c r="C190" s="450"/>
      <c r="D190" s="450"/>
      <c r="E190" s="545" t="s">
        <v>857</v>
      </c>
      <c r="G190" s="313"/>
      <c r="H190" s="414" t="s">
        <v>590</v>
      </c>
    </row>
    <row r="191" spans="1:11" x14ac:dyDescent="0.2">
      <c r="A191" s="333" t="s">
        <v>591</v>
      </c>
      <c r="B191" s="245"/>
      <c r="C191" s="310"/>
      <c r="D191" s="310"/>
      <c r="E191" s="313"/>
      <c r="G191" s="313"/>
      <c r="H191" s="414" t="s">
        <v>592</v>
      </c>
    </row>
    <row r="192" spans="1:11" x14ac:dyDescent="0.2">
      <c r="A192" s="333" t="s">
        <v>985</v>
      </c>
      <c r="B192" s="245"/>
      <c r="C192" s="450">
        <v>76391.55</v>
      </c>
      <c r="D192" s="450">
        <v>3481.66</v>
      </c>
      <c r="E192" s="545" t="s">
        <v>858</v>
      </c>
      <c r="G192" s="313"/>
      <c r="H192" s="414" t="s">
        <v>593</v>
      </c>
    </row>
    <row r="193" spans="1:13" ht="15" x14ac:dyDescent="0.35">
      <c r="A193" s="320" t="s">
        <v>594</v>
      </c>
      <c r="B193" s="245"/>
      <c r="C193" s="313">
        <f>C188-SUM(C190:C192)</f>
        <v>41773572.450000003</v>
      </c>
      <c r="D193" s="313">
        <f>D188-SUM(D190:D192)</f>
        <v>20610643.34</v>
      </c>
      <c r="E193" s="313">
        <f>C193+D193</f>
        <v>62384215.790000007</v>
      </c>
      <c r="F193" s="416" t="s">
        <v>595</v>
      </c>
      <c r="G193" s="313"/>
      <c r="H193" s="416" t="s">
        <v>596</v>
      </c>
      <c r="I193" s="671" t="s">
        <v>433</v>
      </c>
      <c r="J193" s="672"/>
      <c r="K193" s="671" t="s">
        <v>434</v>
      </c>
      <c r="L193" s="672"/>
      <c r="M193" s="313"/>
    </row>
    <row r="194" spans="1:13" x14ac:dyDescent="0.2">
      <c r="A194" s="317" t="s">
        <v>597</v>
      </c>
      <c r="B194" s="242" t="s">
        <v>598</v>
      </c>
      <c r="C194" s="584">
        <v>3281115</v>
      </c>
      <c r="D194" s="584">
        <v>1311943</v>
      </c>
      <c r="E194" s="313">
        <f>C194+D194</f>
        <v>4593058</v>
      </c>
      <c r="F194" s="416" t="s">
        <v>599</v>
      </c>
      <c r="G194" s="313"/>
      <c r="I194" s="653">
        <v>315088</v>
      </c>
      <c r="J194" s="546"/>
      <c r="K194" s="653">
        <v>184483</v>
      </c>
      <c r="L194" s="655">
        <v>19000</v>
      </c>
      <c r="M194" s="313"/>
    </row>
    <row r="195" spans="1:13" x14ac:dyDescent="0.2">
      <c r="A195" s="317"/>
      <c r="B195" s="242"/>
      <c r="C195" s="225"/>
      <c r="D195" s="225"/>
      <c r="E195" s="313"/>
      <c r="F195" s="309"/>
      <c r="G195" s="313"/>
      <c r="I195" s="653">
        <v>314201</v>
      </c>
      <c r="J195" s="546"/>
      <c r="K195" s="653">
        <v>197965</v>
      </c>
      <c r="L195" s="655"/>
      <c r="M195" s="313"/>
    </row>
    <row r="196" spans="1:13" x14ac:dyDescent="0.2">
      <c r="A196" s="320" t="s">
        <v>56</v>
      </c>
      <c r="B196" s="242" t="s">
        <v>600</v>
      </c>
      <c r="C196" s="584">
        <v>110181386</v>
      </c>
      <c r="D196" s="584">
        <v>76769017</v>
      </c>
      <c r="E196" s="313"/>
      <c r="G196" s="313"/>
      <c r="I196" s="653">
        <v>32978</v>
      </c>
      <c r="J196" s="546"/>
      <c r="K196" s="653">
        <v>3305</v>
      </c>
      <c r="L196" s="655"/>
      <c r="M196" s="313"/>
    </row>
    <row r="197" spans="1:13" x14ac:dyDescent="0.2">
      <c r="A197" s="317" t="s">
        <v>993</v>
      </c>
      <c r="B197" s="245"/>
      <c r="C197" s="313"/>
      <c r="D197" s="313"/>
      <c r="E197" s="313"/>
      <c r="F197" s="416"/>
      <c r="G197" s="313"/>
      <c r="I197" s="653"/>
      <c r="J197" s="546"/>
      <c r="K197" s="653"/>
      <c r="L197" s="655"/>
      <c r="M197" s="313"/>
    </row>
    <row r="198" spans="1:13" x14ac:dyDescent="0.2">
      <c r="A198" s="333" t="s">
        <v>983</v>
      </c>
      <c r="B198" s="245"/>
      <c r="C198" s="450">
        <v>3885292</v>
      </c>
      <c r="D198" s="450">
        <v>3356081.35</v>
      </c>
      <c r="E198" s="313"/>
      <c r="F198" s="416"/>
      <c r="G198" s="313"/>
      <c r="I198" s="653"/>
      <c r="J198" s="546"/>
      <c r="K198" s="653"/>
      <c r="L198" s="655"/>
      <c r="M198" s="313"/>
    </row>
    <row r="199" spans="1:13" x14ac:dyDescent="0.2">
      <c r="A199" s="333" t="s">
        <v>984</v>
      </c>
      <c r="B199" s="245"/>
      <c r="C199" s="450">
        <v>-129400.35</v>
      </c>
      <c r="D199" s="450">
        <v>0</v>
      </c>
      <c r="E199" s="313"/>
      <c r="F199" s="416"/>
      <c r="G199" s="313"/>
      <c r="I199" s="653"/>
      <c r="J199" s="546"/>
      <c r="K199" s="653"/>
      <c r="L199" s="655"/>
      <c r="M199" s="313"/>
    </row>
    <row r="200" spans="1:13" x14ac:dyDescent="0.2">
      <c r="A200" s="320"/>
      <c r="B200" s="242"/>
      <c r="C200" s="614">
        <f>+C196+C198+C199</f>
        <v>113937277.65000001</v>
      </c>
      <c r="D200" s="614">
        <f>+D196+D198+D199</f>
        <v>80125098.349999994</v>
      </c>
      <c r="E200" s="313">
        <f>C200+D200</f>
        <v>194062376</v>
      </c>
      <c r="F200" s="416" t="s">
        <v>601</v>
      </c>
      <c r="G200" s="313"/>
      <c r="I200" s="653"/>
      <c r="J200" s="546"/>
      <c r="K200" s="653"/>
      <c r="L200" s="655"/>
      <c r="M200" s="313"/>
    </row>
    <row r="201" spans="1:13" x14ac:dyDescent="0.2">
      <c r="A201" s="320"/>
      <c r="B201" s="242"/>
      <c r="C201" s="225"/>
      <c r="D201" s="225"/>
      <c r="E201" s="313"/>
      <c r="F201" s="309"/>
      <c r="G201" s="313"/>
      <c r="I201" s="653">
        <v>2017867</v>
      </c>
      <c r="J201" s="546"/>
      <c r="K201" s="653">
        <v>1272134</v>
      </c>
      <c r="L201" s="655"/>
      <c r="M201" s="313"/>
    </row>
    <row r="202" spans="1:13" x14ac:dyDescent="0.2">
      <c r="A202" s="320" t="s">
        <v>602</v>
      </c>
      <c r="B202" s="245" t="s">
        <v>603</v>
      </c>
      <c r="C202" s="584">
        <v>410967</v>
      </c>
      <c r="D202" s="584">
        <v>418413</v>
      </c>
      <c r="E202" s="313">
        <f>C202+D202</f>
        <v>829380</v>
      </c>
      <c r="F202" s="416" t="s">
        <v>604</v>
      </c>
      <c r="G202" s="313"/>
      <c r="I202" s="654">
        <f>102440+31000</f>
        <v>133440</v>
      </c>
      <c r="J202" s="547"/>
      <c r="K202" s="654">
        <v>97560</v>
      </c>
      <c r="L202" s="656"/>
      <c r="M202" s="313"/>
    </row>
    <row r="203" spans="1:13" x14ac:dyDescent="0.2">
      <c r="A203" s="327" t="s">
        <v>605</v>
      </c>
      <c r="B203" s="242" t="s">
        <v>606</v>
      </c>
      <c r="C203" s="310">
        <f>SUM(I194:J202)</f>
        <v>2813574</v>
      </c>
      <c r="D203" s="310">
        <f>SUM(K194:L202)</f>
        <v>1774447</v>
      </c>
      <c r="E203" s="313"/>
      <c r="G203" s="313"/>
      <c r="H203" s="421" t="s">
        <v>607</v>
      </c>
      <c r="M203" s="313"/>
    </row>
    <row r="204" spans="1:13" x14ac:dyDescent="0.2">
      <c r="A204" s="327" t="s">
        <v>608</v>
      </c>
      <c r="B204" s="242" t="s">
        <v>609</v>
      </c>
      <c r="C204" s="584">
        <v>30509</v>
      </c>
      <c r="D204" s="584">
        <v>28711</v>
      </c>
      <c r="E204" s="313"/>
      <c r="F204" s="309"/>
      <c r="G204" s="313"/>
      <c r="H204" s="422" t="s">
        <v>610</v>
      </c>
      <c r="I204" s="416" t="s">
        <v>611</v>
      </c>
    </row>
    <row r="205" spans="1:13" x14ac:dyDescent="0.2">
      <c r="A205" s="327" t="s">
        <v>860</v>
      </c>
      <c r="B205" s="242" t="s">
        <v>931</v>
      </c>
      <c r="C205" s="584">
        <v>697548</v>
      </c>
      <c r="D205" s="584">
        <v>666467</v>
      </c>
      <c r="E205" s="313"/>
      <c r="F205" s="312"/>
      <c r="G205" s="313"/>
      <c r="I205" s="328"/>
    </row>
    <row r="206" spans="1:13" x14ac:dyDescent="0.2">
      <c r="A206" s="327" t="s">
        <v>612</v>
      </c>
      <c r="B206" s="242" t="s">
        <v>953</v>
      </c>
      <c r="C206" s="584">
        <v>0</v>
      </c>
      <c r="D206" s="584">
        <v>0</v>
      </c>
      <c r="E206" s="313"/>
      <c r="F206" s="309"/>
      <c r="G206" s="313"/>
      <c r="H206" s="416" t="s">
        <v>859</v>
      </c>
      <c r="I206" s="328"/>
    </row>
    <row r="207" spans="1:13" x14ac:dyDescent="0.2">
      <c r="A207" s="327" t="s">
        <v>613</v>
      </c>
      <c r="B207" s="242" t="s">
        <v>944</v>
      </c>
      <c r="C207" s="584">
        <v>0</v>
      </c>
      <c r="D207" s="584">
        <v>245956</v>
      </c>
      <c r="E207" s="313"/>
      <c r="F207" s="309"/>
      <c r="G207" s="313"/>
      <c r="I207" s="328"/>
    </row>
    <row r="208" spans="1:13" x14ac:dyDescent="0.2">
      <c r="A208" s="320"/>
      <c r="B208" s="242"/>
      <c r="C208" s="313">
        <f>-C202+SUM(C203:C205)-SUM(C206:C207)</f>
        <v>3130664</v>
      </c>
      <c r="D208" s="313">
        <f>-D202+SUM(D203:D205)-SUM(D206:D207)</f>
        <v>1805256</v>
      </c>
      <c r="E208" s="313">
        <f>C208+D208</f>
        <v>4935920</v>
      </c>
      <c r="F208" s="416" t="s">
        <v>614</v>
      </c>
      <c r="G208" s="313"/>
      <c r="H208" s="423" t="s">
        <v>615</v>
      </c>
    </row>
    <row r="209" spans="1:15" ht="25.5" x14ac:dyDescent="0.2">
      <c r="A209" s="329" t="s">
        <v>616</v>
      </c>
      <c r="B209" s="330" t="s">
        <v>617</v>
      </c>
      <c r="C209" s="450">
        <v>264132</v>
      </c>
      <c r="D209" s="450">
        <v>208681</v>
      </c>
      <c r="E209" s="313">
        <f>C209+D209</f>
        <v>472813</v>
      </c>
      <c r="F209" s="416" t="s">
        <v>620</v>
      </c>
      <c r="G209" s="313"/>
      <c r="H209" s="422" t="s">
        <v>618</v>
      </c>
    </row>
    <row r="210" spans="1:15" x14ac:dyDescent="0.2">
      <c r="A210" s="315" t="s">
        <v>37</v>
      </c>
      <c r="B210" s="225" t="s">
        <v>619</v>
      </c>
      <c r="C210" s="661" t="s">
        <v>508</v>
      </c>
      <c r="D210" s="584">
        <v>0</v>
      </c>
      <c r="E210" s="313">
        <f>D210</f>
        <v>0</v>
      </c>
      <c r="F210" s="416" t="s">
        <v>623</v>
      </c>
      <c r="G210" s="313"/>
      <c r="H210" s="423" t="s">
        <v>621</v>
      </c>
    </row>
    <row r="211" spans="1:15" x14ac:dyDescent="0.2">
      <c r="A211" s="315" t="s">
        <v>622</v>
      </c>
      <c r="B211" s="239"/>
      <c r="C211" s="450">
        <v>0</v>
      </c>
      <c r="D211" s="450">
        <v>0</v>
      </c>
      <c r="E211" s="313">
        <f>C211+D211</f>
        <v>0</v>
      </c>
      <c r="F211" s="416" t="s">
        <v>941</v>
      </c>
      <c r="G211" s="313"/>
      <c r="H211" s="414" t="s">
        <v>624</v>
      </c>
    </row>
    <row r="212" spans="1:15" x14ac:dyDescent="0.2">
      <c r="B212" s="239"/>
      <c r="C212" s="313" t="s">
        <v>901</v>
      </c>
      <c r="D212" s="313"/>
      <c r="E212" s="313">
        <f>ROUND(E193-E194+E200-E202-E208+E209+E210+E211,0)</f>
        <v>246561047</v>
      </c>
      <c r="G212" s="313"/>
    </row>
    <row r="213" spans="1:15" x14ac:dyDescent="0.2">
      <c r="A213" s="315"/>
      <c r="B213" s="239"/>
      <c r="C213" s="412"/>
      <c r="D213" s="411" t="s">
        <v>906</v>
      </c>
      <c r="E213" s="412" t="str">
        <f>IF(E212='NITS Pg 3 of 5'!E22,"ok","err on NITS pg 3")</f>
        <v>ok</v>
      </c>
      <c r="G213" s="313"/>
      <c r="J213" s="673" t="s">
        <v>945</v>
      </c>
      <c r="K213" s="673"/>
    </row>
    <row r="214" spans="1:15" x14ac:dyDescent="0.2">
      <c r="B214" s="239"/>
      <c r="C214" s="412"/>
      <c r="D214" s="411" t="s">
        <v>907</v>
      </c>
      <c r="E214" s="412" t="str">
        <f>IF(E212='PTP Pg 3 of 5'!E22,"ok","err on PTP pg 3")</f>
        <v>ok</v>
      </c>
      <c r="G214" s="313"/>
      <c r="J214" s="673"/>
      <c r="K214" s="673"/>
      <c r="M214" s="312" t="s">
        <v>930</v>
      </c>
      <c r="N214" s="313"/>
      <c r="O214" s="313"/>
    </row>
    <row r="215" spans="1:15" ht="15" x14ac:dyDescent="0.35">
      <c r="A215" s="315" t="s">
        <v>625</v>
      </c>
      <c r="B215" s="239"/>
      <c r="G215" s="313"/>
      <c r="J215" s="428" t="s">
        <v>433</v>
      </c>
      <c r="K215" s="428" t="s">
        <v>434</v>
      </c>
      <c r="L215" s="313"/>
      <c r="M215" s="428" t="s">
        <v>433</v>
      </c>
      <c r="N215" s="428" t="s">
        <v>434</v>
      </c>
      <c r="O215" s="313"/>
    </row>
    <row r="216" spans="1:15" x14ac:dyDescent="0.2">
      <c r="A216" s="315" t="s">
        <v>24</v>
      </c>
      <c r="B216" s="242" t="s">
        <v>626</v>
      </c>
      <c r="C216" s="310">
        <f t="shared" ref="C216:D218" si="12">J216-M216</f>
        <v>18498927.870000001</v>
      </c>
      <c r="D216" s="310">
        <f t="shared" si="12"/>
        <v>8508342.3100000005</v>
      </c>
      <c r="E216" s="313">
        <f>C216+D216</f>
        <v>27007270.18</v>
      </c>
      <c r="F216" s="416" t="s">
        <v>629</v>
      </c>
      <c r="G216" s="313"/>
      <c r="I216" s="414" t="s">
        <v>24</v>
      </c>
      <c r="J216" s="584">
        <v>22169714</v>
      </c>
      <c r="K216" s="584">
        <v>9585295</v>
      </c>
      <c r="L216" s="313"/>
      <c r="M216" s="450">
        <v>3670786.13</v>
      </c>
      <c r="N216" s="450">
        <v>1076952.69</v>
      </c>
      <c r="O216" s="313"/>
    </row>
    <row r="217" spans="1:15" x14ac:dyDescent="0.2">
      <c r="A217" s="315" t="s">
        <v>505</v>
      </c>
      <c r="B217" s="242" t="s">
        <v>627</v>
      </c>
      <c r="C217" s="310">
        <f t="shared" si="12"/>
        <v>10137869.289999999</v>
      </c>
      <c r="D217" s="310">
        <f t="shared" si="12"/>
        <v>1123727.68</v>
      </c>
      <c r="E217" s="313"/>
      <c r="G217" s="313"/>
      <c r="I217" s="414" t="s">
        <v>505</v>
      </c>
      <c r="J217" s="584">
        <v>12152256</v>
      </c>
      <c r="K217" s="584">
        <v>1145955</v>
      </c>
      <c r="L217" s="313"/>
      <c r="M217" s="450">
        <v>2014386.71</v>
      </c>
      <c r="N217" s="450">
        <v>22227.32</v>
      </c>
      <c r="O217" s="313"/>
    </row>
    <row r="218" spans="1:15" x14ac:dyDescent="0.2">
      <c r="A218" s="315" t="s">
        <v>494</v>
      </c>
      <c r="B218" s="242" t="s">
        <v>628</v>
      </c>
      <c r="C218" s="310">
        <f t="shared" si="12"/>
        <v>17767904.309999999</v>
      </c>
      <c r="D218" s="310">
        <f t="shared" si="12"/>
        <v>0</v>
      </c>
      <c r="E218" s="313"/>
      <c r="G218" s="313"/>
      <c r="I218" s="414" t="s">
        <v>494</v>
      </c>
      <c r="J218" s="584">
        <v>18378651</v>
      </c>
      <c r="K218" s="584"/>
      <c r="L218" s="313"/>
      <c r="M218" s="450">
        <v>610746.68999999994</v>
      </c>
      <c r="N218" s="450"/>
      <c r="O218" s="313"/>
    </row>
    <row r="219" spans="1:15" x14ac:dyDescent="0.2">
      <c r="A219" s="315"/>
      <c r="B219" s="242"/>
      <c r="C219" s="313">
        <f>C217+C218</f>
        <v>27905773.599999998</v>
      </c>
      <c r="D219" s="313">
        <f>D217+D218</f>
        <v>1123727.68</v>
      </c>
      <c r="E219" s="313">
        <f>C219+D219</f>
        <v>29029501.279999997</v>
      </c>
      <c r="F219" s="416" t="s">
        <v>631</v>
      </c>
      <c r="G219" s="313"/>
      <c r="I219" s="414" t="s">
        <v>43</v>
      </c>
      <c r="J219" s="449"/>
      <c r="K219" s="584">
        <v>18584713</v>
      </c>
      <c r="L219" s="313"/>
      <c r="N219" s="450">
        <v>-1628315.58</v>
      </c>
      <c r="O219" s="313"/>
    </row>
    <row r="220" spans="1:15" x14ac:dyDescent="0.2">
      <c r="A220" s="315" t="s">
        <v>43</v>
      </c>
      <c r="B220" s="242" t="s">
        <v>630</v>
      </c>
      <c r="C220" s="661" t="s">
        <v>508</v>
      </c>
      <c r="D220" s="310">
        <f>K219-N219</f>
        <v>20213028.579999998</v>
      </c>
      <c r="E220" s="313">
        <f>D220</f>
        <v>20213028.579999998</v>
      </c>
      <c r="F220" s="416" t="s">
        <v>942</v>
      </c>
      <c r="G220" s="313"/>
      <c r="L220" s="313"/>
      <c r="M220" s="313"/>
    </row>
    <row r="221" spans="1:15" x14ac:dyDescent="0.2">
      <c r="A221" s="315"/>
      <c r="B221" s="242"/>
      <c r="C221" s="225"/>
      <c r="D221" s="225"/>
      <c r="E221" s="313"/>
      <c r="F221" s="309"/>
      <c r="G221" s="313"/>
      <c r="L221" s="313"/>
    </row>
    <row r="222" spans="1:15" x14ac:dyDescent="0.2">
      <c r="A222" s="315" t="s">
        <v>632</v>
      </c>
      <c r="B222" s="242" t="s">
        <v>633</v>
      </c>
      <c r="C222" s="584">
        <v>0</v>
      </c>
      <c r="D222" s="584">
        <v>0</v>
      </c>
      <c r="E222" s="313">
        <f>C222+D222</f>
        <v>0</v>
      </c>
      <c r="F222" s="416" t="s">
        <v>629</v>
      </c>
      <c r="G222" s="313"/>
    </row>
    <row r="223" spans="1:15" x14ac:dyDescent="0.2">
      <c r="A223" s="315" t="s">
        <v>634</v>
      </c>
      <c r="B223" s="242" t="s">
        <v>635</v>
      </c>
      <c r="C223" s="661" t="s">
        <v>508</v>
      </c>
      <c r="D223" s="584">
        <v>0</v>
      </c>
      <c r="E223" s="313">
        <f>D223</f>
        <v>0</v>
      </c>
      <c r="F223" s="416" t="s">
        <v>942</v>
      </c>
      <c r="G223" s="313"/>
      <c r="H223" s="414" t="s">
        <v>636</v>
      </c>
    </row>
    <row r="224" spans="1:15" x14ac:dyDescent="0.2">
      <c r="B224" s="313"/>
      <c r="E224" s="313"/>
      <c r="G224" s="313"/>
    </row>
    <row r="225" spans="1:8" x14ac:dyDescent="0.2">
      <c r="C225" s="312" t="s">
        <v>902</v>
      </c>
      <c r="D225" s="313"/>
      <c r="E225" s="313">
        <f>ROUND(E216+E219+E220-E222-E223,0)</f>
        <v>76249800</v>
      </c>
      <c r="G225" s="313"/>
    </row>
    <row r="226" spans="1:8" x14ac:dyDescent="0.2">
      <c r="C226" s="412"/>
      <c r="D226" s="411" t="s">
        <v>906</v>
      </c>
      <c r="E226" s="412" t="str">
        <f>IF(E225='NITS Pg 3 of 5'!E28,"ok","err on NITS pg 3")</f>
        <v>ok</v>
      </c>
      <c r="G226" s="313"/>
    </row>
    <row r="227" spans="1:8" x14ac:dyDescent="0.2">
      <c r="C227" s="412"/>
      <c r="D227" s="411" t="s">
        <v>907</v>
      </c>
      <c r="E227" s="412" t="str">
        <f>IF(E225='PTP Pg 3 of 5'!E28,"ok","err on PTP pg 3")</f>
        <v>ok</v>
      </c>
      <c r="G227" s="313"/>
    </row>
    <row r="228" spans="1:8" x14ac:dyDescent="0.2">
      <c r="A228" s="315" t="s">
        <v>637</v>
      </c>
      <c r="B228" s="241"/>
      <c r="G228" s="313"/>
      <c r="H228" s="421" t="s">
        <v>638</v>
      </c>
    </row>
    <row r="229" spans="1:8" x14ac:dyDescent="0.2">
      <c r="A229" s="315" t="s">
        <v>57</v>
      </c>
      <c r="B229" s="241"/>
      <c r="G229" s="313"/>
      <c r="H229" s="421" t="s">
        <v>639</v>
      </c>
    </row>
    <row r="230" spans="1:8" x14ac:dyDescent="0.2">
      <c r="A230" s="320" t="s">
        <v>59</v>
      </c>
      <c r="B230" s="239" t="s">
        <v>58</v>
      </c>
      <c r="G230" s="313"/>
      <c r="H230" s="421" t="s">
        <v>640</v>
      </c>
    </row>
    <row r="231" spans="1:8" x14ac:dyDescent="0.2">
      <c r="A231" s="331" t="s">
        <v>641</v>
      </c>
      <c r="B231" s="242" t="s">
        <v>642</v>
      </c>
      <c r="C231" s="584">
        <v>9837772</v>
      </c>
      <c r="D231" s="584">
        <v>6364461</v>
      </c>
      <c r="E231" s="313"/>
      <c r="G231" s="313"/>
      <c r="H231" s="423" t="s">
        <v>643</v>
      </c>
    </row>
    <row r="232" spans="1:8" x14ac:dyDescent="0.2">
      <c r="A232" s="335" t="s">
        <v>992</v>
      </c>
      <c r="B232" s="242"/>
      <c r="C232" s="450">
        <v>79208.09</v>
      </c>
      <c r="D232" s="662" t="s">
        <v>508</v>
      </c>
      <c r="E232" s="313"/>
      <c r="G232" s="313"/>
      <c r="H232" s="423"/>
    </row>
    <row r="233" spans="1:8" x14ac:dyDescent="0.2">
      <c r="A233" s="331" t="s">
        <v>644</v>
      </c>
      <c r="B233" s="242" t="s">
        <v>938</v>
      </c>
      <c r="C233" s="584">
        <v>144388</v>
      </c>
      <c r="D233" s="584">
        <v>101036</v>
      </c>
      <c r="E233" s="313"/>
      <c r="G233" s="313"/>
      <c r="H233" s="424" t="s">
        <v>645</v>
      </c>
    </row>
    <row r="234" spans="1:8" x14ac:dyDescent="0.2">
      <c r="A234" s="331" t="s">
        <v>646</v>
      </c>
      <c r="B234" s="242" t="s">
        <v>937</v>
      </c>
      <c r="C234" s="450">
        <v>0</v>
      </c>
      <c r="D234" s="450">
        <v>41760.080000000002</v>
      </c>
      <c r="E234" s="313"/>
      <c r="G234" s="313"/>
      <c r="H234" s="244"/>
    </row>
    <row r="235" spans="1:8" x14ac:dyDescent="0.2">
      <c r="A235" s="332" t="s">
        <v>647</v>
      </c>
      <c r="B235" s="245"/>
      <c r="C235" s="313">
        <f>SUM(C231:C234)</f>
        <v>10061368.09</v>
      </c>
      <c r="D235" s="313">
        <f>SUM(D231:D234)</f>
        <v>6507257.0800000001</v>
      </c>
      <c r="E235" s="313">
        <f>C235+D235</f>
        <v>16568625.17</v>
      </c>
      <c r="F235" s="416" t="s">
        <v>650</v>
      </c>
      <c r="G235" s="313"/>
      <c r="H235" s="243"/>
    </row>
    <row r="236" spans="1:8" x14ac:dyDescent="0.2">
      <c r="A236" s="315" t="s">
        <v>648</v>
      </c>
      <c r="B236" s="242" t="s">
        <v>937</v>
      </c>
      <c r="C236" s="450">
        <v>64039.99</v>
      </c>
      <c r="D236" s="450">
        <v>29598.66</v>
      </c>
      <c r="E236" s="313">
        <f>C236+D236</f>
        <v>93638.65</v>
      </c>
      <c r="F236" s="416" t="s">
        <v>943</v>
      </c>
      <c r="G236" s="313"/>
      <c r="H236" s="421" t="s">
        <v>651</v>
      </c>
    </row>
    <row r="237" spans="1:8" x14ac:dyDescent="0.2">
      <c r="A237" s="315" t="s">
        <v>60</v>
      </c>
      <c r="B237" s="245" t="s">
        <v>0</v>
      </c>
      <c r="E237" s="313"/>
      <c r="G237" s="313"/>
    </row>
    <row r="238" spans="1:8" x14ac:dyDescent="0.2">
      <c r="A238" s="333" t="s">
        <v>61</v>
      </c>
      <c r="B238" s="242" t="s">
        <v>932</v>
      </c>
      <c r="C238" s="584">
        <v>30591469</v>
      </c>
      <c r="D238" s="584">
        <v>25011802</v>
      </c>
      <c r="E238" s="313">
        <f>C238+D238</f>
        <v>55603271</v>
      </c>
      <c r="F238" s="416" t="s">
        <v>653</v>
      </c>
      <c r="G238" s="313"/>
      <c r="H238" s="421" t="s">
        <v>651</v>
      </c>
    </row>
    <row r="239" spans="1:8" x14ac:dyDescent="0.2">
      <c r="A239" s="333" t="s">
        <v>652</v>
      </c>
      <c r="B239" s="242" t="s">
        <v>649</v>
      </c>
      <c r="C239" s="313" t="s">
        <v>508</v>
      </c>
      <c r="D239" s="313" t="s">
        <v>508</v>
      </c>
      <c r="E239" s="313">
        <v>0</v>
      </c>
      <c r="F239" s="416"/>
      <c r="G239" s="313"/>
      <c r="H239" s="421"/>
    </row>
    <row r="240" spans="1:8" x14ac:dyDescent="0.2">
      <c r="A240" s="333" t="s">
        <v>41</v>
      </c>
      <c r="B240" s="245" t="str">
        <f>+B239</f>
        <v>Page 262-3, Col.(i)</v>
      </c>
      <c r="E240" s="313"/>
      <c r="G240" s="313"/>
    </row>
    <row r="241" spans="1:8" x14ac:dyDescent="0.2">
      <c r="A241" s="334" t="s">
        <v>654</v>
      </c>
      <c r="B241" s="242" t="s">
        <v>655</v>
      </c>
      <c r="C241" s="584">
        <v>3279953</v>
      </c>
      <c r="D241" s="584">
        <v>2230292</v>
      </c>
      <c r="E241" s="313"/>
      <c r="G241" s="313"/>
    </row>
    <row r="242" spans="1:8" x14ac:dyDescent="0.2">
      <c r="A242" s="335" t="s">
        <v>656</v>
      </c>
      <c r="B242" s="242" t="s">
        <v>861</v>
      </c>
      <c r="C242" s="584">
        <v>26834</v>
      </c>
      <c r="D242" s="584">
        <v>0</v>
      </c>
      <c r="E242" s="313"/>
      <c r="G242" s="313"/>
    </row>
    <row r="243" spans="1:8" x14ac:dyDescent="0.2">
      <c r="A243" s="335" t="s">
        <v>657</v>
      </c>
      <c r="B243" s="242" t="s">
        <v>948</v>
      </c>
      <c r="C243" s="450">
        <v>-14270.88</v>
      </c>
      <c r="D243" s="450">
        <v>0</v>
      </c>
      <c r="E243" s="313"/>
      <c r="G243" s="313"/>
    </row>
    <row r="244" spans="1:8" x14ac:dyDescent="0.2">
      <c r="A244" s="336" t="s">
        <v>658</v>
      </c>
      <c r="C244" s="313">
        <f>SUM(C241:C243)</f>
        <v>3292516.12</v>
      </c>
      <c r="D244" s="313">
        <f>SUM(D241:D243)</f>
        <v>2230292</v>
      </c>
      <c r="E244" s="313">
        <f>C244+D244</f>
        <v>5522808.1200000001</v>
      </c>
      <c r="F244" s="416" t="s">
        <v>659</v>
      </c>
      <c r="G244" s="313"/>
      <c r="H244" s="421" t="s">
        <v>651</v>
      </c>
    </row>
    <row r="245" spans="1:8" x14ac:dyDescent="0.2">
      <c r="A245" s="336"/>
      <c r="C245" s="312" t="s">
        <v>658</v>
      </c>
      <c r="D245" s="313"/>
      <c r="E245" s="313">
        <f>ROUND(E235+E236+E238+E239+E244,0)</f>
        <v>77788343</v>
      </c>
      <c r="F245" s="309"/>
      <c r="G245" s="313"/>
      <c r="H245" s="243"/>
    </row>
    <row r="246" spans="1:8" x14ac:dyDescent="0.2">
      <c r="C246" s="412"/>
      <c r="D246" s="411" t="s">
        <v>906</v>
      </c>
      <c r="E246" s="412" t="str">
        <f>IF(E245='NITS Pg 3 of 5'!E38,"ok","err on NITS pg 3")</f>
        <v>ok</v>
      </c>
      <c r="G246" s="313"/>
    </row>
    <row r="247" spans="1:8" x14ac:dyDescent="0.2">
      <c r="C247" s="412"/>
      <c r="D247" s="411" t="s">
        <v>907</v>
      </c>
      <c r="E247" s="412" t="str">
        <f>IF(E245='PTP Pg 3 of 5'!E38,"ok","err on PTP pg 3")</f>
        <v>ok</v>
      </c>
    </row>
    <row r="248" spans="1:8" x14ac:dyDescent="0.2">
      <c r="A248" s="17" t="s">
        <v>660</v>
      </c>
    </row>
    <row r="249" spans="1:8" x14ac:dyDescent="0.2">
      <c r="A249" s="243" t="s">
        <v>104</v>
      </c>
      <c r="B249" s="600">
        <v>0.21</v>
      </c>
      <c r="C249" s="243"/>
      <c r="F249" s="416" t="s">
        <v>939</v>
      </c>
    </row>
    <row r="250" spans="1:8" x14ac:dyDescent="0.2">
      <c r="A250" s="243" t="s">
        <v>105</v>
      </c>
      <c r="B250" s="600">
        <v>0.05</v>
      </c>
      <c r="C250" s="243" t="s">
        <v>106</v>
      </c>
      <c r="F250" s="416" t="s">
        <v>939</v>
      </c>
    </row>
    <row r="251" spans="1:8" x14ac:dyDescent="0.2">
      <c r="A251" s="243" t="s">
        <v>107</v>
      </c>
      <c r="B251" s="600">
        <v>0</v>
      </c>
      <c r="C251" s="243" t="s">
        <v>108</v>
      </c>
      <c r="F251" s="416" t="s">
        <v>939</v>
      </c>
    </row>
    <row r="252" spans="1:8" x14ac:dyDescent="0.2">
      <c r="A252" s="243"/>
      <c r="B252" s="243"/>
      <c r="C252" s="243"/>
    </row>
    <row r="253" spans="1:8" ht="15" x14ac:dyDescent="0.35">
      <c r="C253" s="428" t="s">
        <v>433</v>
      </c>
      <c r="D253" s="428" t="s">
        <v>434</v>
      </c>
    </row>
    <row r="254" spans="1:8" x14ac:dyDescent="0.2">
      <c r="A254" s="337" t="s">
        <v>661</v>
      </c>
      <c r="B254" s="312" t="s">
        <v>662</v>
      </c>
      <c r="C254" s="451">
        <v>23379362</v>
      </c>
      <c r="D254" s="451">
        <v>448968</v>
      </c>
      <c r="E254" s="82"/>
      <c r="G254" s="313"/>
    </row>
    <row r="255" spans="1:8" x14ac:dyDescent="0.2">
      <c r="A255" s="319" t="s">
        <v>663</v>
      </c>
      <c r="B255" s="312" t="s">
        <v>664</v>
      </c>
      <c r="C255" s="451">
        <v>6351854</v>
      </c>
      <c r="D255" s="451">
        <v>3779109</v>
      </c>
      <c r="E255" s="82"/>
      <c r="G255" s="313"/>
    </row>
    <row r="256" spans="1:8" x14ac:dyDescent="0.2">
      <c r="A256" s="225" t="s">
        <v>665</v>
      </c>
      <c r="B256" s="313"/>
      <c r="C256" s="601">
        <f>C235+C236+C238+C244+C254+C255</f>
        <v>73740609.199999988</v>
      </c>
      <c r="D256" s="601">
        <f>D235+D236+D238+D244+D254+D255</f>
        <v>38007026.740000002</v>
      </c>
      <c r="E256" s="548" t="s">
        <v>994</v>
      </c>
    </row>
    <row r="257" spans="1:11" ht="15.75" x14ac:dyDescent="0.25">
      <c r="A257" s="338"/>
      <c r="B257" s="313"/>
    </row>
    <row r="258" spans="1:11" x14ac:dyDescent="0.2">
      <c r="B258" s="313"/>
    </row>
    <row r="259" spans="1:11" x14ac:dyDescent="0.2">
      <c r="A259" s="17" t="s">
        <v>666</v>
      </c>
      <c r="B259" s="313" t="s">
        <v>667</v>
      </c>
      <c r="C259" s="451">
        <v>0</v>
      </c>
      <c r="D259" s="451">
        <v>0</v>
      </c>
      <c r="E259" s="313">
        <f>C259+D259</f>
        <v>0</v>
      </c>
      <c r="F259" s="416" t="s">
        <v>668</v>
      </c>
      <c r="G259" s="313"/>
      <c r="H259" s="420" t="s">
        <v>669</v>
      </c>
    </row>
    <row r="261" spans="1:11" x14ac:dyDescent="0.2">
      <c r="A261" s="307"/>
      <c r="B261" s="307"/>
      <c r="C261" s="307"/>
      <c r="D261" s="307"/>
      <c r="E261" s="307"/>
      <c r="F261" s="307"/>
      <c r="G261" s="307"/>
      <c r="H261" s="307"/>
      <c r="I261" s="307"/>
      <c r="J261" s="307"/>
      <c r="K261" s="307"/>
    </row>
    <row r="262" spans="1:11" ht="15" x14ac:dyDescent="0.25">
      <c r="A262" s="326" t="s">
        <v>125</v>
      </c>
    </row>
    <row r="264" spans="1:11" ht="15" x14ac:dyDescent="0.35">
      <c r="A264" s="339" t="s">
        <v>670</v>
      </c>
      <c r="C264" s="428" t="s">
        <v>433</v>
      </c>
      <c r="D264" s="428" t="s">
        <v>434</v>
      </c>
    </row>
    <row r="265" spans="1:11" x14ac:dyDescent="0.2">
      <c r="A265" s="426" t="s">
        <v>671</v>
      </c>
      <c r="C265" s="313"/>
    </row>
    <row r="266" spans="1:11" x14ac:dyDescent="0.2">
      <c r="A266" s="426" t="s">
        <v>672</v>
      </c>
      <c r="B266" s="312" t="s">
        <v>673</v>
      </c>
      <c r="C266" s="451">
        <v>659069</v>
      </c>
      <c r="D266" s="451">
        <v>354891</v>
      </c>
      <c r="E266" s="313">
        <f t="shared" ref="E266:E273" si="13">C266+D266</f>
        <v>1013960</v>
      </c>
      <c r="F266" s="414" t="s">
        <v>674</v>
      </c>
      <c r="G266" s="313"/>
    </row>
    <row r="267" spans="1:11" x14ac:dyDescent="0.2">
      <c r="A267" s="426" t="s">
        <v>675</v>
      </c>
      <c r="B267" s="312" t="s">
        <v>676</v>
      </c>
      <c r="C267" s="451">
        <v>1828858</v>
      </c>
      <c r="D267" s="451">
        <v>1268979</v>
      </c>
      <c r="E267" s="313">
        <f t="shared" si="13"/>
        <v>3097837</v>
      </c>
      <c r="F267" s="414" t="s">
        <v>677</v>
      </c>
      <c r="G267" s="313"/>
    </row>
    <row r="268" spans="1:11" x14ac:dyDescent="0.2">
      <c r="A268" s="426" t="s">
        <v>678</v>
      </c>
      <c r="B268" s="312" t="s">
        <v>679</v>
      </c>
      <c r="C268" s="451">
        <v>806210</v>
      </c>
      <c r="D268" s="451">
        <v>434115</v>
      </c>
      <c r="E268" s="313">
        <f t="shared" si="13"/>
        <v>1240325</v>
      </c>
      <c r="F268" s="414" t="s">
        <v>680</v>
      </c>
      <c r="G268" s="313"/>
    </row>
    <row r="269" spans="1:11" x14ac:dyDescent="0.2">
      <c r="A269" s="426" t="s">
        <v>681</v>
      </c>
      <c r="B269" s="312" t="s">
        <v>682</v>
      </c>
      <c r="C269" s="451">
        <v>0</v>
      </c>
      <c r="D269" s="451">
        <v>0</v>
      </c>
      <c r="E269" s="313">
        <f t="shared" si="13"/>
        <v>0</v>
      </c>
      <c r="F269" s="414" t="s">
        <v>683</v>
      </c>
      <c r="G269" s="313"/>
    </row>
    <row r="270" spans="1:11" x14ac:dyDescent="0.2">
      <c r="A270" s="426" t="s">
        <v>684</v>
      </c>
      <c r="B270" s="312" t="s">
        <v>685</v>
      </c>
      <c r="C270" s="451">
        <v>598460</v>
      </c>
      <c r="D270" s="451">
        <v>322508</v>
      </c>
      <c r="E270" s="313">
        <f t="shared" si="13"/>
        <v>920968</v>
      </c>
      <c r="F270" s="414" t="s">
        <v>686</v>
      </c>
      <c r="G270" s="313"/>
    </row>
    <row r="271" spans="1:11" x14ac:dyDescent="0.2">
      <c r="A271" s="426" t="s">
        <v>687</v>
      </c>
      <c r="B271" s="312" t="s">
        <v>688</v>
      </c>
      <c r="C271" s="451">
        <v>-823</v>
      </c>
      <c r="D271" s="451">
        <v>0</v>
      </c>
      <c r="E271" s="313">
        <f t="shared" si="13"/>
        <v>-823</v>
      </c>
      <c r="F271" s="414" t="s">
        <v>689</v>
      </c>
      <c r="G271" s="313"/>
    </row>
    <row r="272" spans="1:11" x14ac:dyDescent="0.2">
      <c r="A272" s="426" t="s">
        <v>690</v>
      </c>
      <c r="B272" s="312" t="s">
        <v>691</v>
      </c>
      <c r="C272" s="451">
        <v>70426</v>
      </c>
      <c r="D272" s="451">
        <v>0</v>
      </c>
      <c r="E272" s="313">
        <f t="shared" si="13"/>
        <v>70426</v>
      </c>
      <c r="F272" s="414" t="s">
        <v>692</v>
      </c>
      <c r="G272" s="313"/>
    </row>
    <row r="273" spans="1:8" x14ac:dyDescent="0.2">
      <c r="A273" s="426" t="s">
        <v>693</v>
      </c>
      <c r="B273" s="312" t="s">
        <v>694</v>
      </c>
      <c r="C273" s="451">
        <v>0</v>
      </c>
      <c r="D273" s="451">
        <v>0</v>
      </c>
      <c r="E273" s="313">
        <f t="shared" si="13"/>
        <v>0</v>
      </c>
      <c r="F273" s="414" t="s">
        <v>695</v>
      </c>
      <c r="G273" s="313"/>
    </row>
    <row r="274" spans="1:8" x14ac:dyDescent="0.2">
      <c r="A274" s="332" t="s">
        <v>6</v>
      </c>
      <c r="B274" s="313"/>
      <c r="C274" s="602">
        <f>SUM(C265:C273)</f>
        <v>3962200</v>
      </c>
      <c r="D274" s="602">
        <f>SUM(D265:D273)</f>
        <v>2380493</v>
      </c>
      <c r="E274" s="313">
        <f>C274+D274</f>
        <v>6342693</v>
      </c>
      <c r="F274" s="416" t="s">
        <v>696</v>
      </c>
      <c r="G274" s="313"/>
      <c r="H274" s="414" t="s">
        <v>697</v>
      </c>
    </row>
    <row r="275" spans="1:8" x14ac:dyDescent="0.2">
      <c r="A275" s="241"/>
      <c r="B275" s="313"/>
      <c r="C275" s="241"/>
      <c r="D275" s="411" t="s">
        <v>906</v>
      </c>
      <c r="E275" s="412" t="str">
        <f>IF(E274='NITS Pg 4 of 5'!J20,"ok","err on NITS pg 4")</f>
        <v>ok</v>
      </c>
      <c r="G275" s="313"/>
    </row>
    <row r="276" spans="1:8" x14ac:dyDescent="0.2">
      <c r="A276" s="241"/>
      <c r="B276" s="313"/>
      <c r="C276" s="241"/>
      <c r="D276" s="411" t="s">
        <v>907</v>
      </c>
      <c r="E276" s="412" t="str">
        <f>IF(E274='PTP Pg 4 of 5'!J20,"ok","err on PTP pg 4")</f>
        <v>ok</v>
      </c>
      <c r="G276" s="313"/>
    </row>
    <row r="277" spans="1:8" ht="15" x14ac:dyDescent="0.35">
      <c r="A277" s="241" t="s">
        <v>698</v>
      </c>
      <c r="B277" s="313"/>
      <c r="C277" s="428" t="s">
        <v>433</v>
      </c>
      <c r="D277" s="428" t="s">
        <v>434</v>
      </c>
      <c r="G277" s="313"/>
    </row>
    <row r="278" spans="1:8" x14ac:dyDescent="0.2">
      <c r="A278" s="317" t="s">
        <v>497</v>
      </c>
      <c r="B278" s="242" t="s">
        <v>699</v>
      </c>
      <c r="C278" s="451">
        <v>45051406</v>
      </c>
      <c r="D278" s="451">
        <v>22444678</v>
      </c>
      <c r="E278" s="313">
        <f t="shared" ref="E278" si="14">C278+D278</f>
        <v>67496084</v>
      </c>
      <c r="F278" s="416" t="s">
        <v>700</v>
      </c>
      <c r="G278" s="313"/>
    </row>
    <row r="279" spans="1:8" x14ac:dyDescent="0.2">
      <c r="A279" s="317" t="s">
        <v>24</v>
      </c>
      <c r="B279" s="242" t="s">
        <v>701</v>
      </c>
      <c r="C279" s="451">
        <v>5907200</v>
      </c>
      <c r="D279" s="451">
        <v>3366751</v>
      </c>
      <c r="E279" s="313">
        <f>C279+D279</f>
        <v>9273951</v>
      </c>
      <c r="F279" s="416" t="s">
        <v>702</v>
      </c>
      <c r="G279" s="313"/>
    </row>
    <row r="280" spans="1:8" x14ac:dyDescent="0.2">
      <c r="A280" s="317" t="s">
        <v>502</v>
      </c>
      <c r="B280" s="242" t="s">
        <v>703</v>
      </c>
      <c r="C280" s="451">
        <v>17289008</v>
      </c>
      <c r="D280" s="451">
        <v>11775159</v>
      </c>
      <c r="E280" s="313">
        <f>C280+D280</f>
        <v>29064167</v>
      </c>
      <c r="F280" s="416" t="s">
        <v>704</v>
      </c>
      <c r="G280" s="313"/>
    </row>
    <row r="281" spans="1:8" x14ac:dyDescent="0.2">
      <c r="A281" s="317" t="s">
        <v>41</v>
      </c>
      <c r="B281" s="245"/>
      <c r="C281" s="544"/>
      <c r="D281" s="544"/>
      <c r="E281" s="313"/>
      <c r="F281" s="309"/>
      <c r="G281" s="313"/>
    </row>
    <row r="282" spans="1:8" x14ac:dyDescent="0.2">
      <c r="A282" s="316" t="s">
        <v>705</v>
      </c>
      <c r="B282" s="242" t="s">
        <v>706</v>
      </c>
      <c r="C282" s="451">
        <v>13158577</v>
      </c>
      <c r="D282" s="451">
        <v>4512294</v>
      </c>
      <c r="E282" s="313"/>
      <c r="G282" s="313"/>
    </row>
    <row r="283" spans="1:8" x14ac:dyDescent="0.2">
      <c r="A283" s="316" t="s">
        <v>707</v>
      </c>
      <c r="B283" s="242" t="s">
        <v>708</v>
      </c>
      <c r="C283" s="451">
        <v>1198780</v>
      </c>
      <c r="D283" s="451">
        <v>832118</v>
      </c>
      <c r="E283" s="313"/>
      <c r="G283" s="313"/>
    </row>
    <row r="284" spans="1:8" x14ac:dyDescent="0.2">
      <c r="A284" s="316" t="s">
        <v>709</v>
      </c>
      <c r="B284" s="242" t="s">
        <v>710</v>
      </c>
      <c r="C284" s="451">
        <v>0</v>
      </c>
      <c r="D284" s="451">
        <v>0</v>
      </c>
      <c r="E284" s="313"/>
      <c r="G284" s="313"/>
    </row>
    <row r="285" spans="1:8" x14ac:dyDescent="0.2">
      <c r="B285" s="313"/>
      <c r="C285" s="313">
        <f>SUM(C282:C284)</f>
        <v>14357357</v>
      </c>
      <c r="D285" s="313">
        <f>SUM(D282:D284)</f>
        <v>5344412</v>
      </c>
      <c r="E285" s="313">
        <f t="shared" ref="E285" si="15">C285+D285</f>
        <v>19701769</v>
      </c>
      <c r="F285" s="416" t="s">
        <v>711</v>
      </c>
      <c r="G285" s="313"/>
    </row>
    <row r="286" spans="1:8" x14ac:dyDescent="0.2">
      <c r="B286" s="313"/>
      <c r="C286" s="313" t="s">
        <v>910</v>
      </c>
      <c r="D286" s="313"/>
      <c r="E286" s="313">
        <f>SUM(E278:E285)</f>
        <v>125535971</v>
      </c>
      <c r="G286" s="313"/>
    </row>
    <row r="287" spans="1:8" x14ac:dyDescent="0.2">
      <c r="B287" s="313"/>
      <c r="C287" s="412"/>
      <c r="D287" s="411" t="s">
        <v>906</v>
      </c>
      <c r="E287" s="412" t="str">
        <f>IF(E286='NITS Pg 4 of 5'!E33,"ok","err on NITS pg 4")</f>
        <v>ok</v>
      </c>
      <c r="G287" s="313"/>
    </row>
    <row r="288" spans="1:8" x14ac:dyDescent="0.2">
      <c r="B288" s="313"/>
      <c r="C288" s="413"/>
      <c r="D288" s="411" t="s">
        <v>907</v>
      </c>
      <c r="E288" s="412" t="str">
        <f>IF(E286='PTP Pg 4 of 5'!E33,"ok","err on PTP pg 4")</f>
        <v>ok</v>
      </c>
      <c r="G288" s="313"/>
    </row>
    <row r="289" spans="1:8" ht="15" x14ac:dyDescent="0.35">
      <c r="A289" s="315" t="s">
        <v>712</v>
      </c>
      <c r="B289" s="245"/>
      <c r="C289" s="428" t="s">
        <v>433</v>
      </c>
      <c r="D289" s="428" t="s">
        <v>434</v>
      </c>
      <c r="G289" s="313"/>
    </row>
    <row r="290" spans="1:8" x14ac:dyDescent="0.2">
      <c r="A290" s="315" t="s">
        <v>71</v>
      </c>
      <c r="B290" s="242" t="s">
        <v>713</v>
      </c>
      <c r="C290" s="451">
        <v>9182584859</v>
      </c>
      <c r="D290" s="451">
        <v>4337968394</v>
      </c>
      <c r="E290" s="313">
        <f>C290+D290</f>
        <v>13520553253</v>
      </c>
      <c r="F290" s="416" t="s">
        <v>714</v>
      </c>
      <c r="G290" s="313"/>
    </row>
    <row r="291" spans="1:8" x14ac:dyDescent="0.2">
      <c r="A291" s="315" t="s">
        <v>73</v>
      </c>
      <c r="B291" s="242" t="s">
        <v>715</v>
      </c>
      <c r="C291" s="451">
        <v>0</v>
      </c>
      <c r="D291" s="451">
        <v>1201022730</v>
      </c>
      <c r="E291" s="313">
        <f>C291+D291</f>
        <v>1201022730</v>
      </c>
      <c r="F291" s="416" t="s">
        <v>716</v>
      </c>
      <c r="G291" s="313"/>
    </row>
    <row r="292" spans="1:8" x14ac:dyDescent="0.2">
      <c r="A292" s="340" t="s">
        <v>75</v>
      </c>
      <c r="B292" s="339" t="s">
        <v>717</v>
      </c>
      <c r="C292" s="451">
        <v>0</v>
      </c>
      <c r="D292" s="451">
        <v>0</v>
      </c>
      <c r="E292" s="313">
        <f>C292+D292</f>
        <v>0</v>
      </c>
      <c r="F292" s="416" t="s">
        <v>718</v>
      </c>
      <c r="G292" s="313"/>
    </row>
    <row r="293" spans="1:8" x14ac:dyDescent="0.2">
      <c r="A293" s="340"/>
      <c r="B293" s="339"/>
      <c r="C293" s="312" t="s">
        <v>231</v>
      </c>
      <c r="D293" s="313"/>
      <c r="E293" s="313">
        <f>SUM(E290:E292)</f>
        <v>14721575983</v>
      </c>
      <c r="F293" s="309"/>
      <c r="G293" s="313"/>
    </row>
    <row r="294" spans="1:8" x14ac:dyDescent="0.2">
      <c r="A294" s="340"/>
      <c r="B294" s="341"/>
      <c r="C294" s="412"/>
      <c r="D294" s="411" t="s">
        <v>906</v>
      </c>
      <c r="E294" s="412" t="str">
        <f>IF(E293='NITS Pg 4 of 5'!E40,"ok","err on NITS pg 4")</f>
        <v>ok</v>
      </c>
      <c r="F294" s="309"/>
      <c r="G294" s="313"/>
    </row>
    <row r="295" spans="1:8" x14ac:dyDescent="0.2">
      <c r="A295" s="315"/>
      <c r="B295" s="239"/>
      <c r="C295" s="413"/>
      <c r="D295" s="411" t="s">
        <v>907</v>
      </c>
      <c r="E295" s="412" t="str">
        <f>IF(E293='PTP Pg 4 of 5'!E40,"ok","err on PTP pg 4")</f>
        <v>ok</v>
      </c>
      <c r="G295" s="313"/>
    </row>
    <row r="296" spans="1:8" x14ac:dyDescent="0.2">
      <c r="A296" s="315" t="s">
        <v>719</v>
      </c>
      <c r="B296" s="245"/>
      <c r="C296" s="239"/>
      <c r="G296" s="313"/>
    </row>
    <row r="297" spans="1:8" x14ac:dyDescent="0.2">
      <c r="A297" s="225" t="s">
        <v>77</v>
      </c>
      <c r="B297" s="313"/>
      <c r="G297" s="313"/>
    </row>
    <row r="298" spans="1:8" x14ac:dyDescent="0.2">
      <c r="A298" s="225" t="s">
        <v>720</v>
      </c>
      <c r="B298" s="242" t="s">
        <v>721</v>
      </c>
      <c r="C298" s="451">
        <v>92155316</v>
      </c>
      <c r="D298" s="451">
        <v>68636733</v>
      </c>
      <c r="E298" s="313"/>
      <c r="F298" s="309"/>
      <c r="G298" s="313"/>
    </row>
    <row r="299" spans="1:8" x14ac:dyDescent="0.2">
      <c r="A299" s="17" t="s">
        <v>722</v>
      </c>
      <c r="B299" s="313"/>
      <c r="C299" s="449"/>
      <c r="D299" s="449"/>
      <c r="E299" s="313"/>
      <c r="G299" s="313"/>
    </row>
    <row r="300" spans="1:8" ht="102" x14ac:dyDescent="0.2">
      <c r="A300" s="342" t="s">
        <v>723</v>
      </c>
      <c r="B300" s="242" t="s">
        <v>721</v>
      </c>
      <c r="C300" s="451">
        <v>92155316</v>
      </c>
      <c r="D300" s="451">
        <v>68636733</v>
      </c>
      <c r="E300" s="313"/>
      <c r="G300" s="313"/>
      <c r="H300" s="612" t="s">
        <v>968</v>
      </c>
    </row>
    <row r="301" spans="1:8" x14ac:dyDescent="0.2">
      <c r="A301" s="342" t="s">
        <v>724</v>
      </c>
      <c r="B301" s="312" t="s">
        <v>725</v>
      </c>
      <c r="C301" s="451">
        <v>92155316</v>
      </c>
      <c r="D301" s="451">
        <v>68636733</v>
      </c>
      <c r="E301" s="313"/>
      <c r="G301" s="313"/>
    </row>
    <row r="302" spans="1:8" x14ac:dyDescent="0.2">
      <c r="A302" s="225" t="s">
        <v>726</v>
      </c>
      <c r="B302" s="242" t="s">
        <v>727</v>
      </c>
      <c r="C302" s="451">
        <v>2681873</v>
      </c>
      <c r="D302" s="451">
        <v>2198670</v>
      </c>
      <c r="E302" s="313"/>
      <c r="F302" s="309"/>
      <c r="G302" s="313"/>
    </row>
    <row r="303" spans="1:8" x14ac:dyDescent="0.2">
      <c r="A303" s="225" t="s">
        <v>728</v>
      </c>
      <c r="B303" s="242" t="s">
        <v>729</v>
      </c>
      <c r="C303" s="451">
        <v>532182</v>
      </c>
      <c r="D303" s="451">
        <v>1018974</v>
      </c>
      <c r="E303" s="313"/>
      <c r="F303" s="309"/>
      <c r="G303" s="313"/>
    </row>
    <row r="304" spans="1:8" x14ac:dyDescent="0.2">
      <c r="A304" s="225" t="s">
        <v>730</v>
      </c>
      <c r="B304" s="242" t="s">
        <v>731</v>
      </c>
      <c r="C304" s="451">
        <v>0</v>
      </c>
      <c r="D304" s="451">
        <v>0</v>
      </c>
      <c r="E304" s="313"/>
      <c r="F304" s="309"/>
      <c r="G304" s="313"/>
    </row>
    <row r="305" spans="1:8" x14ac:dyDescent="0.2">
      <c r="A305" s="225" t="s">
        <v>732</v>
      </c>
      <c r="B305" s="242" t="s">
        <v>733</v>
      </c>
      <c r="C305" s="451">
        <v>0</v>
      </c>
      <c r="D305" s="451">
        <v>0</v>
      </c>
      <c r="E305" s="313"/>
      <c r="F305" s="309"/>
      <c r="G305" s="313"/>
    </row>
    <row r="306" spans="1:8" x14ac:dyDescent="0.2">
      <c r="A306" s="225" t="s">
        <v>734</v>
      </c>
      <c r="B306" s="242" t="s">
        <v>735</v>
      </c>
      <c r="C306" s="451">
        <v>6225</v>
      </c>
      <c r="D306" s="451">
        <v>15328</v>
      </c>
      <c r="E306" s="313"/>
      <c r="F306" s="309"/>
      <c r="G306" s="313"/>
    </row>
    <row r="307" spans="1:8" x14ac:dyDescent="0.2">
      <c r="A307" s="225"/>
      <c r="B307" s="242"/>
      <c r="C307" s="313">
        <f>SUM(C298,-C300,C301:C306)</f>
        <v>95375596</v>
      </c>
      <c r="D307" s="313">
        <f>SUM(D298,-D300,D301:D306)</f>
        <v>71869705</v>
      </c>
      <c r="E307" s="313">
        <f t="shared" ref="E307" si="16">C307+D307</f>
        <v>167245301</v>
      </c>
      <c r="F307" s="416" t="s">
        <v>737</v>
      </c>
      <c r="G307" s="313"/>
    </row>
    <row r="308" spans="1:8" x14ac:dyDescent="0.2">
      <c r="A308" s="225"/>
      <c r="B308" s="242"/>
      <c r="D308" s="411" t="s">
        <v>906</v>
      </c>
      <c r="E308" s="412" t="str">
        <f>IF(E307='NITS Pg 4 of 5'!E44,"ok","err on NITS pg 4")</f>
        <v>ok</v>
      </c>
      <c r="F308" s="309"/>
      <c r="G308" s="313"/>
    </row>
    <row r="309" spans="1:8" x14ac:dyDescent="0.2">
      <c r="A309" s="225"/>
      <c r="B309" s="242"/>
      <c r="D309" s="411" t="s">
        <v>907</v>
      </c>
      <c r="E309" s="412" t="str">
        <f>IF(E307='PTP Pg 4 of 5'!E44,"ok","err on PTP pg 4")</f>
        <v>ok</v>
      </c>
      <c r="F309" s="309"/>
      <c r="G309" s="313"/>
    </row>
    <row r="310" spans="1:8" x14ac:dyDescent="0.2">
      <c r="B310" s="313"/>
      <c r="G310" s="313"/>
    </row>
    <row r="311" spans="1:8" x14ac:dyDescent="0.2">
      <c r="A311" s="225" t="s">
        <v>126</v>
      </c>
      <c r="B311" s="245" t="s">
        <v>736</v>
      </c>
      <c r="C311" s="451">
        <v>0</v>
      </c>
      <c r="D311" s="451">
        <v>0</v>
      </c>
      <c r="E311" s="313">
        <f t="shared" ref="E311" si="17">C311+D311</f>
        <v>0</v>
      </c>
      <c r="F311" s="416" t="s">
        <v>756</v>
      </c>
      <c r="G311" s="313"/>
    </row>
    <row r="312" spans="1:8" x14ac:dyDescent="0.2">
      <c r="B312" s="313"/>
      <c r="C312" s="449"/>
      <c r="D312" s="449"/>
      <c r="E312" s="313"/>
      <c r="G312" s="313"/>
    </row>
    <row r="313" spans="1:8" x14ac:dyDescent="0.2">
      <c r="A313" s="225" t="s">
        <v>78</v>
      </c>
      <c r="B313" s="242" t="s">
        <v>738</v>
      </c>
      <c r="C313" s="451">
        <v>2835126676</v>
      </c>
      <c r="D313" s="451">
        <v>2298010005</v>
      </c>
      <c r="E313" s="313">
        <f t="shared" ref="E313:E322" si="18">C313+D313</f>
        <v>5133136681</v>
      </c>
      <c r="F313" s="309"/>
      <c r="G313" s="313"/>
    </row>
    <row r="314" spans="1:8" x14ac:dyDescent="0.2">
      <c r="A314" s="17" t="s">
        <v>722</v>
      </c>
      <c r="B314" s="313"/>
      <c r="C314" s="449"/>
      <c r="D314" s="449"/>
      <c r="E314" s="313"/>
      <c r="G314" s="313"/>
    </row>
    <row r="315" spans="1:8" ht="102" x14ac:dyDescent="0.2">
      <c r="A315" s="342" t="s">
        <v>739</v>
      </c>
      <c r="B315" s="313" t="s">
        <v>740</v>
      </c>
      <c r="C315" s="451">
        <v>628858083</v>
      </c>
      <c r="D315" s="451">
        <v>601081499</v>
      </c>
      <c r="E315" s="313">
        <f t="shared" si="18"/>
        <v>1229939582</v>
      </c>
      <c r="G315" s="313"/>
      <c r="H315" s="612" t="s">
        <v>968</v>
      </c>
    </row>
    <row r="316" spans="1:8" x14ac:dyDescent="0.2">
      <c r="A316" s="342" t="s">
        <v>741</v>
      </c>
      <c r="B316" s="313" t="s">
        <v>742</v>
      </c>
      <c r="C316" s="451">
        <v>628858083</v>
      </c>
      <c r="D316" s="451">
        <v>601081499</v>
      </c>
      <c r="E316" s="313">
        <f t="shared" si="18"/>
        <v>1229939582</v>
      </c>
      <c r="G316" s="313"/>
      <c r="H316" s="613"/>
    </row>
    <row r="317" spans="1:8" ht="102" x14ac:dyDescent="0.2">
      <c r="A317" s="321" t="s">
        <v>743</v>
      </c>
      <c r="B317" s="312" t="s">
        <v>744</v>
      </c>
      <c r="C317" s="451">
        <v>1898449904</v>
      </c>
      <c r="D317" s="451">
        <v>1272593971</v>
      </c>
      <c r="E317" s="313">
        <f t="shared" si="18"/>
        <v>3171043875</v>
      </c>
      <c r="G317" s="313"/>
      <c r="H317" s="612" t="s">
        <v>968</v>
      </c>
    </row>
    <row r="318" spans="1:8" x14ac:dyDescent="0.2">
      <c r="A318" s="324" t="s">
        <v>745</v>
      </c>
      <c r="B318" s="312" t="s">
        <v>746</v>
      </c>
      <c r="C318" s="451">
        <v>1898449904</v>
      </c>
      <c r="D318" s="451">
        <v>1272593971</v>
      </c>
      <c r="E318" s="313">
        <f t="shared" si="18"/>
        <v>3171043875</v>
      </c>
      <c r="G318" s="313"/>
      <c r="H318" s="613"/>
    </row>
    <row r="319" spans="1:8" ht="102" x14ac:dyDescent="0.2">
      <c r="A319" s="342" t="s">
        <v>747</v>
      </c>
      <c r="B319" s="313" t="s">
        <v>748</v>
      </c>
      <c r="C319" s="451">
        <v>0</v>
      </c>
      <c r="D319" s="451">
        <v>0</v>
      </c>
      <c r="E319" s="313">
        <f t="shared" si="18"/>
        <v>0</v>
      </c>
      <c r="G319" s="313"/>
      <c r="H319" s="612" t="s">
        <v>968</v>
      </c>
    </row>
    <row r="320" spans="1:8" x14ac:dyDescent="0.2">
      <c r="A320" s="342" t="s">
        <v>749</v>
      </c>
      <c r="B320" s="313" t="s">
        <v>750</v>
      </c>
      <c r="C320" s="451">
        <v>0</v>
      </c>
      <c r="D320" s="451">
        <v>0</v>
      </c>
      <c r="E320" s="313">
        <f t="shared" si="18"/>
        <v>0</v>
      </c>
      <c r="G320" s="313"/>
      <c r="H320" s="613"/>
    </row>
    <row r="321" spans="1:8" ht="102" x14ac:dyDescent="0.2">
      <c r="A321" s="342" t="s">
        <v>751</v>
      </c>
      <c r="B321" s="312" t="s">
        <v>752</v>
      </c>
      <c r="C321" s="451">
        <v>0</v>
      </c>
      <c r="D321" s="451">
        <v>0</v>
      </c>
      <c r="E321" s="313">
        <f t="shared" si="18"/>
        <v>0</v>
      </c>
      <c r="G321" s="313"/>
      <c r="H321" s="612" t="s">
        <v>968</v>
      </c>
    </row>
    <row r="322" spans="1:8" x14ac:dyDescent="0.2">
      <c r="A322" s="342" t="s">
        <v>753</v>
      </c>
      <c r="B322" s="312" t="s">
        <v>754</v>
      </c>
      <c r="C322" s="451">
        <v>0</v>
      </c>
      <c r="D322" s="451">
        <v>0</v>
      </c>
      <c r="E322" s="313">
        <f t="shared" si="18"/>
        <v>0</v>
      </c>
      <c r="G322" s="313"/>
    </row>
    <row r="323" spans="1:8" x14ac:dyDescent="0.2">
      <c r="A323" s="309" t="s">
        <v>755</v>
      </c>
      <c r="B323" s="313"/>
      <c r="C323" s="313">
        <f>C313-C315+C316-C317+C318-C319+C320-C321+C322</f>
        <v>2835126676</v>
      </c>
      <c r="D323" s="313">
        <f>D313-D315+D316-D317+D318-D319+D320-D321+D322</f>
        <v>2298010005</v>
      </c>
      <c r="E323" s="313">
        <f t="shared" ref="E323" si="19">C323+D323</f>
        <v>5133136681</v>
      </c>
      <c r="F323" s="416" t="s">
        <v>756</v>
      </c>
      <c r="G323" s="313"/>
    </row>
    <row r="324" spans="1:8" x14ac:dyDescent="0.2">
      <c r="B324" s="313"/>
      <c r="D324" s="411" t="s">
        <v>906</v>
      </c>
      <c r="E324" s="412" t="str">
        <f>IF(E323='NITS Pg 4 of 5'!E47,"ok","err on NITS pg 4")</f>
        <v>ok</v>
      </c>
      <c r="G324" s="313"/>
    </row>
    <row r="325" spans="1:8" x14ac:dyDescent="0.2">
      <c r="B325" s="313"/>
      <c r="D325" s="411" t="s">
        <v>907</v>
      </c>
      <c r="E325" s="412" t="str">
        <f>IF(E323='PTP Pg 4 of 5'!E47,"ok","err on PTP pg 4")</f>
        <v>ok</v>
      </c>
      <c r="G325" s="313"/>
    </row>
    <row r="326" spans="1:8" x14ac:dyDescent="0.2">
      <c r="A326" s="17" t="s">
        <v>757</v>
      </c>
      <c r="B326" s="313"/>
      <c r="G326" s="313"/>
    </row>
    <row r="327" spans="1:8" x14ac:dyDescent="0.2">
      <c r="A327" s="17" t="s">
        <v>758</v>
      </c>
      <c r="B327" s="313" t="s">
        <v>748</v>
      </c>
      <c r="C327" s="245">
        <f>C319</f>
        <v>0</v>
      </c>
      <c r="D327" s="245">
        <f>D319</f>
        <v>0</v>
      </c>
      <c r="E327" s="313"/>
      <c r="G327" s="313"/>
    </row>
    <row r="328" spans="1:8" x14ac:dyDescent="0.2">
      <c r="A328" s="309" t="s">
        <v>759</v>
      </c>
      <c r="B328" s="312" t="s">
        <v>752</v>
      </c>
      <c r="C328" s="245">
        <f>C321</f>
        <v>0</v>
      </c>
      <c r="D328" s="245">
        <f>D321</f>
        <v>0</v>
      </c>
      <c r="E328" s="313"/>
      <c r="G328" s="313"/>
    </row>
    <row r="329" spans="1:8" x14ac:dyDescent="0.2">
      <c r="A329" s="17" t="s">
        <v>722</v>
      </c>
      <c r="B329" s="313"/>
      <c r="E329" s="313"/>
      <c r="G329" s="313"/>
    </row>
    <row r="330" spans="1:8" ht="102" x14ac:dyDescent="0.2">
      <c r="A330" s="342" t="s">
        <v>747</v>
      </c>
      <c r="B330" s="313" t="s">
        <v>748</v>
      </c>
      <c r="C330" s="245">
        <f>C327</f>
        <v>0</v>
      </c>
      <c r="D330" s="245">
        <f>D327</f>
        <v>0</v>
      </c>
      <c r="E330" s="313"/>
      <c r="G330" s="313"/>
      <c r="H330" s="612" t="s">
        <v>968</v>
      </c>
    </row>
    <row r="331" spans="1:8" x14ac:dyDescent="0.2">
      <c r="A331" s="342" t="s">
        <v>741</v>
      </c>
      <c r="B331" s="313" t="s">
        <v>750</v>
      </c>
      <c r="C331" s="245">
        <f t="shared" ref="C331:D333" si="20">C320</f>
        <v>0</v>
      </c>
      <c r="D331" s="245">
        <f t="shared" si="20"/>
        <v>0</v>
      </c>
      <c r="E331" s="313"/>
      <c r="G331" s="313"/>
    </row>
    <row r="332" spans="1:8" ht="102" x14ac:dyDescent="0.2">
      <c r="A332" s="342" t="s">
        <v>751</v>
      </c>
      <c r="B332" s="312" t="s">
        <v>752</v>
      </c>
      <c r="C332" s="245">
        <f t="shared" si="20"/>
        <v>0</v>
      </c>
      <c r="D332" s="245">
        <f t="shared" si="20"/>
        <v>0</v>
      </c>
      <c r="E332" s="313"/>
      <c r="G332" s="313"/>
      <c r="H332" s="612" t="s">
        <v>968</v>
      </c>
    </row>
    <row r="333" spans="1:8" x14ac:dyDescent="0.2">
      <c r="A333" s="342" t="s">
        <v>753</v>
      </c>
      <c r="B333" s="312" t="s">
        <v>754</v>
      </c>
      <c r="C333" s="245">
        <f t="shared" si="20"/>
        <v>0</v>
      </c>
      <c r="D333" s="245">
        <f t="shared" si="20"/>
        <v>0</v>
      </c>
      <c r="E333" s="313"/>
      <c r="G333" s="313"/>
    </row>
    <row r="334" spans="1:8" x14ac:dyDescent="0.2">
      <c r="A334" s="309" t="s">
        <v>760</v>
      </c>
      <c r="B334" s="313"/>
      <c r="C334" s="313">
        <f>C327+C328-C330+C331-C332+C333</f>
        <v>0</v>
      </c>
      <c r="D334" s="313">
        <f>D327+D328-D330+D331-D332+D333</f>
        <v>0</v>
      </c>
      <c r="E334" s="313">
        <f t="shared" ref="E334" si="21">C334+D334</f>
        <v>0</v>
      </c>
      <c r="F334" s="416" t="s">
        <v>761</v>
      </c>
      <c r="G334" s="313"/>
    </row>
    <row r="335" spans="1:8" x14ac:dyDescent="0.2">
      <c r="A335" s="309"/>
      <c r="B335" s="313"/>
      <c r="D335" s="411" t="s">
        <v>906</v>
      </c>
      <c r="E335" s="412" t="str">
        <f>IF(E334='NITS Pg 4 of 5'!E49,"ok","err on NITS pg 4")</f>
        <v>ok</v>
      </c>
      <c r="F335" s="309"/>
      <c r="G335" s="313"/>
    </row>
    <row r="336" spans="1:8" x14ac:dyDescent="0.2">
      <c r="A336" s="324"/>
      <c r="B336" s="313"/>
      <c r="D336" s="411" t="s">
        <v>907</v>
      </c>
      <c r="E336" s="412" t="str">
        <f>IF(E334='PTP Pg 4 of 5'!E49,"ok","err on PTP pg 4")</f>
        <v>ok</v>
      </c>
      <c r="G336" s="313"/>
    </row>
    <row r="337" spans="1:8" x14ac:dyDescent="0.2">
      <c r="A337" s="332" t="s">
        <v>762</v>
      </c>
      <c r="B337" s="313"/>
      <c r="G337" s="313"/>
    </row>
    <row r="338" spans="1:8" x14ac:dyDescent="0.2">
      <c r="A338" s="17" t="s">
        <v>763</v>
      </c>
      <c r="B338" s="312" t="s">
        <v>764</v>
      </c>
      <c r="C338" s="451">
        <v>2333824308</v>
      </c>
      <c r="D338" s="451">
        <v>1820175036</v>
      </c>
      <c r="E338" s="313"/>
      <c r="G338" s="313"/>
    </row>
    <row r="339" spans="1:8" x14ac:dyDescent="0.2">
      <c r="A339" s="17" t="s">
        <v>722</v>
      </c>
      <c r="B339" s="313"/>
      <c r="C339" s="449"/>
      <c r="D339" s="449"/>
      <c r="E339" s="313"/>
      <c r="G339" s="313"/>
    </row>
    <row r="340" spans="1:8" ht="102" x14ac:dyDescent="0.2">
      <c r="A340" s="342" t="s">
        <v>765</v>
      </c>
      <c r="B340" s="312" t="s">
        <v>766</v>
      </c>
      <c r="C340" s="451">
        <v>0</v>
      </c>
      <c r="D340" s="451">
        <v>200000000</v>
      </c>
      <c r="E340" s="313"/>
      <c r="G340" s="313"/>
      <c r="H340" s="612" t="s">
        <v>968</v>
      </c>
    </row>
    <row r="341" spans="1:8" x14ac:dyDescent="0.2">
      <c r="A341" s="342" t="s">
        <v>767</v>
      </c>
      <c r="B341" s="312" t="s">
        <v>768</v>
      </c>
      <c r="C341" s="451">
        <v>0</v>
      </c>
      <c r="D341" s="451">
        <v>200000000</v>
      </c>
      <c r="E341" s="313"/>
      <c r="G341" s="313"/>
    </row>
    <row r="342" spans="1:8" x14ac:dyDescent="0.2">
      <c r="A342" s="17" t="s">
        <v>763</v>
      </c>
      <c r="B342" s="313"/>
      <c r="C342" s="313">
        <f>C338-C340+C341</f>
        <v>2333824308</v>
      </c>
      <c r="D342" s="313">
        <f>D338-D340+D341</f>
        <v>1820175036</v>
      </c>
      <c r="E342" s="313">
        <f>C342+D342</f>
        <v>4153999344</v>
      </c>
      <c r="F342" s="416" t="s">
        <v>1014</v>
      </c>
      <c r="G342" s="313"/>
    </row>
    <row r="343" spans="1:8" x14ac:dyDescent="0.2">
      <c r="D343" s="411" t="s">
        <v>906</v>
      </c>
      <c r="E343" s="412" t="str">
        <f>IF(E342='NITS Pg 4 of 5'!E53,"ok","err on NITS pg 4")</f>
        <v>ok</v>
      </c>
      <c r="F343" s="309"/>
      <c r="G343" s="313"/>
    </row>
    <row r="344" spans="1:8" x14ac:dyDescent="0.2">
      <c r="D344" s="411" t="s">
        <v>907</v>
      </c>
      <c r="E344" s="412" t="str">
        <f>IF(E342='PTP Pg 4 of 5'!E53,"ok","err on PTP pg 4")</f>
        <v>ok</v>
      </c>
      <c r="F344" s="309"/>
      <c r="G344" s="313"/>
    </row>
    <row r="345" spans="1:8" x14ac:dyDescent="0.2">
      <c r="G345" s="313"/>
    </row>
    <row r="346" spans="1:8" x14ac:dyDescent="0.2">
      <c r="A346" s="17" t="s">
        <v>769</v>
      </c>
      <c r="D346" s="313"/>
      <c r="E346" s="657">
        <v>0.10879999999999999</v>
      </c>
      <c r="F346" s="416" t="s">
        <v>899</v>
      </c>
      <c r="G346" s="313"/>
      <c r="H346" s="414" t="s">
        <v>770</v>
      </c>
    </row>
    <row r="347" spans="1:8" x14ac:dyDescent="0.2">
      <c r="G347" s="313"/>
    </row>
    <row r="348" spans="1:8" x14ac:dyDescent="0.2">
      <c r="A348" s="17" t="s">
        <v>771</v>
      </c>
      <c r="G348" s="313"/>
    </row>
    <row r="349" spans="1:8" x14ac:dyDescent="0.2">
      <c r="A349" s="309" t="s">
        <v>914</v>
      </c>
      <c r="C349" s="313"/>
      <c r="D349" s="313"/>
      <c r="G349" s="313"/>
    </row>
    <row r="350" spans="1:8" x14ac:dyDescent="0.2">
      <c r="A350" s="17" t="s">
        <v>772</v>
      </c>
      <c r="B350" s="312" t="s">
        <v>773</v>
      </c>
      <c r="C350" s="451">
        <v>26565474</v>
      </c>
      <c r="D350" s="451">
        <v>13026410</v>
      </c>
      <c r="E350" s="313">
        <f>C350+D350</f>
        <v>39591884</v>
      </c>
      <c r="F350" s="414" t="s">
        <v>1015</v>
      </c>
      <c r="G350" s="313"/>
    </row>
    <row r="351" spans="1:8" x14ac:dyDescent="0.2">
      <c r="B351" s="312"/>
      <c r="C351" s="309"/>
      <c r="D351" s="309"/>
      <c r="F351" s="414"/>
      <c r="G351" s="313"/>
    </row>
    <row r="352" spans="1:8" x14ac:dyDescent="0.2">
      <c r="A352" s="17" t="s">
        <v>774</v>
      </c>
      <c r="B352" s="312" t="s">
        <v>775</v>
      </c>
      <c r="C352" s="451">
        <v>0</v>
      </c>
      <c r="D352" s="451">
        <v>3343791</v>
      </c>
      <c r="E352" s="411" t="str">
        <f>IF(E350='NITS Pg 4 of 5'!J66,"ok","err on NITS pg 4")</f>
        <v>ok</v>
      </c>
      <c r="F352" s="411" t="s">
        <v>906</v>
      </c>
      <c r="G352" s="313"/>
    </row>
    <row r="353" spans="2:7" x14ac:dyDescent="0.2">
      <c r="B353" s="312" t="s">
        <v>1005</v>
      </c>
      <c r="C353" s="451">
        <v>6825323</v>
      </c>
      <c r="D353" s="451">
        <v>0</v>
      </c>
      <c r="E353" s="411" t="str">
        <f>IF(E350='PTP Pg 4 of 5'!J66,"ok","err on PTP pg 4")</f>
        <v>ok</v>
      </c>
      <c r="F353" s="411" t="s">
        <v>907</v>
      </c>
      <c r="G353" s="313"/>
    </row>
    <row r="354" spans="2:7" x14ac:dyDescent="0.2">
      <c r="B354" s="312" t="s">
        <v>797</v>
      </c>
      <c r="C354" s="451">
        <v>2220389</v>
      </c>
      <c r="D354" s="451">
        <v>0</v>
      </c>
      <c r="E354" s="313"/>
      <c r="G354" s="313"/>
    </row>
    <row r="355" spans="2:7" x14ac:dyDescent="0.2">
      <c r="B355" s="312" t="s">
        <v>777</v>
      </c>
      <c r="C355" s="451">
        <v>2159465</v>
      </c>
      <c r="D355" s="451">
        <v>0</v>
      </c>
      <c r="E355" s="313"/>
      <c r="G355" s="313"/>
    </row>
    <row r="356" spans="2:7" x14ac:dyDescent="0.2">
      <c r="B356" s="312" t="s">
        <v>1004</v>
      </c>
      <c r="C356" s="451">
        <v>1184825</v>
      </c>
      <c r="D356" s="451">
        <v>0</v>
      </c>
      <c r="E356" s="313"/>
      <c r="G356" s="313"/>
    </row>
    <row r="357" spans="2:7" x14ac:dyDescent="0.2">
      <c r="B357" s="312" t="s">
        <v>790</v>
      </c>
      <c r="C357" s="451">
        <v>0</v>
      </c>
      <c r="D357" s="451">
        <v>34835</v>
      </c>
      <c r="E357" s="313"/>
      <c r="G357" s="313"/>
    </row>
    <row r="358" spans="2:7" x14ac:dyDescent="0.2">
      <c r="B358" s="312" t="s">
        <v>982</v>
      </c>
      <c r="C358" s="451">
        <v>0</v>
      </c>
      <c r="D358" s="451">
        <v>1118328</v>
      </c>
      <c r="E358" s="313"/>
      <c r="G358" s="313"/>
    </row>
    <row r="359" spans="2:7" x14ac:dyDescent="0.2">
      <c r="B359" s="312" t="s">
        <v>778</v>
      </c>
      <c r="C359" s="451">
        <v>0</v>
      </c>
      <c r="D359" s="451">
        <v>1093077</v>
      </c>
      <c r="E359" s="313"/>
      <c r="G359" s="313"/>
    </row>
    <row r="360" spans="2:7" x14ac:dyDescent="0.2">
      <c r="B360" s="312" t="s">
        <v>794</v>
      </c>
      <c r="C360" s="451">
        <v>108807</v>
      </c>
      <c r="D360" s="451">
        <v>0</v>
      </c>
      <c r="E360" s="313"/>
      <c r="G360" s="313"/>
    </row>
    <row r="361" spans="2:7" x14ac:dyDescent="0.2">
      <c r="B361" s="312" t="s">
        <v>779</v>
      </c>
      <c r="C361" s="451">
        <v>239693</v>
      </c>
      <c r="D361" s="451">
        <v>0</v>
      </c>
      <c r="E361" s="313"/>
      <c r="G361" s="313"/>
    </row>
    <row r="362" spans="2:7" x14ac:dyDescent="0.2">
      <c r="B362" s="312" t="s">
        <v>780</v>
      </c>
      <c r="C362" s="451">
        <v>71440</v>
      </c>
      <c r="D362" s="451">
        <v>0</v>
      </c>
      <c r="E362" s="313"/>
      <c r="G362" s="313"/>
    </row>
    <row r="363" spans="2:7" x14ac:dyDescent="0.2">
      <c r="B363" s="312" t="s">
        <v>781</v>
      </c>
      <c r="C363" s="451">
        <v>0</v>
      </c>
      <c r="D363" s="451">
        <v>53049</v>
      </c>
      <c r="E363" s="313"/>
      <c r="G363" s="313"/>
    </row>
    <row r="364" spans="2:7" x14ac:dyDescent="0.2">
      <c r="B364" s="312" t="s">
        <v>981</v>
      </c>
      <c r="C364" s="451">
        <v>0</v>
      </c>
      <c r="D364" s="451">
        <v>121161</v>
      </c>
      <c r="E364" s="313"/>
      <c r="G364" s="313"/>
    </row>
    <row r="365" spans="2:7" x14ac:dyDescent="0.2">
      <c r="B365" s="312" t="s">
        <v>1006</v>
      </c>
      <c r="C365" s="451">
        <v>0</v>
      </c>
      <c r="D365" s="451">
        <v>579908</v>
      </c>
      <c r="E365" s="313"/>
      <c r="G365" s="313"/>
    </row>
    <row r="366" spans="2:7" x14ac:dyDescent="0.2">
      <c r="B366" s="312" t="s">
        <v>1007</v>
      </c>
      <c r="C366" s="451">
        <v>162</v>
      </c>
      <c r="D366" s="451">
        <v>0</v>
      </c>
      <c r="E366" s="313"/>
      <c r="G366" s="313"/>
    </row>
    <row r="367" spans="2:7" x14ac:dyDescent="0.2">
      <c r="B367" s="312" t="s">
        <v>864</v>
      </c>
      <c r="C367" s="451">
        <v>276891</v>
      </c>
      <c r="D367" s="451">
        <v>0</v>
      </c>
      <c r="E367" s="313"/>
      <c r="G367" s="313"/>
    </row>
    <row r="368" spans="2:7" x14ac:dyDescent="0.2">
      <c r="B368" s="312" t="s">
        <v>1003</v>
      </c>
      <c r="C368" s="451">
        <v>553979</v>
      </c>
      <c r="D368" s="451">
        <v>0</v>
      </c>
      <c r="E368" s="313"/>
      <c r="G368" s="313"/>
    </row>
    <row r="369" spans="1:7" x14ac:dyDescent="0.2">
      <c r="B369" s="312" t="s">
        <v>865</v>
      </c>
      <c r="C369" s="451">
        <v>26315</v>
      </c>
      <c r="D369" s="451">
        <v>0</v>
      </c>
      <c r="E369" s="313"/>
      <c r="G369" s="313"/>
    </row>
    <row r="370" spans="1:7" x14ac:dyDescent="0.2">
      <c r="B370" s="312" t="s">
        <v>799</v>
      </c>
      <c r="C370" s="451">
        <v>397153</v>
      </c>
      <c r="D370" s="451">
        <v>135207</v>
      </c>
      <c r="E370" s="313"/>
      <c r="G370" s="313"/>
    </row>
    <row r="371" spans="1:7" x14ac:dyDescent="0.2">
      <c r="B371" s="312" t="s">
        <v>795</v>
      </c>
      <c r="C371" s="451">
        <v>257174</v>
      </c>
      <c r="D371" s="451">
        <v>270174</v>
      </c>
      <c r="E371" s="313"/>
      <c r="G371" s="313"/>
    </row>
    <row r="372" spans="1:7" x14ac:dyDescent="0.2">
      <c r="B372" s="312" t="s">
        <v>782</v>
      </c>
      <c r="C372" s="451">
        <v>56808</v>
      </c>
      <c r="D372" s="451">
        <v>12809</v>
      </c>
      <c r="E372" s="313"/>
      <c r="G372" s="313"/>
    </row>
    <row r="373" spans="1:7" x14ac:dyDescent="0.2">
      <c r="B373" s="312" t="s">
        <v>783</v>
      </c>
      <c r="C373" s="451">
        <v>73308</v>
      </c>
      <c r="D373" s="451">
        <v>194027</v>
      </c>
      <c r="E373" s="313"/>
      <c r="G373" s="313"/>
    </row>
    <row r="374" spans="1:7" x14ac:dyDescent="0.2">
      <c r="B374" s="312" t="s">
        <v>784</v>
      </c>
      <c r="C374" s="451">
        <v>1961884</v>
      </c>
      <c r="D374" s="451">
        <v>125443</v>
      </c>
      <c r="E374" s="313"/>
      <c r="G374" s="313"/>
    </row>
    <row r="375" spans="1:7" x14ac:dyDescent="0.2">
      <c r="B375" s="312" t="s">
        <v>785</v>
      </c>
      <c r="C375" s="451">
        <v>790776</v>
      </c>
      <c r="D375" s="451">
        <v>27685</v>
      </c>
      <c r="E375" s="313"/>
      <c r="G375" s="313"/>
    </row>
    <row r="376" spans="1:7" x14ac:dyDescent="0.2">
      <c r="B376" s="312" t="s">
        <v>786</v>
      </c>
      <c r="C376" s="451">
        <v>532751</v>
      </c>
      <c r="D376" s="451">
        <v>957753</v>
      </c>
      <c r="E376" s="313"/>
      <c r="G376" s="313"/>
    </row>
    <row r="377" spans="1:7" x14ac:dyDescent="0.2">
      <c r="B377" s="312" t="s">
        <v>787</v>
      </c>
      <c r="C377" s="451">
        <v>82344</v>
      </c>
      <c r="D377" s="451">
        <v>385388</v>
      </c>
      <c r="E377" s="313"/>
      <c r="G377" s="313"/>
    </row>
    <row r="378" spans="1:7" x14ac:dyDescent="0.2">
      <c r="B378" s="312" t="s">
        <v>788</v>
      </c>
      <c r="C378" s="451">
        <v>0</v>
      </c>
      <c r="D378" s="451">
        <v>260508</v>
      </c>
      <c r="E378" s="313"/>
      <c r="G378" s="313"/>
    </row>
    <row r="379" spans="1:7" x14ac:dyDescent="0.2">
      <c r="B379" s="312" t="s">
        <v>954</v>
      </c>
      <c r="C379" s="451">
        <v>0</v>
      </c>
      <c r="D379" s="451">
        <v>40116</v>
      </c>
      <c r="E379" s="313"/>
      <c r="G379" s="313"/>
    </row>
    <row r="380" spans="1:7" x14ac:dyDescent="0.2">
      <c r="B380" s="312"/>
      <c r="C380" s="309"/>
      <c r="D380" s="309"/>
      <c r="E380" s="313"/>
      <c r="G380" s="313"/>
    </row>
    <row r="381" spans="1:7" x14ac:dyDescent="0.2">
      <c r="A381" s="309" t="s">
        <v>789</v>
      </c>
      <c r="B381" s="312" t="s">
        <v>776</v>
      </c>
      <c r="C381" s="451">
        <v>0</v>
      </c>
      <c r="D381" s="451">
        <v>0</v>
      </c>
      <c r="E381" s="313"/>
      <c r="G381" s="313"/>
    </row>
    <row r="382" spans="1:7" x14ac:dyDescent="0.2">
      <c r="B382" s="312" t="s">
        <v>777</v>
      </c>
      <c r="C382" s="451">
        <v>0</v>
      </c>
      <c r="D382" s="451">
        <v>0</v>
      </c>
      <c r="E382" s="313"/>
      <c r="G382" s="313"/>
    </row>
    <row r="383" spans="1:7" x14ac:dyDescent="0.2">
      <c r="B383" s="312"/>
      <c r="C383" s="309"/>
      <c r="D383" s="309"/>
      <c r="E383" s="313"/>
      <c r="G383" s="313"/>
    </row>
    <row r="384" spans="1:7" x14ac:dyDescent="0.2">
      <c r="A384" s="309" t="s">
        <v>791</v>
      </c>
      <c r="B384" s="312" t="s">
        <v>792</v>
      </c>
      <c r="C384" s="451">
        <v>0</v>
      </c>
      <c r="D384" s="451">
        <v>0</v>
      </c>
      <c r="E384" s="313"/>
      <c r="G384" s="313"/>
    </row>
    <row r="385" spans="1:7" x14ac:dyDescent="0.2">
      <c r="A385" s="309"/>
      <c r="B385" s="312"/>
      <c r="C385" s="309"/>
      <c r="D385" s="309"/>
      <c r="E385" s="313"/>
      <c r="G385" s="313"/>
    </row>
    <row r="386" spans="1:7" x14ac:dyDescent="0.2">
      <c r="A386" s="309" t="s">
        <v>793</v>
      </c>
      <c r="B386" s="312" t="s">
        <v>933</v>
      </c>
      <c r="C386" s="451">
        <v>0</v>
      </c>
      <c r="D386" s="451">
        <v>8661</v>
      </c>
      <c r="E386" s="313"/>
      <c r="G386" s="313"/>
    </row>
    <row r="387" spans="1:7" x14ac:dyDescent="0.2">
      <c r="A387" s="309"/>
      <c r="B387" s="312" t="s">
        <v>776</v>
      </c>
      <c r="C387" s="451">
        <v>16975</v>
      </c>
      <c r="D387" s="451">
        <v>0</v>
      </c>
      <c r="E387" s="313"/>
      <c r="G387" s="313"/>
    </row>
    <row r="388" spans="1:7" x14ac:dyDescent="0.2">
      <c r="B388" s="312" t="s">
        <v>778</v>
      </c>
      <c r="C388" s="451">
        <v>-3364</v>
      </c>
      <c r="D388" s="451">
        <v>0</v>
      </c>
      <c r="E388" s="313"/>
      <c r="G388" s="313"/>
    </row>
    <row r="389" spans="1:7" x14ac:dyDescent="0.2">
      <c r="B389" s="312" t="s">
        <v>781</v>
      </c>
      <c r="C389" s="451">
        <v>-267</v>
      </c>
      <c r="D389" s="451">
        <v>0</v>
      </c>
      <c r="E389" s="313"/>
      <c r="G389" s="313"/>
    </row>
    <row r="390" spans="1:7" x14ac:dyDescent="0.2">
      <c r="B390" s="312" t="s">
        <v>863</v>
      </c>
      <c r="C390" s="451">
        <v>0</v>
      </c>
      <c r="D390" s="451">
        <v>-136</v>
      </c>
      <c r="E390" s="313"/>
      <c r="G390" s="313"/>
    </row>
    <row r="391" spans="1:7" x14ac:dyDescent="0.2">
      <c r="B391" s="312" t="s">
        <v>1003</v>
      </c>
      <c r="C391" s="451">
        <v>0</v>
      </c>
      <c r="D391" s="451">
        <v>-1716</v>
      </c>
      <c r="E391" s="313"/>
      <c r="G391" s="313"/>
    </row>
    <row r="392" spans="1:7" x14ac:dyDescent="0.2">
      <c r="B392" s="312"/>
      <c r="C392" s="309"/>
      <c r="D392" s="309"/>
      <c r="E392" s="313"/>
      <c r="G392" s="313"/>
    </row>
    <row r="393" spans="1:7" x14ac:dyDescent="0.2">
      <c r="A393" s="309" t="s">
        <v>796</v>
      </c>
      <c r="B393" s="312" t="s">
        <v>797</v>
      </c>
      <c r="C393" s="451">
        <v>0</v>
      </c>
      <c r="D393" s="451">
        <v>0</v>
      </c>
      <c r="E393" s="313"/>
      <c r="G393" s="313"/>
    </row>
    <row r="394" spans="1:7" x14ac:dyDescent="0.2">
      <c r="A394" s="309"/>
      <c r="B394" s="312" t="s">
        <v>798</v>
      </c>
      <c r="C394" s="451">
        <v>4284773</v>
      </c>
      <c r="D394" s="451">
        <v>0</v>
      </c>
      <c r="E394" s="313"/>
      <c r="G394" s="313"/>
    </row>
    <row r="395" spans="1:7" x14ac:dyDescent="0.2">
      <c r="A395" s="309"/>
      <c r="B395" s="312" t="s">
        <v>1004</v>
      </c>
      <c r="C395" s="451">
        <v>0</v>
      </c>
      <c r="D395" s="451">
        <v>201613</v>
      </c>
      <c r="E395" s="313"/>
      <c r="G395" s="313"/>
    </row>
    <row r="396" spans="1:7" x14ac:dyDescent="0.2">
      <c r="A396" s="309"/>
      <c r="B396" s="312" t="s">
        <v>794</v>
      </c>
      <c r="C396" s="451">
        <v>0</v>
      </c>
      <c r="D396" s="451">
        <v>2096839</v>
      </c>
      <c r="E396" s="313"/>
      <c r="G396" s="313"/>
    </row>
    <row r="397" spans="1:7" x14ac:dyDescent="0.2">
      <c r="A397" s="309"/>
      <c r="B397" s="312" t="s">
        <v>934</v>
      </c>
      <c r="C397" s="451">
        <v>412005</v>
      </c>
      <c r="D397" s="451">
        <v>0</v>
      </c>
      <c r="E397" s="313"/>
      <c r="G397" s="313"/>
    </row>
    <row r="398" spans="1:7" x14ac:dyDescent="0.2">
      <c r="B398" s="312"/>
      <c r="C398" s="309"/>
      <c r="D398" s="309"/>
      <c r="E398" s="313"/>
      <c r="G398" s="313"/>
    </row>
    <row r="399" spans="1:7" x14ac:dyDescent="0.2">
      <c r="A399" s="309" t="s">
        <v>800</v>
      </c>
      <c r="B399" s="313"/>
      <c r="C399" s="245">
        <f>C350-SUM(C352:C398)</f>
        <v>4035865</v>
      </c>
      <c r="D399" s="245">
        <f>D350-SUM(D352:D398)</f>
        <v>1967890</v>
      </c>
      <c r="E399" s="313">
        <f>C399+D399</f>
        <v>6003755</v>
      </c>
      <c r="F399" s="416" t="s">
        <v>1016</v>
      </c>
      <c r="G399" s="313"/>
    </row>
    <row r="400" spans="1:7" x14ac:dyDescent="0.2">
      <c r="B400" s="313"/>
      <c r="C400" s="313">
        <f>C350-C399</f>
        <v>22529609</v>
      </c>
      <c r="D400" s="313">
        <f>D350-D399</f>
        <v>11058520</v>
      </c>
      <c r="E400" s="313">
        <f>C400+D400</f>
        <v>33588129</v>
      </c>
      <c r="F400" s="414" t="s">
        <v>1017</v>
      </c>
      <c r="G400" s="313"/>
    </row>
    <row r="401" spans="1:11" x14ac:dyDescent="0.2">
      <c r="D401" s="411" t="s">
        <v>906</v>
      </c>
      <c r="E401" s="412" t="str">
        <f>IF(E400='NITS Pg 4 of 5'!J67,"ok","err on NITS pg 4")</f>
        <v>ok</v>
      </c>
      <c r="F401" s="412" t="str">
        <f>IF(E399='NITS Pg 4 of 5'!J68,"ok","err on NITS pg 4")</f>
        <v>ok</v>
      </c>
      <c r="G401" s="312"/>
    </row>
    <row r="402" spans="1:11" x14ac:dyDescent="0.2">
      <c r="D402" s="411" t="s">
        <v>907</v>
      </c>
      <c r="E402" s="412" t="str">
        <f>IF(E400='PTP Pg 4 of 5'!J67,"ok","err on PTP pg 4")</f>
        <v>ok</v>
      </c>
      <c r="F402" s="412" t="str">
        <f>IF(E399='PTP Pg 4 of 5'!J68,"ok","err on PTP pg 4")</f>
        <v>ok</v>
      </c>
      <c r="G402" s="312"/>
    </row>
    <row r="403" spans="1:11" x14ac:dyDescent="0.2">
      <c r="A403" s="307"/>
      <c r="B403" s="307"/>
      <c r="C403" s="307"/>
      <c r="D403" s="307"/>
      <c r="E403" s="307"/>
      <c r="F403" s="307"/>
      <c r="G403" s="307"/>
      <c r="H403" s="307"/>
      <c r="I403" s="307"/>
      <c r="J403" s="307"/>
      <c r="K403" s="307"/>
    </row>
    <row r="404" spans="1:11" ht="15" x14ac:dyDescent="0.35">
      <c r="A404" s="17" t="s">
        <v>801</v>
      </c>
      <c r="C404" s="428" t="s">
        <v>433</v>
      </c>
      <c r="D404" s="428" t="s">
        <v>802</v>
      </c>
    </row>
    <row r="405" spans="1:11" x14ac:dyDescent="0.2">
      <c r="D405" s="313"/>
      <c r="G405" s="670" t="s">
        <v>951</v>
      </c>
    </row>
    <row r="406" spans="1:11" ht="12.75" customHeight="1" x14ac:dyDescent="0.2">
      <c r="A406" s="17" t="s">
        <v>803</v>
      </c>
      <c r="G406" s="670"/>
      <c r="H406" s="414" t="s">
        <v>804</v>
      </c>
    </row>
    <row r="407" spans="1:11" x14ac:dyDescent="0.2">
      <c r="A407" s="343" t="s">
        <v>805</v>
      </c>
      <c r="E407" s="313"/>
      <c r="G407" s="670"/>
    </row>
    <row r="408" spans="1:11" x14ac:dyDescent="0.2">
      <c r="A408" s="343" t="s">
        <v>806</v>
      </c>
      <c r="C408" s="658">
        <v>715979</v>
      </c>
      <c r="D408" s="658">
        <v>388500</v>
      </c>
      <c r="E408" s="313">
        <f t="shared" ref="E408:E409" si="22">C408+D408</f>
        <v>1104479</v>
      </c>
      <c r="F408" s="416" t="s">
        <v>807</v>
      </c>
      <c r="G408" s="412" t="str">
        <f>IF(E408='Sch 1'!D23,"ok","err on Sch 1")</f>
        <v>ok</v>
      </c>
      <c r="H408" s="414" t="s">
        <v>947</v>
      </c>
    </row>
    <row r="409" spans="1:11" x14ac:dyDescent="0.2">
      <c r="A409" s="343" t="s">
        <v>808</v>
      </c>
      <c r="C409" s="658">
        <v>-628997</v>
      </c>
      <c r="D409" s="658">
        <v>-341305</v>
      </c>
      <c r="E409" s="313">
        <f t="shared" si="22"/>
        <v>-970302</v>
      </c>
      <c r="F409" s="416" t="s">
        <v>809</v>
      </c>
      <c r="G409" s="412" t="str">
        <f>IF(E409='Sch 1'!D24,"ok","err on Sch 1")</f>
        <v>ok</v>
      </c>
      <c r="H409" s="414" t="s">
        <v>810</v>
      </c>
    </row>
    <row r="410" spans="1:11" x14ac:dyDescent="0.2">
      <c r="A410" s="343"/>
      <c r="C410" s="344"/>
      <c r="D410" s="344"/>
      <c r="E410" s="313"/>
    </row>
    <row r="411" spans="1:11" x14ac:dyDescent="0.2">
      <c r="A411" s="343" t="s">
        <v>811</v>
      </c>
      <c r="C411" s="344">
        <f>SUM(C408:C409)</f>
        <v>86982</v>
      </c>
      <c r="D411" s="344">
        <f>SUM(D408:D409)</f>
        <v>47195</v>
      </c>
      <c r="E411" s="313">
        <f t="shared" ref="E411" si="23">C411+D411</f>
        <v>134177</v>
      </c>
      <c r="F411" s="416" t="s">
        <v>812</v>
      </c>
      <c r="G411" s="412" t="str">
        <f>IF(E411='Sch 1'!D26,"ok","err on Sch 1")</f>
        <v>ok</v>
      </c>
    </row>
  </sheetData>
  <mergeCells count="5">
    <mergeCell ref="G405:G407"/>
    <mergeCell ref="I193:J193"/>
    <mergeCell ref="K193:L193"/>
    <mergeCell ref="J213:K214"/>
    <mergeCell ref="J117:K118"/>
  </mergeCells>
  <dataValidations count="1">
    <dataValidation type="whole" operator="lessThanOrEqual" allowBlank="1" showInputMessage="1" showErrorMessage="1" promptTitle="Input should be $0 or negative" prompt="Per Form 1, P.117, L.65-66, this amount should be subtracted from the other interest expense accounts.  Verify subtotal formula below is accurately summing these accounts." sqref="C304:D305">
      <formula1>0</formula1>
    </dataValidation>
  </dataValidations>
  <pageMargins left="0.7" right="0.7" top="0.75" bottom="0.75" header="0.3" footer="0.3"/>
  <pageSetup scale="39" fitToHeight="0" orientation="landscape" r:id="rId1"/>
  <headerFooter scaleWithDoc="0">
    <oddFooter>&amp;L&amp;Z&amp;F
&amp;A</oddFooter>
  </headerFooter>
  <ignoredErrors>
    <ignoredError sqref="E2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workbookViewId="0">
      <selection activeCell="I42" sqref="I42"/>
    </sheetView>
  </sheetViews>
  <sheetFormatPr defaultColWidth="9.33203125" defaultRowHeight="12.75" x14ac:dyDescent="0.2"/>
  <cols>
    <col min="1" max="1" width="39.1640625" style="353" customWidth="1"/>
    <col min="2" max="3" width="16.1640625" style="352" bestFit="1" customWidth="1"/>
    <col min="4" max="4" width="14.1640625" style="352" bestFit="1" customWidth="1"/>
    <col min="5" max="5" width="15.83203125" style="352" bestFit="1" customWidth="1"/>
    <col min="6" max="6" width="16.83203125" style="352" bestFit="1" customWidth="1"/>
    <col min="7" max="7" width="15.83203125" style="352" bestFit="1" customWidth="1"/>
    <col min="8" max="8" width="2.5" style="353" customWidth="1"/>
    <col min="9" max="10" width="15.83203125" style="353" bestFit="1" customWidth="1"/>
    <col min="11" max="16384" width="9.33203125" style="353"/>
  </cols>
  <sheetData>
    <row r="1" spans="1:10" ht="15.75" x14ac:dyDescent="0.25">
      <c r="A1" s="433" t="s">
        <v>919</v>
      </c>
      <c r="B1" s="357"/>
      <c r="C1" s="357"/>
    </row>
    <row r="2" spans="1:10" ht="15.75" x14ac:dyDescent="0.25">
      <c r="A2" s="433" t="s">
        <v>821</v>
      </c>
      <c r="B2" s="357"/>
      <c r="C2" s="357"/>
      <c r="D2" s="357"/>
      <c r="E2" s="357"/>
      <c r="F2" s="357"/>
      <c r="G2" s="357"/>
      <c r="H2" s="356"/>
    </row>
    <row r="3" spans="1:10" ht="15.75" x14ac:dyDescent="0.25">
      <c r="A3" s="434" t="s">
        <v>822</v>
      </c>
      <c r="B3" s="355"/>
      <c r="C3" s="355"/>
      <c r="D3" s="355"/>
      <c r="E3" s="355"/>
      <c r="F3" s="355"/>
      <c r="G3" s="355"/>
      <c r="H3" s="356"/>
    </row>
    <row r="4" spans="1:10" ht="15.75" x14ac:dyDescent="0.25">
      <c r="A4" s="448">
        <f>'OATT Input Data'!B4</f>
        <v>43465</v>
      </c>
      <c r="C4" s="358"/>
      <c r="D4" s="358"/>
      <c r="E4" s="358"/>
    </row>
    <row r="5" spans="1:10" ht="15.75" x14ac:dyDescent="0.25">
      <c r="A5" s="448"/>
      <c r="C5" s="358"/>
      <c r="D5" s="358"/>
      <c r="E5" s="358"/>
    </row>
    <row r="6" spans="1:10" x14ac:dyDescent="0.2">
      <c r="A6" s="438" t="s">
        <v>1011</v>
      </c>
      <c r="B6" s="439"/>
      <c r="C6" s="439"/>
      <c r="D6" s="439"/>
      <c r="E6" s="439"/>
    </row>
    <row r="7" spans="1:10" x14ac:dyDescent="0.2">
      <c r="A7" s="440" t="s">
        <v>925</v>
      </c>
      <c r="B7" s="439"/>
      <c r="C7" s="439"/>
      <c r="D7" s="439"/>
      <c r="E7" s="439"/>
    </row>
    <row r="8" spans="1:10" x14ac:dyDescent="0.2">
      <c r="A8" s="440"/>
      <c r="B8" s="439"/>
      <c r="C8" s="439"/>
      <c r="D8" s="439"/>
      <c r="E8" s="439"/>
    </row>
    <row r="9" spans="1:10" ht="15.75" x14ac:dyDescent="0.25">
      <c r="A9" s="432" t="s">
        <v>823</v>
      </c>
      <c r="C9" s="358"/>
      <c r="D9" s="358"/>
      <c r="E9" s="358"/>
      <c r="I9" s="437"/>
      <c r="J9" s="437"/>
    </row>
    <row r="10" spans="1:10" x14ac:dyDescent="0.2">
      <c r="B10" s="354" t="s">
        <v>813</v>
      </c>
      <c r="C10" s="355"/>
      <c r="D10" s="355"/>
      <c r="E10" s="354" t="s">
        <v>814</v>
      </c>
      <c r="F10" s="355"/>
      <c r="G10" s="354" t="s">
        <v>815</v>
      </c>
      <c r="I10" s="354" t="s">
        <v>921</v>
      </c>
      <c r="J10" s="354"/>
    </row>
    <row r="11" spans="1:10" ht="15" x14ac:dyDescent="0.35">
      <c r="A11" s="356"/>
      <c r="B11" s="431" t="s">
        <v>816</v>
      </c>
      <c r="C11" s="431" t="s">
        <v>817</v>
      </c>
      <c r="D11" s="431" t="s">
        <v>818</v>
      </c>
      <c r="E11" s="431" t="s">
        <v>819</v>
      </c>
      <c r="F11" s="431" t="s">
        <v>820</v>
      </c>
      <c r="G11" s="431" t="s">
        <v>816</v>
      </c>
      <c r="H11" s="356"/>
      <c r="I11" s="431" t="s">
        <v>920</v>
      </c>
      <c r="J11" s="431" t="s">
        <v>922</v>
      </c>
    </row>
    <row r="12" spans="1:10" x14ac:dyDescent="0.2">
      <c r="A12" s="353" t="s">
        <v>824</v>
      </c>
      <c r="B12" s="665">
        <v>2219475.6</v>
      </c>
      <c r="C12" s="665">
        <v>22205.8</v>
      </c>
      <c r="D12" s="665">
        <v>0</v>
      </c>
      <c r="E12" s="665">
        <v>0</v>
      </c>
      <c r="F12" s="352">
        <f t="shared" ref="F12:F20" si="0">SUM(C12:E12)</f>
        <v>22205.8</v>
      </c>
      <c r="G12" s="352">
        <f>B12+F12</f>
        <v>2241681.4</v>
      </c>
      <c r="I12" s="665">
        <v>2241681.4</v>
      </c>
      <c r="J12" s="603">
        <f>I12-G12</f>
        <v>0</v>
      </c>
    </row>
    <row r="13" spans="1:10" x14ac:dyDescent="0.2">
      <c r="A13" s="353" t="s">
        <v>825</v>
      </c>
      <c r="B13" s="665">
        <v>45700.5</v>
      </c>
      <c r="C13" s="667">
        <v>0</v>
      </c>
      <c r="D13" s="665">
        <v>0</v>
      </c>
      <c r="E13" s="665">
        <v>0</v>
      </c>
      <c r="F13" s="352">
        <f t="shared" si="0"/>
        <v>0</v>
      </c>
      <c r="G13" s="352">
        <f t="shared" ref="G13:G20" si="1">B13+F13</f>
        <v>45700.5</v>
      </c>
      <c r="I13" s="665">
        <v>45700.5</v>
      </c>
      <c r="J13" s="603">
        <f t="shared" ref="J13:J19" si="2">I13-G13</f>
        <v>0</v>
      </c>
    </row>
    <row r="14" spans="1:10" x14ac:dyDescent="0.2">
      <c r="A14" s="353" t="s">
        <v>826</v>
      </c>
      <c r="B14" s="664">
        <v>1743198.88</v>
      </c>
      <c r="C14" s="664">
        <v>0</v>
      </c>
      <c r="D14" s="664">
        <v>0</v>
      </c>
      <c r="E14" s="664">
        <v>0</v>
      </c>
      <c r="F14" s="352">
        <f t="shared" si="0"/>
        <v>0</v>
      </c>
      <c r="G14" s="352">
        <f t="shared" si="1"/>
        <v>1743198.88</v>
      </c>
      <c r="I14" s="664">
        <v>1743198.88</v>
      </c>
      <c r="J14" s="603">
        <f t="shared" si="2"/>
        <v>0</v>
      </c>
    </row>
    <row r="15" spans="1:10" x14ac:dyDescent="0.2">
      <c r="A15" s="353" t="s">
        <v>827</v>
      </c>
      <c r="B15" s="664">
        <v>22833884.27</v>
      </c>
      <c r="C15" s="664">
        <v>1006358.22</v>
      </c>
      <c r="D15" s="664">
        <v>-97284.84</v>
      </c>
      <c r="E15" s="664">
        <v>0</v>
      </c>
      <c r="F15" s="352">
        <f t="shared" si="0"/>
        <v>909073.38</v>
      </c>
      <c r="G15" s="352">
        <f t="shared" si="1"/>
        <v>23742957.649999999</v>
      </c>
      <c r="I15" s="664">
        <v>23742957.649999999</v>
      </c>
      <c r="J15" s="603">
        <f t="shared" si="2"/>
        <v>0</v>
      </c>
    </row>
    <row r="16" spans="1:10" x14ac:dyDescent="0.2">
      <c r="A16" s="353" t="s">
        <v>828</v>
      </c>
      <c r="B16" s="664">
        <v>7181081.3000000007</v>
      </c>
      <c r="C16" s="664">
        <v>0</v>
      </c>
      <c r="D16" s="664">
        <v>0</v>
      </c>
      <c r="E16" s="664">
        <v>0</v>
      </c>
      <c r="F16" s="352">
        <f t="shared" si="0"/>
        <v>0</v>
      </c>
      <c r="G16" s="352">
        <f t="shared" si="1"/>
        <v>7181081.3000000007</v>
      </c>
      <c r="I16" s="664">
        <v>7181081.3000000007</v>
      </c>
      <c r="J16" s="603">
        <f t="shared" si="2"/>
        <v>0</v>
      </c>
    </row>
    <row r="17" spans="1:10" x14ac:dyDescent="0.2">
      <c r="A17" s="353" t="s">
        <v>829</v>
      </c>
      <c r="B17" s="664">
        <v>13335497.01</v>
      </c>
      <c r="C17" s="664">
        <v>168858.74</v>
      </c>
      <c r="D17" s="664">
        <v>-24511.32</v>
      </c>
      <c r="E17" s="664">
        <v>0</v>
      </c>
      <c r="F17" s="352">
        <f t="shared" si="0"/>
        <v>144347.41999999998</v>
      </c>
      <c r="G17" s="352">
        <f t="shared" si="1"/>
        <v>13479844.43</v>
      </c>
      <c r="I17" s="664">
        <v>13479844.43</v>
      </c>
      <c r="J17" s="603">
        <f t="shared" si="2"/>
        <v>0</v>
      </c>
    </row>
    <row r="18" spans="1:10" x14ac:dyDescent="0.2">
      <c r="A18" s="353" t="s">
        <v>830</v>
      </c>
      <c r="B18" s="664">
        <v>17926354.18</v>
      </c>
      <c r="C18" s="664">
        <v>1120970.6199999999</v>
      </c>
      <c r="D18" s="664">
        <v>-56965.66</v>
      </c>
      <c r="E18" s="664">
        <v>0</v>
      </c>
      <c r="F18" s="352">
        <f t="shared" si="0"/>
        <v>1064004.96</v>
      </c>
      <c r="G18" s="352">
        <f t="shared" si="1"/>
        <v>18990359.140000001</v>
      </c>
      <c r="I18" s="664">
        <v>18990359.140000001</v>
      </c>
      <c r="J18" s="603">
        <f t="shared" si="2"/>
        <v>0</v>
      </c>
    </row>
    <row r="19" spans="1:10" x14ac:dyDescent="0.2">
      <c r="A19" s="353" t="s">
        <v>831</v>
      </c>
      <c r="B19" s="664">
        <v>0</v>
      </c>
      <c r="C19" s="664">
        <v>0</v>
      </c>
      <c r="D19" s="664">
        <v>0</v>
      </c>
      <c r="E19" s="664">
        <v>0</v>
      </c>
      <c r="F19" s="352">
        <f t="shared" si="0"/>
        <v>0</v>
      </c>
      <c r="G19" s="352">
        <f t="shared" si="1"/>
        <v>0</v>
      </c>
      <c r="I19" s="664">
        <v>0</v>
      </c>
      <c r="J19" s="603">
        <f t="shared" si="2"/>
        <v>0</v>
      </c>
    </row>
    <row r="20" spans="1:10" x14ac:dyDescent="0.2">
      <c r="A20" s="353" t="s">
        <v>832</v>
      </c>
      <c r="B20" s="664">
        <v>0</v>
      </c>
      <c r="C20" s="664">
        <v>0</v>
      </c>
      <c r="D20" s="664">
        <v>0</v>
      </c>
      <c r="E20" s="664">
        <v>0</v>
      </c>
      <c r="F20" s="352">
        <f t="shared" si="0"/>
        <v>0</v>
      </c>
      <c r="G20" s="352">
        <f t="shared" si="1"/>
        <v>0</v>
      </c>
      <c r="I20" s="664">
        <v>0</v>
      </c>
      <c r="J20" s="603">
        <f>I20-G20</f>
        <v>0</v>
      </c>
    </row>
    <row r="21" spans="1:10" ht="13.5" thickBot="1" x14ac:dyDescent="0.25">
      <c r="A21" s="446" t="s">
        <v>6</v>
      </c>
      <c r="B21" s="435">
        <f>SUM(B12:B20)</f>
        <v>65285191.739999995</v>
      </c>
      <c r="C21" s="435">
        <f t="shared" ref="C21:G21" si="3">SUM(C12:C20)</f>
        <v>2318393.38</v>
      </c>
      <c r="D21" s="435">
        <f t="shared" si="3"/>
        <v>-178761.82</v>
      </c>
      <c r="E21" s="435">
        <f t="shared" si="3"/>
        <v>0</v>
      </c>
      <c r="F21" s="435">
        <f>SUM(F12:F20)</f>
        <v>2139631.56</v>
      </c>
      <c r="G21" s="435">
        <f t="shared" si="3"/>
        <v>67424823.300000012</v>
      </c>
      <c r="I21" s="666">
        <v>67424823.300000012</v>
      </c>
      <c r="J21" s="442">
        <f>I21-G21</f>
        <v>0</v>
      </c>
    </row>
    <row r="22" spans="1:10" ht="13.5" thickTop="1" x14ac:dyDescent="0.2">
      <c r="B22" s="441"/>
      <c r="C22" s="439"/>
      <c r="D22" s="439"/>
      <c r="E22" s="439"/>
      <c r="F22" s="439"/>
      <c r="G22" s="439"/>
      <c r="H22" s="356"/>
      <c r="I22" s="356"/>
    </row>
    <row r="23" spans="1:10" x14ac:dyDescent="0.2">
      <c r="B23" s="359"/>
    </row>
    <row r="24" spans="1:10" x14ac:dyDescent="0.2">
      <c r="A24" s="438" t="s">
        <v>1012</v>
      </c>
      <c r="B24" s="441"/>
      <c r="C24" s="356"/>
    </row>
    <row r="25" spans="1:10" x14ac:dyDescent="0.2">
      <c r="A25" s="430" t="s">
        <v>923</v>
      </c>
      <c r="B25" s="359"/>
      <c r="C25" s="430"/>
    </row>
    <row r="26" spans="1:10" x14ac:dyDescent="0.2">
      <c r="A26" s="443" t="s">
        <v>915</v>
      </c>
      <c r="B26" s="359"/>
      <c r="C26" s="353"/>
    </row>
    <row r="27" spans="1:10" x14ac:dyDescent="0.2">
      <c r="A27" s="444" t="s">
        <v>916</v>
      </c>
      <c r="B27" s="359"/>
      <c r="C27" s="353"/>
    </row>
    <row r="28" spans="1:10" x14ac:dyDescent="0.2">
      <c r="A28" s="443" t="s">
        <v>917</v>
      </c>
      <c r="B28" s="359"/>
      <c r="C28" s="353"/>
    </row>
    <row r="29" spans="1:10" x14ac:dyDescent="0.2">
      <c r="A29" s="430"/>
      <c r="B29" s="359"/>
      <c r="C29" s="353"/>
    </row>
    <row r="30" spans="1:10" ht="15.75" x14ac:dyDescent="0.25">
      <c r="A30" s="432" t="s">
        <v>833</v>
      </c>
      <c r="C30" s="358"/>
      <c r="D30" s="358"/>
      <c r="E30" s="358"/>
    </row>
    <row r="31" spans="1:10" x14ac:dyDescent="0.2">
      <c r="B31" s="354" t="s">
        <v>813</v>
      </c>
      <c r="C31" s="355"/>
      <c r="D31" s="355"/>
      <c r="E31" s="354" t="s">
        <v>814</v>
      </c>
      <c r="F31" s="355"/>
      <c r="G31" s="354" t="s">
        <v>815</v>
      </c>
      <c r="I31" s="354" t="s">
        <v>921</v>
      </c>
    </row>
    <row r="32" spans="1:10" ht="15" x14ac:dyDescent="0.35">
      <c r="A32" s="356"/>
      <c r="B32" s="431" t="s">
        <v>816</v>
      </c>
      <c r="C32" s="431" t="s">
        <v>817</v>
      </c>
      <c r="D32" s="431" t="s">
        <v>818</v>
      </c>
      <c r="E32" s="431" t="s">
        <v>819</v>
      </c>
      <c r="F32" s="431" t="s">
        <v>820</v>
      </c>
      <c r="G32" s="431" t="s">
        <v>816</v>
      </c>
      <c r="H32" s="356"/>
      <c r="I32" s="431" t="s">
        <v>920</v>
      </c>
      <c r="J32" s="431" t="s">
        <v>922</v>
      </c>
    </row>
    <row r="33" spans="1:10" x14ac:dyDescent="0.2">
      <c r="A33" s="353" t="s">
        <v>824</v>
      </c>
      <c r="B33" s="664">
        <v>280370.75</v>
      </c>
      <c r="C33" s="665">
        <v>0</v>
      </c>
      <c r="D33" s="665">
        <v>0</v>
      </c>
      <c r="E33" s="665">
        <v>0</v>
      </c>
      <c r="F33" s="352">
        <f t="shared" ref="F33:F41" si="4">SUM(C33:E33)</f>
        <v>0</v>
      </c>
      <c r="G33" s="352">
        <f t="shared" ref="G33:G41" si="5">B33+F33</f>
        <v>280370.75</v>
      </c>
    </row>
    <row r="34" spans="1:10" x14ac:dyDescent="0.2">
      <c r="A34" s="353" t="s">
        <v>825</v>
      </c>
      <c r="B34" s="664">
        <v>0</v>
      </c>
      <c r="C34" s="665">
        <v>0</v>
      </c>
      <c r="D34" s="665">
        <v>0</v>
      </c>
      <c r="E34" s="665">
        <v>0</v>
      </c>
      <c r="F34" s="352">
        <f t="shared" si="4"/>
        <v>0</v>
      </c>
      <c r="G34" s="352">
        <f t="shared" si="5"/>
        <v>0</v>
      </c>
    </row>
    <row r="35" spans="1:10" x14ac:dyDescent="0.2">
      <c r="A35" s="353" t="s">
        <v>826</v>
      </c>
      <c r="B35" s="664">
        <v>0</v>
      </c>
      <c r="C35" s="665">
        <v>0</v>
      </c>
      <c r="D35" s="665">
        <v>0</v>
      </c>
      <c r="E35" s="665">
        <v>0</v>
      </c>
      <c r="F35" s="352">
        <f t="shared" si="4"/>
        <v>0</v>
      </c>
      <c r="G35" s="352">
        <f t="shared" si="5"/>
        <v>0</v>
      </c>
    </row>
    <row r="36" spans="1:10" x14ac:dyDescent="0.2">
      <c r="A36" s="353" t="s">
        <v>827</v>
      </c>
      <c r="B36" s="663">
        <v>0</v>
      </c>
      <c r="C36" s="665">
        <v>0</v>
      </c>
      <c r="D36" s="665">
        <v>0</v>
      </c>
      <c r="E36" s="665">
        <v>0</v>
      </c>
      <c r="F36" s="352">
        <f t="shared" si="4"/>
        <v>0</v>
      </c>
      <c r="G36" s="352">
        <f t="shared" si="5"/>
        <v>0</v>
      </c>
    </row>
    <row r="37" spans="1:10" x14ac:dyDescent="0.2">
      <c r="A37" s="353" t="s">
        <v>828</v>
      </c>
      <c r="B37" s="663">
        <v>4769322.87</v>
      </c>
      <c r="C37" s="665">
        <v>0</v>
      </c>
      <c r="D37" s="665">
        <v>0</v>
      </c>
      <c r="E37" s="665">
        <v>0</v>
      </c>
      <c r="F37" s="352">
        <f t="shared" si="4"/>
        <v>0</v>
      </c>
      <c r="G37" s="352">
        <f t="shared" si="5"/>
        <v>4769322.87</v>
      </c>
    </row>
    <row r="38" spans="1:10" x14ac:dyDescent="0.2">
      <c r="A38" s="353" t="s">
        <v>829</v>
      </c>
      <c r="B38" s="663">
        <v>51357.98</v>
      </c>
      <c r="C38" s="665">
        <v>0</v>
      </c>
      <c r="D38" s="665">
        <v>0</v>
      </c>
      <c r="E38" s="665">
        <v>0</v>
      </c>
      <c r="F38" s="352">
        <f t="shared" si="4"/>
        <v>0</v>
      </c>
      <c r="G38" s="352">
        <f t="shared" si="5"/>
        <v>51357.98</v>
      </c>
    </row>
    <row r="39" spans="1:10" x14ac:dyDescent="0.2">
      <c r="A39" s="353" t="s">
        <v>830</v>
      </c>
      <c r="B39" s="663">
        <v>3129377.81</v>
      </c>
      <c r="C39" s="665">
        <v>0</v>
      </c>
      <c r="D39" s="665">
        <v>0</v>
      </c>
      <c r="E39" s="665">
        <v>0</v>
      </c>
      <c r="F39" s="352">
        <f t="shared" si="4"/>
        <v>0</v>
      </c>
      <c r="G39" s="352">
        <f t="shared" si="5"/>
        <v>3129377.81</v>
      </c>
    </row>
    <row r="40" spans="1:10" x14ac:dyDescent="0.2">
      <c r="A40" s="353" t="s">
        <v>831</v>
      </c>
      <c r="B40" s="663">
        <v>0</v>
      </c>
      <c r="C40" s="665">
        <v>0</v>
      </c>
      <c r="D40" s="665">
        <v>0</v>
      </c>
      <c r="E40" s="665">
        <v>0</v>
      </c>
      <c r="F40" s="352">
        <f t="shared" si="4"/>
        <v>0</v>
      </c>
      <c r="G40" s="352">
        <f t="shared" si="5"/>
        <v>0</v>
      </c>
    </row>
    <row r="41" spans="1:10" x14ac:dyDescent="0.2">
      <c r="A41" s="353" t="s">
        <v>832</v>
      </c>
      <c r="B41" s="663">
        <v>0</v>
      </c>
      <c r="C41" s="665">
        <v>0</v>
      </c>
      <c r="D41" s="665">
        <v>0</v>
      </c>
      <c r="E41" s="665">
        <v>0</v>
      </c>
      <c r="F41" s="352">
        <f t="shared" si="4"/>
        <v>0</v>
      </c>
      <c r="G41" s="352">
        <f t="shared" si="5"/>
        <v>0</v>
      </c>
    </row>
    <row r="42" spans="1:10" ht="13.5" thickBot="1" x14ac:dyDescent="0.25">
      <c r="A42" s="446" t="s">
        <v>6</v>
      </c>
      <c r="B42" s="436">
        <f t="shared" ref="B42:G42" si="6">SUM(B33:B41)</f>
        <v>8230429.4100000001</v>
      </c>
      <c r="C42" s="436">
        <f t="shared" si="6"/>
        <v>0</v>
      </c>
      <c r="D42" s="436">
        <f t="shared" si="6"/>
        <v>0</v>
      </c>
      <c r="E42" s="436">
        <f t="shared" si="6"/>
        <v>0</v>
      </c>
      <c r="F42" s="436">
        <f t="shared" si="6"/>
        <v>0</v>
      </c>
      <c r="G42" s="436">
        <f t="shared" si="6"/>
        <v>8230429.4100000001</v>
      </c>
      <c r="I42" s="666">
        <v>8230429.4099999992</v>
      </c>
      <c r="J42" s="442">
        <f>I42-G42</f>
        <v>0</v>
      </c>
    </row>
    <row r="43" spans="1:10" ht="13.5" thickTop="1" x14ac:dyDescent="0.2"/>
    <row r="44" spans="1:10" x14ac:dyDescent="0.2">
      <c r="B44" s="359"/>
    </row>
    <row r="45" spans="1:10" x14ac:dyDescent="0.2">
      <c r="A45" s="429" t="s">
        <v>924</v>
      </c>
    </row>
    <row r="46" spans="1:10" s="362" customFormat="1" x14ac:dyDescent="0.2">
      <c r="A46" s="445" t="s">
        <v>918</v>
      </c>
      <c r="B46" s="361"/>
      <c r="C46" s="361"/>
      <c r="D46" s="361"/>
      <c r="E46" s="361"/>
      <c r="F46" s="361"/>
      <c r="G46" s="361"/>
      <c r="H46" s="361"/>
    </row>
    <row r="48" spans="1:10" ht="15.75" x14ac:dyDescent="0.25">
      <c r="A48" s="432" t="s">
        <v>834</v>
      </c>
      <c r="C48" s="358"/>
      <c r="D48" s="358"/>
      <c r="E48" s="358"/>
    </row>
    <row r="49" spans="1:8" x14ac:dyDescent="0.2">
      <c r="B49" s="354" t="s">
        <v>813</v>
      </c>
      <c r="C49" s="355"/>
      <c r="D49" s="355"/>
      <c r="E49" s="354" t="s">
        <v>814</v>
      </c>
      <c r="F49" s="355"/>
      <c r="G49" s="354" t="s">
        <v>815</v>
      </c>
    </row>
    <row r="50" spans="1:8" ht="15" x14ac:dyDescent="0.35">
      <c r="A50" s="356"/>
      <c r="B50" s="431" t="s">
        <v>816</v>
      </c>
      <c r="C50" s="431" t="s">
        <v>817</v>
      </c>
      <c r="D50" s="431" t="s">
        <v>818</v>
      </c>
      <c r="E50" s="431" t="s">
        <v>819</v>
      </c>
      <c r="F50" s="431" t="s">
        <v>820</v>
      </c>
      <c r="G50" s="431" t="s">
        <v>816</v>
      </c>
      <c r="H50" s="356"/>
    </row>
    <row r="51" spans="1:8" x14ac:dyDescent="0.2">
      <c r="A51" s="353" t="s">
        <v>824</v>
      </c>
      <c r="B51" s="352">
        <f t="shared" ref="B51:F59" si="7">B12-B33</f>
        <v>1939104.85</v>
      </c>
      <c r="C51" s="352">
        <f t="shared" si="7"/>
        <v>22205.8</v>
      </c>
      <c r="D51" s="352">
        <f t="shared" si="7"/>
        <v>0</v>
      </c>
      <c r="E51" s="352">
        <f t="shared" si="7"/>
        <v>0</v>
      </c>
      <c r="F51" s="352">
        <f t="shared" si="7"/>
        <v>22205.8</v>
      </c>
      <c r="G51" s="352">
        <f t="shared" ref="G51:G59" si="8">B51+F51</f>
        <v>1961310.6500000001</v>
      </c>
    </row>
    <row r="52" spans="1:8" x14ac:dyDescent="0.2">
      <c r="A52" s="353" t="s">
        <v>825</v>
      </c>
      <c r="B52" s="352">
        <f t="shared" si="7"/>
        <v>45700.5</v>
      </c>
      <c r="C52" s="352">
        <f t="shared" si="7"/>
        <v>0</v>
      </c>
      <c r="D52" s="352">
        <f t="shared" si="7"/>
        <v>0</v>
      </c>
      <c r="E52" s="352">
        <f t="shared" si="7"/>
        <v>0</v>
      </c>
      <c r="F52" s="352">
        <f t="shared" si="7"/>
        <v>0</v>
      </c>
      <c r="G52" s="352">
        <f t="shared" si="8"/>
        <v>45700.5</v>
      </c>
    </row>
    <row r="53" spans="1:8" x14ac:dyDescent="0.2">
      <c r="A53" s="353" t="s">
        <v>826</v>
      </c>
      <c r="B53" s="352">
        <f t="shared" si="7"/>
        <v>1743198.88</v>
      </c>
      <c r="C53" s="352">
        <f t="shared" si="7"/>
        <v>0</v>
      </c>
      <c r="D53" s="352">
        <f t="shared" si="7"/>
        <v>0</v>
      </c>
      <c r="E53" s="352">
        <f t="shared" si="7"/>
        <v>0</v>
      </c>
      <c r="F53" s="352">
        <f t="shared" si="7"/>
        <v>0</v>
      </c>
      <c r="G53" s="352">
        <f t="shared" si="8"/>
        <v>1743198.88</v>
      </c>
    </row>
    <row r="54" spans="1:8" x14ac:dyDescent="0.2">
      <c r="A54" s="353" t="s">
        <v>827</v>
      </c>
      <c r="B54" s="352">
        <f t="shared" si="7"/>
        <v>22833884.27</v>
      </c>
      <c r="C54" s="352">
        <f t="shared" si="7"/>
        <v>1006358.22</v>
      </c>
      <c r="D54" s="352">
        <f t="shared" si="7"/>
        <v>-97284.84</v>
      </c>
      <c r="E54" s="352">
        <f t="shared" si="7"/>
        <v>0</v>
      </c>
      <c r="F54" s="352">
        <f t="shared" si="7"/>
        <v>909073.38</v>
      </c>
      <c r="G54" s="352">
        <f t="shared" si="8"/>
        <v>23742957.649999999</v>
      </c>
    </row>
    <row r="55" spans="1:8" x14ac:dyDescent="0.2">
      <c r="A55" s="353" t="s">
        <v>828</v>
      </c>
      <c r="B55" s="352">
        <f t="shared" si="7"/>
        <v>2411758.4300000006</v>
      </c>
      <c r="C55" s="352">
        <f t="shared" si="7"/>
        <v>0</v>
      </c>
      <c r="D55" s="352">
        <f t="shared" si="7"/>
        <v>0</v>
      </c>
      <c r="E55" s="352">
        <f t="shared" si="7"/>
        <v>0</v>
      </c>
      <c r="F55" s="352">
        <f t="shared" si="7"/>
        <v>0</v>
      </c>
      <c r="G55" s="352">
        <f t="shared" si="8"/>
        <v>2411758.4300000006</v>
      </c>
    </row>
    <row r="56" spans="1:8" x14ac:dyDescent="0.2">
      <c r="A56" s="353" t="s">
        <v>829</v>
      </c>
      <c r="B56" s="352">
        <f t="shared" si="7"/>
        <v>13284139.029999999</v>
      </c>
      <c r="C56" s="352">
        <f t="shared" si="7"/>
        <v>168858.74</v>
      </c>
      <c r="D56" s="352">
        <f t="shared" si="7"/>
        <v>-24511.32</v>
      </c>
      <c r="E56" s="352">
        <f t="shared" si="7"/>
        <v>0</v>
      </c>
      <c r="F56" s="352">
        <f t="shared" si="7"/>
        <v>144347.41999999998</v>
      </c>
      <c r="G56" s="352">
        <f t="shared" si="8"/>
        <v>13428486.449999999</v>
      </c>
    </row>
    <row r="57" spans="1:8" x14ac:dyDescent="0.2">
      <c r="A57" s="353" t="s">
        <v>830</v>
      </c>
      <c r="B57" s="352">
        <f t="shared" si="7"/>
        <v>14796976.369999999</v>
      </c>
      <c r="C57" s="352">
        <f t="shared" si="7"/>
        <v>1120970.6199999999</v>
      </c>
      <c r="D57" s="352">
        <f t="shared" si="7"/>
        <v>-56965.66</v>
      </c>
      <c r="E57" s="352">
        <f t="shared" si="7"/>
        <v>0</v>
      </c>
      <c r="F57" s="352">
        <f t="shared" si="7"/>
        <v>1064004.96</v>
      </c>
      <c r="G57" s="352">
        <f t="shared" si="8"/>
        <v>15860981.329999998</v>
      </c>
    </row>
    <row r="58" spans="1:8" x14ac:dyDescent="0.2">
      <c r="A58" s="353" t="s">
        <v>831</v>
      </c>
      <c r="B58" s="352">
        <f t="shared" si="7"/>
        <v>0</v>
      </c>
      <c r="C58" s="352">
        <f t="shared" si="7"/>
        <v>0</v>
      </c>
      <c r="D58" s="352">
        <f t="shared" si="7"/>
        <v>0</v>
      </c>
      <c r="E58" s="352">
        <f t="shared" si="7"/>
        <v>0</v>
      </c>
      <c r="F58" s="352">
        <f t="shared" si="7"/>
        <v>0</v>
      </c>
      <c r="G58" s="352">
        <f t="shared" si="8"/>
        <v>0</v>
      </c>
    </row>
    <row r="59" spans="1:8" x14ac:dyDescent="0.2">
      <c r="A59" s="353" t="s">
        <v>832</v>
      </c>
      <c r="B59" s="352">
        <f t="shared" si="7"/>
        <v>0</v>
      </c>
      <c r="C59" s="352">
        <f t="shared" si="7"/>
        <v>0</v>
      </c>
      <c r="D59" s="352">
        <f t="shared" si="7"/>
        <v>0</v>
      </c>
      <c r="E59" s="352">
        <f t="shared" si="7"/>
        <v>0</v>
      </c>
      <c r="F59" s="352">
        <f t="shared" si="7"/>
        <v>0</v>
      </c>
      <c r="G59" s="352">
        <f t="shared" si="8"/>
        <v>0</v>
      </c>
    </row>
    <row r="60" spans="1:8" ht="13.5" thickBot="1" x14ac:dyDescent="0.25">
      <c r="A60" s="446" t="s">
        <v>6</v>
      </c>
      <c r="B60" s="436">
        <f>SUM(B51:B59)</f>
        <v>57054762.329999998</v>
      </c>
      <c r="C60" s="436">
        <f t="shared" ref="C60:F60" si="9">SUM(C51:C59)</f>
        <v>2318393.38</v>
      </c>
      <c r="D60" s="436">
        <f t="shared" si="9"/>
        <v>-178761.82</v>
      </c>
      <c r="E60" s="436">
        <f t="shared" si="9"/>
        <v>0</v>
      </c>
      <c r="F60" s="436">
        <f t="shared" si="9"/>
        <v>2139631.56</v>
      </c>
      <c r="G60" s="436">
        <f>SUM(G51:G59)</f>
        <v>59194393.890000001</v>
      </c>
    </row>
    <row r="61" spans="1:8" ht="13.5" thickTop="1" x14ac:dyDescent="0.2">
      <c r="F61" s="411" t="s">
        <v>906</v>
      </c>
      <c r="G61" s="412" t="str">
        <f>IF(ROUND(G60,0)='NITS Pg 4 of 5'!J12,"ok","err on NITS pg 4")</f>
        <v>ok</v>
      </c>
    </row>
    <row r="62" spans="1:8" x14ac:dyDescent="0.2">
      <c r="F62" s="411" t="s">
        <v>907</v>
      </c>
      <c r="G62" s="412" t="str">
        <f>IF(ROUND(G60,0)='PTP Pg 4 of 5'!J12,"ok","err on PTP pg 4")</f>
        <v>ok</v>
      </c>
    </row>
    <row r="63" spans="1:8" x14ac:dyDescent="0.2">
      <c r="B63" s="359"/>
    </row>
    <row r="64" spans="1:8" s="362" customFormat="1" x14ac:dyDescent="0.2">
      <c r="A64" s="363"/>
      <c r="B64" s="361"/>
      <c r="C64" s="361"/>
      <c r="D64" s="361"/>
      <c r="E64" s="361"/>
      <c r="F64" s="361"/>
      <c r="G64" s="361"/>
      <c r="H64" s="361"/>
    </row>
    <row r="65" spans="1:8" s="362" customFormat="1" x14ac:dyDescent="0.2">
      <c r="A65" s="360"/>
      <c r="B65" s="361"/>
      <c r="C65" s="361"/>
      <c r="D65" s="361"/>
      <c r="E65" s="361"/>
      <c r="F65" s="361"/>
      <c r="G65" s="361"/>
      <c r="H65" s="361"/>
    </row>
    <row r="66" spans="1:8" s="362" customFormat="1" x14ac:dyDescent="0.2">
      <c r="A66" s="364"/>
      <c r="B66" s="361"/>
      <c r="C66" s="361"/>
      <c r="D66" s="361"/>
      <c r="E66" s="361"/>
      <c r="F66" s="361"/>
      <c r="G66" s="361"/>
      <c r="H66" s="361"/>
    </row>
    <row r="67" spans="1:8" s="362" customFormat="1" x14ac:dyDescent="0.2">
      <c r="A67" s="365"/>
      <c r="B67" s="366"/>
      <c r="C67" s="366"/>
      <c r="D67" s="366"/>
      <c r="E67" s="366"/>
      <c r="F67" s="366"/>
      <c r="G67" s="366"/>
      <c r="H67" s="366"/>
    </row>
    <row r="68" spans="1:8" s="362" customFormat="1" x14ac:dyDescent="0.2">
      <c r="A68" s="365"/>
      <c r="B68" s="367"/>
      <c r="C68" s="367"/>
      <c r="D68" s="367"/>
      <c r="E68" s="367"/>
      <c r="F68" s="368"/>
      <c r="G68" s="367"/>
    </row>
    <row r="69" spans="1:8" s="362" customFormat="1" x14ac:dyDescent="0.2">
      <c r="A69" s="365"/>
      <c r="B69" s="366"/>
      <c r="C69" s="366"/>
      <c r="D69" s="366"/>
      <c r="E69" s="366"/>
      <c r="F69" s="368"/>
      <c r="G69" s="366"/>
    </row>
    <row r="70" spans="1:8" s="362" customFormat="1" x14ac:dyDescent="0.2">
      <c r="A70" s="369"/>
      <c r="B70" s="366"/>
      <c r="C70" s="366"/>
      <c r="D70" s="366"/>
      <c r="E70" s="366"/>
      <c r="F70" s="368"/>
      <c r="G70" s="366"/>
    </row>
    <row r="71" spans="1:8" s="362" customFormat="1" x14ac:dyDescent="0.2">
      <c r="A71" s="365"/>
      <c r="B71" s="366"/>
      <c r="C71" s="366"/>
      <c r="D71" s="366"/>
      <c r="E71" s="366"/>
      <c r="F71" s="368"/>
      <c r="G71" s="366"/>
    </row>
    <row r="72" spans="1:8" s="362" customFormat="1" x14ac:dyDescent="0.2">
      <c r="A72" s="365"/>
      <c r="B72" s="366"/>
      <c r="C72" s="366"/>
      <c r="D72" s="366"/>
      <c r="E72" s="366"/>
      <c r="F72" s="368"/>
      <c r="G72" s="366"/>
    </row>
    <row r="73" spans="1:8" s="362" customFormat="1" x14ac:dyDescent="0.2">
      <c r="A73" s="365"/>
      <c r="B73" s="366"/>
      <c r="C73" s="366"/>
      <c r="D73" s="366"/>
      <c r="E73" s="366"/>
      <c r="F73" s="368"/>
      <c r="G73" s="366"/>
    </row>
    <row r="74" spans="1:8" s="362" customFormat="1" x14ac:dyDescent="0.2">
      <c r="A74" s="365"/>
      <c r="B74" s="366"/>
      <c r="C74" s="366"/>
      <c r="D74" s="366"/>
      <c r="E74" s="366"/>
      <c r="F74" s="368"/>
      <c r="G74" s="366"/>
    </row>
    <row r="75" spans="1:8" s="362" customFormat="1" x14ac:dyDescent="0.2">
      <c r="A75" s="365"/>
      <c r="B75" s="366"/>
      <c r="C75" s="366"/>
      <c r="D75" s="366"/>
      <c r="E75" s="366"/>
      <c r="F75" s="368"/>
      <c r="G75" s="366"/>
    </row>
    <row r="76" spans="1:8" s="362" customFormat="1" x14ac:dyDescent="0.2">
      <c r="A76" s="365"/>
      <c r="B76" s="366"/>
      <c r="C76" s="366"/>
      <c r="D76" s="366"/>
      <c r="E76" s="366"/>
      <c r="F76" s="368"/>
      <c r="G76" s="366"/>
    </row>
    <row r="77" spans="1:8" s="362" customFormat="1" x14ac:dyDescent="0.2">
      <c r="A77" s="365"/>
      <c r="B77" s="366"/>
      <c r="C77" s="366"/>
      <c r="D77" s="366"/>
      <c r="E77" s="366"/>
      <c r="F77" s="368"/>
      <c r="G77" s="366"/>
    </row>
    <row r="78" spans="1:8" s="362" customFormat="1" x14ac:dyDescent="0.2">
      <c r="A78" s="365"/>
      <c r="B78" s="366"/>
      <c r="C78" s="366"/>
      <c r="D78" s="366"/>
      <c r="E78" s="366"/>
      <c r="F78" s="368"/>
      <c r="G78" s="366"/>
    </row>
    <row r="79" spans="1:8" s="362" customFormat="1" x14ac:dyDescent="0.2">
      <c r="A79" s="365"/>
      <c r="B79" s="366"/>
      <c r="C79" s="366"/>
      <c r="D79" s="366"/>
      <c r="E79" s="366"/>
      <c r="F79" s="368"/>
      <c r="G79" s="366"/>
    </row>
    <row r="80" spans="1:8" s="362" customFormat="1" x14ac:dyDescent="0.2">
      <c r="A80" s="365"/>
      <c r="B80" s="366"/>
      <c r="C80" s="366"/>
      <c r="D80" s="366"/>
      <c r="E80" s="366"/>
      <c r="F80" s="368"/>
      <c r="G80" s="366"/>
    </row>
    <row r="81" spans="1:8" s="362" customFormat="1" x14ac:dyDescent="0.2">
      <c r="A81" s="365"/>
      <c r="B81" s="366"/>
      <c r="C81" s="366"/>
      <c r="D81" s="366"/>
      <c r="E81" s="366"/>
      <c r="F81" s="368"/>
      <c r="G81" s="366"/>
    </row>
    <row r="82" spans="1:8" s="362" customFormat="1" x14ac:dyDescent="0.2">
      <c r="A82" s="365"/>
      <c r="B82" s="366"/>
      <c r="C82" s="366"/>
      <c r="D82" s="366"/>
      <c r="E82" s="366"/>
      <c r="F82" s="368"/>
      <c r="G82" s="366"/>
    </row>
    <row r="83" spans="1:8" s="362" customFormat="1" x14ac:dyDescent="0.2">
      <c r="A83" s="365"/>
      <c r="B83" s="366"/>
      <c r="C83" s="366"/>
      <c r="D83" s="366"/>
      <c r="E83" s="366"/>
      <c r="F83" s="368"/>
      <c r="G83" s="366"/>
    </row>
    <row r="84" spans="1:8" s="362" customFormat="1" x14ac:dyDescent="0.2">
      <c r="A84" s="365"/>
      <c r="B84" s="366"/>
      <c r="C84" s="366"/>
      <c r="D84" s="366"/>
      <c r="E84" s="366"/>
      <c r="F84" s="368"/>
      <c r="G84" s="366"/>
    </row>
    <row r="85" spans="1:8" s="362" customFormat="1" x14ac:dyDescent="0.2">
      <c r="A85" s="365"/>
      <c r="B85" s="366"/>
      <c r="C85" s="366"/>
      <c r="D85" s="366"/>
      <c r="E85" s="366"/>
      <c r="F85" s="368"/>
      <c r="G85" s="366"/>
    </row>
    <row r="86" spans="1:8" s="362" customFormat="1" x14ac:dyDescent="0.2">
      <c r="A86" s="365"/>
      <c r="B86" s="366"/>
      <c r="C86" s="366"/>
      <c r="D86" s="366"/>
      <c r="E86" s="366"/>
      <c r="F86" s="368"/>
      <c r="G86" s="366"/>
    </row>
    <row r="87" spans="1:8" s="362" customFormat="1" x14ac:dyDescent="0.2">
      <c r="A87" s="365"/>
      <c r="B87" s="366"/>
      <c r="C87" s="366"/>
      <c r="D87" s="366"/>
      <c r="E87" s="366"/>
      <c r="F87" s="368"/>
      <c r="G87" s="366"/>
    </row>
    <row r="88" spans="1:8" s="362" customFormat="1" x14ac:dyDescent="0.2">
      <c r="A88" s="365"/>
      <c r="B88" s="366"/>
      <c r="C88" s="366"/>
      <c r="D88" s="366"/>
      <c r="E88" s="366"/>
      <c r="F88" s="368"/>
      <c r="G88" s="366"/>
    </row>
    <row r="89" spans="1:8" s="362" customFormat="1" x14ac:dyDescent="0.2">
      <c r="A89" s="365"/>
      <c r="B89" s="366"/>
      <c r="C89" s="366"/>
      <c r="D89" s="366"/>
      <c r="E89" s="366"/>
      <c r="F89" s="368"/>
      <c r="G89" s="366"/>
    </row>
    <row r="90" spans="1:8" s="362" customFormat="1" x14ac:dyDescent="0.2">
      <c r="A90" s="365"/>
      <c r="B90" s="366"/>
      <c r="C90" s="366"/>
      <c r="D90" s="366"/>
      <c r="E90" s="366"/>
      <c r="F90" s="368"/>
      <c r="G90" s="366"/>
    </row>
    <row r="91" spans="1:8" s="362" customFormat="1" x14ac:dyDescent="0.2">
      <c r="A91" s="365"/>
      <c r="B91" s="366"/>
      <c r="C91" s="366"/>
      <c r="D91" s="366"/>
      <c r="E91" s="366"/>
      <c r="F91" s="366"/>
      <c r="G91" s="366"/>
      <c r="H91" s="366"/>
    </row>
  </sheetData>
  <printOptions headings="1"/>
  <pageMargins left="0.7" right="0.7" top="0.75" bottom="0.75" header="0.3" footer="0.3"/>
  <pageSetup scale="57" orientation="landscape" r:id="rId1"/>
  <headerFooter>
    <oddFooter>&amp;L&amp;Z&amp;F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B26" sqref="B26"/>
    </sheetView>
  </sheetViews>
  <sheetFormatPr defaultRowHeight="12.75" x14ac:dyDescent="0.2"/>
  <cols>
    <col min="1" max="1" width="25.33203125" bestFit="1" customWidth="1"/>
    <col min="2" max="2" width="25.83203125" bestFit="1" customWidth="1"/>
    <col min="3" max="3" width="28" bestFit="1" customWidth="1"/>
    <col min="4" max="4" width="20.83203125" customWidth="1"/>
  </cols>
  <sheetData>
    <row r="1" spans="1:4" ht="45" x14ac:dyDescent="0.2">
      <c r="A1" s="345" t="s">
        <v>835</v>
      </c>
      <c r="B1" s="346" t="s">
        <v>836</v>
      </c>
      <c r="C1" s="373" t="str">
        <f>TEXT(EOMONTH('OATT Input Data'!$B$4,5)+1,"mmmm d, yyyy")&amp;" Point to Point"</f>
        <v>June 1, 2019 Point to Point</v>
      </c>
      <c r="D1" s="373" t="str">
        <f>TEXT(EOMONTH('OATT Input Data'!$B$4,5)+1,"mmmm d, yyyy")&amp;" NITS"</f>
        <v>June 1, 2019 NITS</v>
      </c>
    </row>
    <row r="2" spans="1:4" ht="21.75" x14ac:dyDescent="0.2">
      <c r="A2" s="347" t="s">
        <v>837</v>
      </c>
      <c r="B2" s="348" t="s">
        <v>838</v>
      </c>
      <c r="C2" s="351">
        <f>'PTP Pg 1 of 5'!$E$38</f>
        <v>5.875</v>
      </c>
      <c r="D2" s="350" t="s">
        <v>866</v>
      </c>
    </row>
    <row r="3" spans="1:4" ht="21.75" x14ac:dyDescent="0.2">
      <c r="A3" s="347" t="s">
        <v>839</v>
      </c>
      <c r="B3" s="348" t="s">
        <v>838</v>
      </c>
      <c r="C3" s="351">
        <f>'PTP Pg 1 of 5'!$J$38</f>
        <v>2.7919999999999998</v>
      </c>
      <c r="D3" s="350" t="s">
        <v>866</v>
      </c>
    </row>
    <row r="4" spans="1:4" ht="21.75" x14ac:dyDescent="0.2">
      <c r="A4" s="347" t="s">
        <v>840</v>
      </c>
      <c r="B4" s="348" t="s">
        <v>841</v>
      </c>
      <c r="C4" s="349">
        <f>'PTP Pg 1 of 5'!$E$37*1000</f>
        <v>94</v>
      </c>
      <c r="D4" s="350" t="s">
        <v>866</v>
      </c>
    </row>
    <row r="5" spans="1:4" ht="21.75" x14ac:dyDescent="0.2">
      <c r="A5" s="347" t="s">
        <v>842</v>
      </c>
      <c r="B5" s="348" t="s">
        <v>841</v>
      </c>
      <c r="C5" s="349">
        <f>'PTP Pg 1 of 5'!$J$37*1000</f>
        <v>67</v>
      </c>
      <c r="D5" s="350" t="s">
        <v>866</v>
      </c>
    </row>
    <row r="6" spans="1:4" ht="21.75" x14ac:dyDescent="0.2">
      <c r="A6" s="347" t="s">
        <v>843</v>
      </c>
      <c r="B6" s="348" t="s">
        <v>844</v>
      </c>
      <c r="C6" s="350">
        <f>'PTP Pg 1 of 5'!$E$36*1000</f>
        <v>470</v>
      </c>
      <c r="D6" s="350" t="s">
        <v>866</v>
      </c>
    </row>
    <row r="7" spans="1:4" ht="21.75" x14ac:dyDescent="0.2">
      <c r="A7" s="347" t="s">
        <v>845</v>
      </c>
      <c r="B7" s="348" t="s">
        <v>846</v>
      </c>
      <c r="C7" s="350">
        <f>'PTP Pg 1 of 5'!$E$33*1000</f>
        <v>2036</v>
      </c>
      <c r="D7" s="350">
        <f>'NITS Pg 1 of 5'!$E$33*1000</f>
        <v>2064.1666666666665</v>
      </c>
    </row>
    <row r="8" spans="1:4" ht="21.75" x14ac:dyDescent="0.2">
      <c r="A8" s="347" t="s">
        <v>847</v>
      </c>
      <c r="B8" s="348" t="s">
        <v>848</v>
      </c>
      <c r="C8" s="351">
        <f>'Sch 1'!D32/8760*1000</f>
        <v>0.10468036529680365</v>
      </c>
      <c r="D8" s="351">
        <f>C8</f>
        <v>0.10468036529680365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344"/>
  <sheetViews>
    <sheetView topLeftCell="A4" zoomScaleNormal="100" workbookViewId="0">
      <selection activeCell="J24" sqref="J24"/>
    </sheetView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6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35"/>
      <c r="N1" s="4"/>
      <c r="O1" s="4"/>
      <c r="P1" s="4"/>
    </row>
    <row r="2" spans="1:16" x14ac:dyDescent="0.25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6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12/31/2018</v>
      </c>
      <c r="L4" s="4"/>
      <c r="M4" s="4"/>
      <c r="N4" s="4"/>
      <c r="O4" s="5"/>
      <c r="P4" s="4"/>
    </row>
    <row r="5" spans="1:16" x14ac:dyDescent="0.25">
      <c r="A5" s="272" t="s">
        <v>187</v>
      </c>
      <c r="B5" s="251"/>
      <c r="C5" s="2"/>
      <c r="E5" s="2"/>
      <c r="F5" s="2"/>
      <c r="G5" s="2"/>
      <c r="H5" s="2"/>
      <c r="I5" s="2"/>
      <c r="J5" s="238" t="s">
        <v>382</v>
      </c>
      <c r="L5" s="251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44" t="s">
        <v>409</v>
      </c>
      <c r="E11" s="12"/>
      <c r="F11" s="4"/>
      <c r="G11" s="4"/>
      <c r="H11" s="4"/>
      <c r="I11" s="4"/>
      <c r="J11" s="549">
        <f>ROUND('NITS Pg 3 of 5'!$J$56,0)</f>
        <v>173432935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45" t="s">
        <v>242</v>
      </c>
      <c r="E13" s="11" t="s">
        <v>6</v>
      </c>
      <c r="F13" s="9"/>
      <c r="G13" s="13" t="s">
        <v>7</v>
      </c>
      <c r="H13" s="13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42" t="s">
        <v>378</v>
      </c>
      <c r="E14" s="550">
        <f>'NITS Pg 4 of 5'!$J$64</f>
        <v>0</v>
      </c>
      <c r="F14" s="9"/>
      <c r="G14" s="9" t="s">
        <v>9</v>
      </c>
      <c r="H14" s="14">
        <f>'NITS Pg 4 of 5'!$J$16</f>
        <v>0.96060000000000001</v>
      </c>
      <c r="I14" s="9"/>
      <c r="J14" s="551">
        <f>ROUND(H14*E14,0)</f>
        <v>0</v>
      </c>
      <c r="K14" s="4"/>
      <c r="L14" s="162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42" t="s">
        <v>379</v>
      </c>
      <c r="E15" s="552">
        <f>'NITS Pg 4 of 5'!$J$68</f>
        <v>6003755</v>
      </c>
      <c r="F15" s="9"/>
      <c r="G15" s="9" t="str">
        <f t="shared" ref="G15:G17" si="0">+G14</f>
        <v>TP</v>
      </c>
      <c r="H15" s="14">
        <f>'NITS Pg 4 of 5'!$J$16</f>
        <v>0.96060000000000001</v>
      </c>
      <c r="I15" s="9"/>
      <c r="J15" s="553">
        <f t="shared" ref="J15:J17" si="1">ROUND(H15*E15,0)</f>
        <v>5767207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5" t="s">
        <v>11</v>
      </c>
      <c r="D16" s="9"/>
      <c r="E16" s="552">
        <v>0</v>
      </c>
      <c r="F16" s="9"/>
      <c r="G16" s="9" t="str">
        <f t="shared" si="0"/>
        <v>TP</v>
      </c>
      <c r="H16" s="14">
        <f>'NITS Pg 4 of 5'!$J$16</f>
        <v>0.96060000000000001</v>
      </c>
      <c r="I16" s="9"/>
      <c r="J16" s="552">
        <f t="shared" si="1"/>
        <v>0</v>
      </c>
      <c r="K16" s="4"/>
      <c r="L16" s="4"/>
      <c r="M16" s="4"/>
      <c r="N16" s="4"/>
      <c r="P16" s="16"/>
    </row>
    <row r="17" spans="1:16" ht="18" x14ac:dyDescent="0.4">
      <c r="A17" s="5">
        <v>5</v>
      </c>
      <c r="C17" s="675" t="s">
        <v>188</v>
      </c>
      <c r="D17" s="676"/>
      <c r="E17" s="552">
        <v>0</v>
      </c>
      <c r="F17" s="9"/>
      <c r="G17" s="9" t="str">
        <f t="shared" si="0"/>
        <v>TP</v>
      </c>
      <c r="H17" s="14">
        <f>'NITS Pg 4 of 5'!$J$16</f>
        <v>0.96060000000000001</v>
      </c>
      <c r="I17" s="9"/>
      <c r="J17" s="554">
        <f t="shared" si="1"/>
        <v>0</v>
      </c>
      <c r="K17" s="313"/>
      <c r="L17" s="4"/>
      <c r="M17" s="4"/>
      <c r="N17" s="594"/>
      <c r="P17" s="16"/>
    </row>
    <row r="18" spans="1:16" ht="15.75" customHeight="1" x14ac:dyDescent="0.25">
      <c r="A18" s="5">
        <v>6</v>
      </c>
      <c r="C18" s="8" t="s">
        <v>128</v>
      </c>
      <c r="D18" s="243" t="s">
        <v>243</v>
      </c>
      <c r="E18" s="18" t="s">
        <v>0</v>
      </c>
      <c r="F18" s="9"/>
      <c r="G18" s="9"/>
      <c r="H18" s="14"/>
      <c r="I18" s="9"/>
      <c r="J18" s="555">
        <f>ROUND(SUM(J14:J17),0)</f>
        <v>5767207</v>
      </c>
      <c r="K18" s="4"/>
      <c r="L18" s="4"/>
      <c r="M18" s="4"/>
      <c r="N18" s="594"/>
      <c r="P18" s="4"/>
    </row>
    <row r="19" spans="1:16" x14ac:dyDescent="0.25">
      <c r="A19" s="5"/>
      <c r="C19" s="2"/>
      <c r="D19" s="4"/>
      <c r="J19" s="9"/>
      <c r="K19" s="4"/>
      <c r="L19" s="4"/>
      <c r="M19" s="4"/>
      <c r="N19" s="594"/>
      <c r="P19" s="4"/>
    </row>
    <row r="20" spans="1:16" ht="18" customHeight="1" x14ac:dyDescent="0.4">
      <c r="A20" s="5">
        <v>7</v>
      </c>
      <c r="C20" s="2" t="s">
        <v>12</v>
      </c>
      <c r="D20" s="243" t="s">
        <v>244</v>
      </c>
      <c r="E20" s="18" t="s">
        <v>0</v>
      </c>
      <c r="F20" s="9"/>
      <c r="G20" s="9"/>
      <c r="H20" s="9"/>
      <c r="I20" s="9"/>
      <c r="J20" s="585">
        <f>J11-J18</f>
        <v>167665728</v>
      </c>
      <c r="K20" s="4"/>
      <c r="L20" s="4"/>
      <c r="M20" s="4"/>
      <c r="N20" s="594"/>
      <c r="P20" s="4"/>
    </row>
    <row r="21" spans="1:16" x14ac:dyDescent="0.25">
      <c r="A21" s="5"/>
      <c r="D21" s="4"/>
      <c r="E21" s="18"/>
      <c r="F21" s="9"/>
      <c r="G21" s="9"/>
      <c r="H21" s="9"/>
      <c r="I21" s="9"/>
      <c r="K21" s="4"/>
      <c r="L21" s="4"/>
      <c r="M21" s="4"/>
      <c r="N21" s="59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594"/>
      <c r="P22" s="4"/>
    </row>
    <row r="23" spans="1:16" x14ac:dyDescent="0.25">
      <c r="A23" s="5">
        <v>8</v>
      </c>
      <c r="C23" s="8" t="s">
        <v>133</v>
      </c>
      <c r="E23" s="12"/>
      <c r="F23" s="243" t="s">
        <v>245</v>
      </c>
      <c r="G23" s="4"/>
      <c r="H23" s="243"/>
      <c r="I23" s="4"/>
      <c r="J23" s="556">
        <f>'OATT Input Data'!$E$25</f>
        <v>5831000</v>
      </c>
      <c r="K23" s="4"/>
      <c r="L23" s="4"/>
      <c r="M23" s="4"/>
      <c r="P23" s="19"/>
    </row>
    <row r="24" spans="1:16" x14ac:dyDescent="0.25">
      <c r="A24" s="5">
        <v>9</v>
      </c>
      <c r="C24" s="8" t="s">
        <v>134</v>
      </c>
      <c r="D24" s="9"/>
      <c r="E24" s="9"/>
      <c r="F24" s="245" t="s">
        <v>246</v>
      </c>
      <c r="G24" s="9"/>
      <c r="H24" s="245"/>
      <c r="I24" s="9"/>
      <c r="J24" s="556">
        <f>'OATT Input Data'!$E$43</f>
        <v>0</v>
      </c>
      <c r="K24" s="4"/>
      <c r="L24" s="4"/>
      <c r="M24" s="4"/>
      <c r="O24" s="4"/>
      <c r="P24" s="4"/>
    </row>
    <row r="25" spans="1:16" x14ac:dyDescent="0.25">
      <c r="A25" s="5">
        <v>10</v>
      </c>
      <c r="C25" s="83" t="s">
        <v>135</v>
      </c>
      <c r="D25" s="4"/>
      <c r="E25" s="4"/>
      <c r="F25" s="242" t="s">
        <v>247</v>
      </c>
      <c r="H25" s="243"/>
      <c r="I25" s="4"/>
      <c r="J25" s="556">
        <f>'OATT Input Data'!$F$61</f>
        <v>756000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43" t="s">
        <v>248</v>
      </c>
      <c r="H26" s="243"/>
      <c r="I26" s="4"/>
      <c r="J26" s="552">
        <f>'OATT Input Data'!$E$79*-1</f>
        <v>0</v>
      </c>
      <c r="K26" s="4"/>
      <c r="L26" s="4"/>
      <c r="M26" s="4"/>
      <c r="O26" s="4"/>
      <c r="P26" s="4"/>
    </row>
    <row r="27" spans="1:16" x14ac:dyDescent="0.25">
      <c r="A27" s="5">
        <v>12</v>
      </c>
      <c r="C27" s="83" t="s">
        <v>137</v>
      </c>
      <c r="D27" s="4"/>
      <c r="E27" s="4"/>
      <c r="F27" s="4"/>
      <c r="G27" s="4"/>
      <c r="H27" s="234"/>
      <c r="I27" s="4"/>
      <c r="J27" s="556">
        <f>'OATT Input Data'!$E$98</f>
        <v>609000</v>
      </c>
      <c r="K27" s="4"/>
      <c r="L27" s="4"/>
      <c r="M27" s="4"/>
      <c r="O27" s="4"/>
      <c r="P27" s="4"/>
    </row>
    <row r="28" spans="1:16" x14ac:dyDescent="0.25">
      <c r="A28" s="5">
        <v>13</v>
      </c>
      <c r="C28" s="83" t="s">
        <v>168</v>
      </c>
      <c r="D28" s="4"/>
      <c r="E28" s="4"/>
      <c r="F28" s="4"/>
      <c r="G28" s="4"/>
      <c r="H28" s="4"/>
      <c r="I28" s="4"/>
      <c r="J28" s="552">
        <v>0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3" t="s">
        <v>189</v>
      </c>
      <c r="D29" s="4"/>
      <c r="E29" s="4"/>
      <c r="F29" s="4"/>
      <c r="G29" s="4"/>
      <c r="H29" s="4"/>
      <c r="I29" s="4"/>
      <c r="J29" s="557">
        <f>'OATT Input Data'!$E$105*-1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43" t="s">
        <v>288</v>
      </c>
      <c r="E30" s="4"/>
      <c r="F30" s="4"/>
      <c r="G30" s="4"/>
      <c r="H30" s="4"/>
      <c r="I30" s="4"/>
      <c r="J30" s="556">
        <f>ROUND(SUM(J23:J29),0)</f>
        <v>6769000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0" t="s">
        <v>14</v>
      </c>
      <c r="D32" s="264" t="s">
        <v>295</v>
      </c>
      <c r="E32" s="265">
        <f>IF(J30&gt;0.01,ROUND(J20/J30,3),0.0001)</f>
        <v>24.77</v>
      </c>
      <c r="F32" s="23"/>
      <c r="G32" s="4"/>
      <c r="H32" s="4"/>
      <c r="I32" s="4"/>
      <c r="K32" s="4"/>
      <c r="L32" s="4"/>
      <c r="M32" s="4"/>
      <c r="N32" s="4"/>
      <c r="O32" s="4"/>
      <c r="P32" s="4"/>
    </row>
    <row r="33" spans="1:16" x14ac:dyDescent="0.25">
      <c r="A33" s="5">
        <v>17</v>
      </c>
      <c r="C33" s="32" t="s">
        <v>301</v>
      </c>
      <c r="D33" s="264" t="s">
        <v>296</v>
      </c>
      <c r="E33" s="265">
        <f>E32/12</f>
        <v>2.0641666666666665</v>
      </c>
      <c r="G33" s="24"/>
      <c r="H33" s="25"/>
      <c r="I33" s="4"/>
      <c r="K33" s="4"/>
      <c r="L33" s="4"/>
      <c r="M33" s="4"/>
      <c r="N33" s="25"/>
      <c r="O33" s="4"/>
      <c r="P33" s="4"/>
    </row>
    <row r="34" spans="1:16" x14ac:dyDescent="0.25">
      <c r="A34" s="5"/>
      <c r="C34" s="32"/>
      <c r="D34" s="264"/>
      <c r="E34" s="265"/>
      <c r="G34" s="24"/>
      <c r="H34" s="25"/>
      <c r="I34" s="4"/>
      <c r="K34" s="4"/>
      <c r="L34" s="4"/>
      <c r="M34" s="4"/>
      <c r="N34" s="25"/>
      <c r="O34" s="4"/>
      <c r="P34" s="4"/>
    </row>
    <row r="35" spans="1:16" x14ac:dyDescent="0.25">
      <c r="A35" s="5"/>
      <c r="C35" s="20"/>
      <c r="D35" s="21"/>
      <c r="E35" s="22"/>
      <c r="F35" s="25"/>
      <c r="G35" s="4"/>
      <c r="H35" s="4"/>
      <c r="I35" s="4"/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15" t="s">
        <v>131</v>
      </c>
      <c r="D36" s="28"/>
      <c r="E36" s="22"/>
      <c r="F36" s="4"/>
      <c r="G36" s="4"/>
      <c r="H36" s="4"/>
      <c r="I36" s="4"/>
      <c r="J36" s="29"/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15" t="s">
        <v>131</v>
      </c>
      <c r="D37" s="28"/>
      <c r="E37" s="22"/>
      <c r="F37" s="4"/>
      <c r="H37" s="4"/>
      <c r="I37" s="4"/>
      <c r="J37" s="29"/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15" t="s">
        <v>131</v>
      </c>
      <c r="D38" s="28"/>
      <c r="E38" s="22"/>
      <c r="F38" s="4"/>
      <c r="H38" s="4"/>
      <c r="I38" s="4"/>
      <c r="J38" s="29"/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8" t="s">
        <v>298</v>
      </c>
      <c r="E40" s="558">
        <v>1E-4</v>
      </c>
      <c r="F40" s="273" t="s">
        <v>16</v>
      </c>
      <c r="G40" s="273"/>
      <c r="H40" s="273"/>
      <c r="I40" s="273"/>
      <c r="J40" s="558">
        <v>1E-4</v>
      </c>
      <c r="K40" s="590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58">
        <v>1E-4</v>
      </c>
      <c r="F41" s="273" t="s">
        <v>17</v>
      </c>
      <c r="G41" s="273"/>
      <c r="H41" s="273"/>
      <c r="I41" s="273"/>
      <c r="J41" s="558">
        <v>1E-4</v>
      </c>
      <c r="K41" s="590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0"/>
      <c r="B43" s="31"/>
      <c r="C43" s="32"/>
      <c r="D43" s="31"/>
      <c r="E43" s="31"/>
      <c r="F43" s="31"/>
      <c r="G43" s="31"/>
      <c r="H43" s="31"/>
      <c r="I43" s="31"/>
      <c r="J43" s="15"/>
      <c r="K43" s="21"/>
      <c r="L43" s="21"/>
      <c r="M43" s="21"/>
      <c r="N43" s="4"/>
      <c r="O43" s="4"/>
      <c r="P43" s="4"/>
    </row>
    <row r="44" spans="1:16" x14ac:dyDescent="0.25">
      <c r="A44" s="30"/>
      <c r="B44" s="31"/>
      <c r="C44" s="32"/>
      <c r="D44" s="21"/>
      <c r="E44" s="21"/>
      <c r="F44" s="21"/>
      <c r="G44" s="21"/>
      <c r="H44" s="21"/>
      <c r="I44" s="21"/>
      <c r="J44" s="33"/>
      <c r="K44" s="21"/>
      <c r="L44" s="21"/>
      <c r="M44" s="21"/>
      <c r="N44" s="4"/>
      <c r="O44" s="4"/>
      <c r="P44" s="4"/>
    </row>
    <row r="45" spans="1:16" x14ac:dyDescent="0.25">
      <c r="A45" s="30"/>
      <c r="B45" s="31"/>
      <c r="C45" s="20"/>
      <c r="D45" s="21"/>
      <c r="E45" s="21"/>
      <c r="F45" s="21"/>
      <c r="G45" s="21"/>
      <c r="H45" s="21"/>
      <c r="I45" s="21"/>
      <c r="J45" s="34"/>
      <c r="K45" s="21"/>
      <c r="L45" s="21"/>
      <c r="M45" s="21"/>
      <c r="N45" s="4"/>
      <c r="O45" s="4"/>
      <c r="P45" s="4"/>
    </row>
    <row r="46" spans="1:16" x14ac:dyDescent="0.25">
      <c r="A46" s="30"/>
      <c r="B46" s="31"/>
      <c r="C46" s="32"/>
      <c r="D46" s="21"/>
      <c r="E46" s="21"/>
      <c r="F46" s="21"/>
      <c r="G46" s="21"/>
      <c r="H46" s="21"/>
      <c r="I46" s="21"/>
      <c r="J46" s="34"/>
      <c r="K46" s="21"/>
      <c r="L46" s="21"/>
      <c r="M46" s="21"/>
      <c r="N46" s="4"/>
      <c r="O46" s="4"/>
      <c r="P46" s="35"/>
    </row>
    <row r="47" spans="1:16" s="31" customFormat="1" x14ac:dyDescent="0.25">
      <c r="A47" s="30"/>
      <c r="C47" s="32"/>
      <c r="D47" s="20"/>
      <c r="E47" s="28"/>
      <c r="F47" s="20"/>
      <c r="G47" s="20"/>
      <c r="H47" s="20"/>
      <c r="I47" s="21"/>
      <c r="J47" s="34"/>
      <c r="K47" s="30"/>
      <c r="L47" s="30"/>
      <c r="M47" s="36"/>
      <c r="N47" s="21"/>
      <c r="O47" s="37"/>
      <c r="P47" s="38"/>
    </row>
    <row r="48" spans="1:16" s="31" customFormat="1" x14ac:dyDescent="0.25">
      <c r="A48" s="30"/>
      <c r="C48" s="32"/>
      <c r="D48" s="21"/>
      <c r="E48" s="21"/>
      <c r="F48" s="21"/>
      <c r="G48" s="21"/>
      <c r="H48" s="21"/>
      <c r="I48" s="21"/>
      <c r="J48" s="34"/>
      <c r="K48" s="36"/>
      <c r="L48" s="36"/>
      <c r="M48" s="36"/>
      <c r="N48" s="21"/>
      <c r="O48" s="21"/>
      <c r="P48" s="39"/>
    </row>
    <row r="49" spans="1:21" s="31" customFormat="1" x14ac:dyDescent="0.25">
      <c r="A49" s="30"/>
      <c r="C49" s="32"/>
      <c r="D49" s="20"/>
      <c r="E49" s="28"/>
      <c r="F49" s="20"/>
      <c r="G49" s="20"/>
      <c r="H49" s="20"/>
      <c r="I49" s="21"/>
      <c r="J49" s="40"/>
      <c r="K49" s="674"/>
      <c r="L49" s="674"/>
      <c r="M49" s="674"/>
      <c r="N49" s="21"/>
      <c r="O49" s="21"/>
      <c r="P49" s="38"/>
    </row>
    <row r="50" spans="1:21" s="31" customFormat="1" x14ac:dyDescent="0.25">
      <c r="A50" s="30"/>
      <c r="C50" s="32"/>
      <c r="D50" s="20"/>
      <c r="E50" s="28"/>
      <c r="F50" s="20"/>
      <c r="G50" s="20"/>
      <c r="H50" s="20"/>
      <c r="I50" s="21"/>
      <c r="J50" s="41"/>
      <c r="K50" s="36"/>
      <c r="L50" s="36"/>
      <c r="M50" s="36"/>
      <c r="N50" s="21"/>
      <c r="O50" s="21"/>
      <c r="P50" s="38"/>
    </row>
    <row r="51" spans="1:21" s="31" customFormat="1" x14ac:dyDescent="0.25">
      <c r="A51" s="30"/>
      <c r="C51" s="32"/>
      <c r="D51" s="20"/>
      <c r="E51" s="28"/>
      <c r="F51" s="20"/>
      <c r="G51" s="20"/>
      <c r="H51" s="20"/>
      <c r="I51" s="21"/>
      <c r="J51" s="34"/>
      <c r="K51" s="36"/>
      <c r="L51" s="36"/>
      <c r="M51" s="36"/>
      <c r="N51" s="21"/>
      <c r="O51" s="21"/>
      <c r="P51" s="38"/>
    </row>
    <row r="52" spans="1:21" s="31" customFormat="1" x14ac:dyDescent="0.25">
      <c r="A52" s="30"/>
      <c r="C52" s="32"/>
      <c r="D52" s="20"/>
      <c r="E52" s="28"/>
      <c r="F52" s="20"/>
      <c r="G52" s="20"/>
      <c r="H52" s="20"/>
      <c r="I52" s="21"/>
      <c r="J52" s="42"/>
      <c r="K52" s="21"/>
      <c r="L52" s="674"/>
      <c r="M52" s="674"/>
      <c r="N52" s="21"/>
      <c r="O52" s="21"/>
      <c r="P52" s="38"/>
    </row>
    <row r="53" spans="1:21" s="31" customFormat="1" x14ac:dyDescent="0.25">
      <c r="C53" s="20"/>
      <c r="D53" s="20"/>
      <c r="E53" s="28"/>
      <c r="F53" s="20"/>
      <c r="G53" s="20"/>
      <c r="H53" s="20"/>
      <c r="I53" s="21"/>
      <c r="J53" s="21"/>
      <c r="K53" s="21"/>
      <c r="L53" s="36"/>
      <c r="M53" s="36"/>
      <c r="N53" s="21"/>
      <c r="O53" s="21"/>
      <c r="P53" s="39"/>
    </row>
    <row r="54" spans="1:21" s="31" customFormat="1" ht="21" x14ac:dyDescent="0.35">
      <c r="A54" s="30"/>
      <c r="C54" s="20"/>
      <c r="D54" s="32"/>
      <c r="E54" s="22"/>
      <c r="F54" s="43"/>
      <c r="G54" s="21"/>
      <c r="H54" s="21"/>
      <c r="I54" s="21"/>
      <c r="K54" s="21"/>
      <c r="L54" s="21"/>
      <c r="M54" s="21"/>
      <c r="N54" s="21"/>
      <c r="O54" s="21"/>
      <c r="P54" s="21"/>
    </row>
    <row r="55" spans="1:21" s="31" customFormat="1" x14ac:dyDescent="0.25">
      <c r="A55" s="30"/>
      <c r="C55" s="20"/>
      <c r="D55" s="32"/>
      <c r="E55" s="22"/>
      <c r="G55" s="44"/>
      <c r="H55" s="22"/>
      <c r="I55" s="21"/>
      <c r="K55" s="45"/>
      <c r="M55" s="46"/>
      <c r="N55" s="46"/>
      <c r="O55" s="46"/>
      <c r="P55" s="30"/>
      <c r="Q55" s="47"/>
      <c r="R55" s="48"/>
      <c r="S55" s="48"/>
      <c r="T55" s="48"/>
      <c r="U55" s="48"/>
    </row>
    <row r="56" spans="1:21" s="31" customFormat="1" x14ac:dyDescent="0.25">
      <c r="A56" s="30"/>
      <c r="C56" s="20"/>
      <c r="D56" s="21"/>
      <c r="E56" s="22"/>
      <c r="F56" s="22"/>
      <c r="G56" s="21"/>
      <c r="H56" s="21"/>
      <c r="I56" s="21"/>
      <c r="K56" s="46"/>
      <c r="M56" s="46"/>
      <c r="N56" s="46"/>
      <c r="O56" s="46"/>
      <c r="P56" s="30"/>
      <c r="Q56" s="47"/>
      <c r="R56" s="48"/>
      <c r="S56" s="48"/>
      <c r="T56" s="48"/>
      <c r="U56" s="48"/>
    </row>
    <row r="57" spans="1:21" s="31" customFormat="1" x14ac:dyDescent="0.25">
      <c r="A57" s="30"/>
      <c r="C57" s="20"/>
      <c r="D57" s="21"/>
      <c r="E57" s="26"/>
      <c r="F57" s="21"/>
      <c r="G57" s="21"/>
      <c r="H57" s="21"/>
      <c r="I57" s="21"/>
      <c r="J57" s="47"/>
      <c r="K57" s="46"/>
      <c r="M57" s="46"/>
      <c r="N57" s="46"/>
      <c r="O57" s="45"/>
      <c r="P57" s="49"/>
      <c r="Q57" s="49"/>
      <c r="R57" s="48"/>
      <c r="S57" s="48"/>
      <c r="T57" s="48"/>
      <c r="U57" s="48"/>
    </row>
    <row r="58" spans="1:21" s="31" customFormat="1" x14ac:dyDescent="0.25">
      <c r="A58" s="30"/>
      <c r="C58" s="20"/>
      <c r="D58" s="21"/>
      <c r="E58" s="22"/>
      <c r="F58" s="21"/>
      <c r="G58" s="21"/>
      <c r="H58" s="21"/>
      <c r="I58" s="21"/>
      <c r="K58" s="45"/>
      <c r="M58" s="46"/>
      <c r="N58" s="46"/>
      <c r="O58" s="45"/>
      <c r="P58" s="49"/>
      <c r="Q58" s="49"/>
      <c r="R58" s="48"/>
      <c r="S58" s="48"/>
      <c r="T58" s="48"/>
      <c r="U58" s="48"/>
    </row>
    <row r="59" spans="1:21" s="31" customFormat="1" x14ac:dyDescent="0.25">
      <c r="A59" s="30"/>
      <c r="C59" s="20"/>
      <c r="D59" s="28"/>
      <c r="E59" s="22"/>
      <c r="F59" s="21"/>
      <c r="G59" s="21"/>
      <c r="H59" s="21"/>
      <c r="I59" s="21"/>
      <c r="J59" s="50"/>
      <c r="M59" s="46"/>
      <c r="N59" s="46"/>
      <c r="O59" s="45"/>
      <c r="P59" s="49"/>
      <c r="Q59" s="49"/>
      <c r="R59" s="48"/>
      <c r="S59" s="48"/>
      <c r="T59" s="48"/>
      <c r="U59" s="48"/>
    </row>
    <row r="60" spans="1:21" s="31" customFormat="1" x14ac:dyDescent="0.25">
      <c r="A60" s="30"/>
      <c r="C60" s="20"/>
      <c r="D60" s="28"/>
      <c r="E60" s="22"/>
      <c r="F60" s="21"/>
      <c r="H60" s="21"/>
      <c r="I60" s="21"/>
      <c r="J60" s="50"/>
      <c r="L60" s="46"/>
      <c r="M60" s="46"/>
      <c r="N60" s="46"/>
      <c r="O60" s="45"/>
      <c r="P60" s="46"/>
      <c r="Q60" s="46"/>
      <c r="R60" s="51"/>
      <c r="S60" s="48"/>
      <c r="T60" s="51"/>
      <c r="U60" s="51"/>
    </row>
    <row r="61" spans="1:21" s="31" customFormat="1" x14ac:dyDescent="0.25">
      <c r="A61" s="30"/>
      <c r="C61" s="20"/>
      <c r="D61" s="28"/>
      <c r="E61" s="22"/>
      <c r="F61" s="21"/>
      <c r="H61" s="21"/>
      <c r="I61" s="21"/>
      <c r="J61" s="50"/>
      <c r="K61" s="21"/>
      <c r="L61" s="21"/>
      <c r="M61" s="46"/>
      <c r="N61" s="52"/>
      <c r="P61" s="49"/>
      <c r="Q61" s="53"/>
    </row>
    <row r="62" spans="1:21" s="31" customFormat="1" x14ac:dyDescent="0.25">
      <c r="A62" s="30"/>
      <c r="C62" s="20"/>
      <c r="D62" s="21"/>
      <c r="E62" s="21"/>
      <c r="F62" s="21"/>
      <c r="H62" s="21"/>
      <c r="I62" s="21"/>
      <c r="K62" s="30"/>
      <c r="O62" s="46"/>
      <c r="P62" s="46"/>
      <c r="Q62" s="46"/>
    </row>
    <row r="63" spans="1:21" s="31" customFormat="1" x14ac:dyDescent="0.25">
      <c r="A63" s="30"/>
      <c r="C63" s="20"/>
      <c r="D63" s="21"/>
      <c r="E63" s="21"/>
      <c r="F63" s="21"/>
      <c r="G63" s="21"/>
      <c r="H63" s="54"/>
      <c r="I63" s="55"/>
      <c r="O63" s="46"/>
      <c r="P63" s="56"/>
      <c r="Q63" s="52"/>
    </row>
    <row r="64" spans="1:21" s="31" customFormat="1" x14ac:dyDescent="0.25">
      <c r="A64" s="30"/>
      <c r="D64" s="21"/>
      <c r="E64" s="21"/>
      <c r="G64" s="21"/>
      <c r="I64" s="55"/>
      <c r="J64" s="57"/>
      <c r="K64" s="58"/>
      <c r="O64" s="46"/>
      <c r="P64" s="20"/>
    </row>
    <row r="65" spans="1:17" s="31" customFormat="1" x14ac:dyDescent="0.25">
      <c r="A65" s="30"/>
      <c r="D65" s="21"/>
      <c r="F65" s="21"/>
      <c r="G65" s="21"/>
      <c r="H65" s="21"/>
      <c r="I65" s="21"/>
      <c r="J65" s="57"/>
      <c r="K65" s="58"/>
      <c r="O65" s="46"/>
      <c r="P65" s="20"/>
    </row>
    <row r="66" spans="1:17" s="31" customFormat="1" x14ac:dyDescent="0.25">
      <c r="A66" s="30"/>
      <c r="D66" s="21"/>
      <c r="F66" s="21"/>
      <c r="G66" s="21"/>
      <c r="H66" s="21"/>
      <c r="I66" s="21"/>
      <c r="J66" s="57"/>
      <c r="K66" s="58"/>
      <c r="O66" s="46"/>
      <c r="P66" s="20"/>
    </row>
    <row r="67" spans="1:17" s="31" customFormat="1" x14ac:dyDescent="0.25">
      <c r="A67" s="30"/>
      <c r="D67" s="21"/>
      <c r="F67" s="21"/>
      <c r="G67" s="21"/>
      <c r="H67" s="59"/>
      <c r="I67" s="21"/>
      <c r="J67" s="60"/>
      <c r="L67" s="61"/>
      <c r="M67" s="46"/>
      <c r="N67" s="52"/>
      <c r="O67" s="46"/>
      <c r="P67" s="20"/>
    </row>
    <row r="68" spans="1:17" s="31" customFormat="1" x14ac:dyDescent="0.25">
      <c r="A68" s="30"/>
      <c r="C68" s="20"/>
      <c r="D68" s="21"/>
      <c r="F68" s="21"/>
      <c r="G68" s="21"/>
      <c r="H68" s="22"/>
      <c r="I68" s="21"/>
      <c r="J68" s="60"/>
      <c r="L68" s="61"/>
      <c r="M68" s="46"/>
      <c r="N68" s="52"/>
      <c r="O68" s="46"/>
      <c r="P68" s="20"/>
    </row>
    <row r="69" spans="1:17" s="31" customFormat="1" x14ac:dyDescent="0.25">
      <c r="A69" s="30"/>
      <c r="D69" s="21"/>
      <c r="E69" s="21"/>
      <c r="F69" s="21"/>
      <c r="G69" s="21"/>
      <c r="H69" s="21"/>
      <c r="I69" s="21"/>
      <c r="J69" s="60"/>
      <c r="L69" s="61"/>
      <c r="M69" s="46"/>
      <c r="N69" s="52"/>
      <c r="O69" s="46"/>
      <c r="P69" s="62"/>
    </row>
    <row r="70" spans="1:17" s="31" customFormat="1" x14ac:dyDescent="0.25">
      <c r="C70" s="20"/>
      <c r="D70" s="21"/>
      <c r="E70" s="21"/>
      <c r="F70" s="21"/>
      <c r="G70" s="21"/>
      <c r="H70" s="21"/>
      <c r="I70" s="21"/>
      <c r="L70" s="63"/>
      <c r="M70" s="46"/>
      <c r="N70" s="52"/>
      <c r="O70" s="21"/>
      <c r="P70" s="52"/>
    </row>
    <row r="71" spans="1:17" s="31" customFormat="1" x14ac:dyDescent="0.25">
      <c r="A71" s="30"/>
      <c r="C71" s="20"/>
      <c r="D71" s="46"/>
      <c r="E71" s="46"/>
      <c r="F71" s="46"/>
      <c r="G71" s="46"/>
      <c r="H71" s="46"/>
      <c r="I71" s="46"/>
      <c r="J71" s="64"/>
      <c r="K71" s="46"/>
      <c r="L71" s="63"/>
      <c r="M71" s="46"/>
      <c r="N71" s="52"/>
      <c r="O71" s="21"/>
      <c r="P71" s="65"/>
      <c r="Q71" s="65"/>
    </row>
    <row r="72" spans="1:17" s="31" customFormat="1" x14ac:dyDescent="0.25">
      <c r="A72" s="30"/>
      <c r="C72" s="20"/>
      <c r="D72" s="21"/>
      <c r="E72" s="21"/>
      <c r="F72" s="21"/>
      <c r="G72" s="21"/>
      <c r="H72" s="21"/>
      <c r="I72" s="21"/>
      <c r="J72" s="64"/>
      <c r="L72" s="66"/>
      <c r="M72" s="21"/>
      <c r="N72" s="30"/>
      <c r="O72" s="21"/>
      <c r="P72" s="62"/>
    </row>
    <row r="73" spans="1:17" s="31" customFormat="1" x14ac:dyDescent="0.25">
      <c r="A73" s="30"/>
      <c r="D73" s="30"/>
      <c r="E73" s="46"/>
      <c r="F73" s="46"/>
      <c r="G73" s="46"/>
      <c r="H73" s="46"/>
      <c r="I73" s="21"/>
      <c r="J73" s="64"/>
      <c r="K73" s="46"/>
      <c r="L73" s="46"/>
      <c r="M73" s="21"/>
      <c r="N73" s="30"/>
      <c r="O73" s="21"/>
      <c r="P73" s="62"/>
    </row>
    <row r="74" spans="1:17" s="31" customFormat="1" x14ac:dyDescent="0.25">
      <c r="C74" s="20"/>
      <c r="D74" s="20"/>
      <c r="E74" s="28"/>
      <c r="F74" s="20"/>
      <c r="G74" s="20"/>
      <c r="H74" s="20"/>
      <c r="I74" s="21"/>
      <c r="J74" s="30"/>
      <c r="K74" s="30"/>
      <c r="L74" s="30"/>
      <c r="M74" s="36"/>
      <c r="N74" s="21"/>
      <c r="O74" s="21"/>
      <c r="P74" s="20"/>
    </row>
    <row r="75" spans="1:17" s="31" customFormat="1" x14ac:dyDescent="0.25">
      <c r="C75" s="20"/>
      <c r="D75" s="20"/>
      <c r="E75" s="28"/>
      <c r="F75" s="20"/>
      <c r="G75" s="20"/>
      <c r="H75" s="20"/>
      <c r="I75" s="21"/>
      <c r="J75" s="36"/>
      <c r="K75" s="36"/>
      <c r="L75" s="36"/>
      <c r="M75" s="36"/>
      <c r="N75" s="21"/>
      <c r="O75" s="21"/>
      <c r="P75" s="21"/>
    </row>
    <row r="76" spans="1:17" s="31" customFormat="1" x14ac:dyDescent="0.25">
      <c r="C76" s="20"/>
      <c r="D76" s="20"/>
      <c r="E76" s="28"/>
      <c r="F76" s="20"/>
      <c r="G76" s="20"/>
      <c r="H76" s="20"/>
      <c r="I76" s="21"/>
      <c r="J76" s="21"/>
      <c r="K76" s="674"/>
      <c r="L76" s="674"/>
      <c r="M76" s="674"/>
      <c r="N76" s="21"/>
      <c r="O76" s="21"/>
      <c r="P76" s="21"/>
    </row>
    <row r="77" spans="1:17" s="31" customFormat="1" x14ac:dyDescent="0.25">
      <c r="C77" s="20"/>
      <c r="D77" s="20"/>
      <c r="E77" s="28"/>
      <c r="F77" s="20"/>
      <c r="G77" s="20"/>
      <c r="H77" s="20"/>
      <c r="I77" s="21"/>
      <c r="J77" s="21"/>
      <c r="K77" s="21"/>
      <c r="L77" s="674"/>
      <c r="M77" s="674"/>
      <c r="N77" s="21"/>
      <c r="O77" s="21"/>
      <c r="P77" s="21"/>
    </row>
    <row r="78" spans="1:17" s="31" customFormat="1" x14ac:dyDescent="0.25">
      <c r="C78" s="20"/>
      <c r="D78" s="20"/>
      <c r="E78" s="28"/>
      <c r="F78" s="20"/>
      <c r="G78" s="20"/>
      <c r="H78" s="20"/>
      <c r="I78" s="21"/>
      <c r="J78" s="21"/>
      <c r="K78" s="21"/>
      <c r="L78" s="36"/>
      <c r="M78" s="36"/>
      <c r="N78" s="21"/>
      <c r="O78" s="21"/>
      <c r="P78" s="21"/>
    </row>
    <row r="79" spans="1:17" s="31" customFormat="1" x14ac:dyDescent="0.25">
      <c r="C79" s="20"/>
      <c r="D79" s="20"/>
      <c r="E79" s="28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</row>
    <row r="80" spans="1:17" s="31" customFormat="1" x14ac:dyDescent="0.25">
      <c r="C80" s="20"/>
      <c r="D80" s="46"/>
      <c r="E80" s="46"/>
      <c r="F80" s="46"/>
      <c r="G80" s="46"/>
      <c r="H80" s="46"/>
      <c r="I80" s="21"/>
      <c r="J80" s="21"/>
      <c r="K80" s="21"/>
      <c r="L80" s="21"/>
      <c r="M80" s="21"/>
      <c r="N80" s="21"/>
      <c r="O80" s="21"/>
      <c r="P80" s="21"/>
    </row>
    <row r="81" spans="1:16" s="31" customFormat="1" x14ac:dyDescent="0.25">
      <c r="A81" s="30"/>
      <c r="B81" s="21"/>
      <c r="D81" s="30"/>
      <c r="E81" s="46"/>
      <c r="F81" s="46"/>
      <c r="G81" s="46"/>
      <c r="H81" s="46"/>
      <c r="I81" s="21"/>
      <c r="J81" s="60"/>
      <c r="L81" s="46"/>
      <c r="M81" s="21"/>
      <c r="N81" s="30"/>
      <c r="O81" s="21"/>
      <c r="P81" s="21"/>
    </row>
    <row r="82" spans="1:16" s="31" customFormat="1" x14ac:dyDescent="0.25">
      <c r="A82" s="30"/>
      <c r="B82" s="21"/>
      <c r="D82" s="30"/>
      <c r="E82" s="46"/>
      <c r="F82" s="46"/>
      <c r="G82" s="46"/>
      <c r="H82" s="46"/>
      <c r="I82" s="21"/>
      <c r="J82" s="60"/>
      <c r="L82" s="46"/>
      <c r="M82" s="21"/>
      <c r="N82" s="30"/>
      <c r="O82" s="21"/>
      <c r="P82" s="21"/>
    </row>
    <row r="83" spans="1:16" s="31" customFormat="1" x14ac:dyDescent="0.25">
      <c r="A83" s="30"/>
      <c r="B83" s="21"/>
      <c r="D83" s="30"/>
      <c r="E83" s="46"/>
      <c r="F83" s="46"/>
      <c r="G83" s="46"/>
      <c r="H83" s="46"/>
      <c r="I83" s="21"/>
      <c r="J83" s="60"/>
      <c r="L83" s="46"/>
      <c r="M83" s="21"/>
      <c r="N83" s="30"/>
      <c r="O83" s="21"/>
      <c r="P83" s="21"/>
    </row>
    <row r="84" spans="1:16" s="31" customFormat="1" ht="21" x14ac:dyDescent="0.35">
      <c r="A84" s="67"/>
      <c r="B84" s="68"/>
      <c r="C84" s="69"/>
      <c r="D84" s="67"/>
      <c r="E84" s="70"/>
      <c r="F84" s="70"/>
      <c r="G84" s="70"/>
      <c r="H84" s="70"/>
      <c r="I84" s="68"/>
      <c r="J84" s="70"/>
      <c r="K84" s="71"/>
      <c r="L84" s="72"/>
      <c r="M84" s="71"/>
      <c r="N84" s="67"/>
      <c r="O84" s="21"/>
      <c r="P84" s="21"/>
    </row>
    <row r="85" spans="1:16" s="31" customFormat="1" ht="21" x14ac:dyDescent="0.35">
      <c r="A85" s="67"/>
      <c r="B85" s="68"/>
      <c r="C85" s="69"/>
      <c r="D85" s="67"/>
      <c r="E85" s="70"/>
      <c r="F85" s="70"/>
      <c r="G85" s="70"/>
      <c r="H85" s="70"/>
      <c r="I85" s="68"/>
      <c r="J85" s="70"/>
      <c r="K85" s="71"/>
      <c r="L85" s="72"/>
      <c r="M85" s="71"/>
      <c r="N85" s="67"/>
      <c r="O85" s="21"/>
      <c r="P85" s="21"/>
    </row>
    <row r="86" spans="1:16" s="31" customFormat="1" ht="21" x14ac:dyDescent="0.35">
      <c r="A86" s="67"/>
      <c r="B86" s="68"/>
      <c r="C86" s="69"/>
      <c r="D86" s="68"/>
      <c r="E86" s="70"/>
      <c r="F86" s="70"/>
      <c r="G86" s="70"/>
      <c r="H86" s="70"/>
      <c r="I86" s="68"/>
      <c r="J86" s="70"/>
      <c r="K86" s="71"/>
      <c r="L86" s="72"/>
      <c r="M86" s="71"/>
      <c r="N86" s="67"/>
      <c r="O86" s="21"/>
      <c r="P86" s="21"/>
    </row>
    <row r="87" spans="1:16" s="31" customFormat="1" ht="21" x14ac:dyDescent="0.35">
      <c r="A87" s="67"/>
      <c r="B87" s="68"/>
      <c r="C87" s="69"/>
      <c r="D87" s="68"/>
      <c r="E87" s="70"/>
      <c r="F87" s="70"/>
      <c r="G87" s="70"/>
      <c r="H87" s="70"/>
      <c r="I87" s="68"/>
      <c r="J87" s="70"/>
      <c r="K87" s="71"/>
      <c r="L87" s="72"/>
      <c r="M87" s="71"/>
      <c r="N87" s="67"/>
      <c r="O87" s="21"/>
      <c r="P87" s="21"/>
    </row>
    <row r="88" spans="1:16" s="31" customFormat="1" ht="21" x14ac:dyDescent="0.35">
      <c r="A88" s="67"/>
      <c r="B88" s="68"/>
      <c r="C88" s="69"/>
      <c r="D88" s="68"/>
      <c r="E88" s="70"/>
      <c r="F88" s="70"/>
      <c r="G88" s="70"/>
      <c r="H88" s="70"/>
      <c r="I88" s="68"/>
      <c r="J88" s="70"/>
      <c r="K88" s="71"/>
      <c r="L88" s="72"/>
      <c r="M88" s="71"/>
      <c r="N88" s="67"/>
      <c r="O88" s="21"/>
      <c r="P88" s="21"/>
    </row>
    <row r="89" spans="1:16" s="31" customFormat="1" ht="21" x14ac:dyDescent="0.35">
      <c r="A89" s="67"/>
      <c r="B89" s="68"/>
      <c r="C89" s="69"/>
      <c r="D89" s="68"/>
      <c r="E89" s="70"/>
      <c r="F89" s="70"/>
      <c r="G89" s="70"/>
      <c r="H89" s="70"/>
      <c r="I89" s="68"/>
      <c r="J89" s="70"/>
      <c r="K89" s="71"/>
      <c r="L89" s="72"/>
      <c r="M89" s="71"/>
      <c r="N89" s="67"/>
      <c r="O89" s="21"/>
      <c r="P89" s="21"/>
    </row>
    <row r="90" spans="1:16" s="31" customFormat="1" ht="21" x14ac:dyDescent="0.35">
      <c r="A90" s="67"/>
      <c r="B90" s="68"/>
      <c r="C90" s="69"/>
      <c r="D90" s="68"/>
      <c r="E90" s="68"/>
      <c r="F90" s="68"/>
      <c r="G90" s="68"/>
      <c r="H90" s="68"/>
      <c r="I90" s="68"/>
      <c r="J90" s="70"/>
      <c r="K90" s="71"/>
      <c r="L90" s="71"/>
      <c r="M90" s="71"/>
      <c r="N90" s="73"/>
      <c r="O90" s="21"/>
      <c r="P90" s="21"/>
    </row>
    <row r="91" spans="1:16" s="31" customFormat="1" ht="21" x14ac:dyDescent="0.35">
      <c r="A91" s="67"/>
      <c r="B91" s="68"/>
      <c r="C91" s="69"/>
      <c r="D91" s="68"/>
      <c r="E91" s="68"/>
      <c r="F91" s="68"/>
      <c r="G91" s="68"/>
      <c r="H91" s="68"/>
      <c r="I91" s="68"/>
      <c r="J91" s="70"/>
      <c r="K91" s="71"/>
      <c r="L91" s="71"/>
      <c r="M91" s="71"/>
      <c r="N91" s="73"/>
      <c r="O91" s="21"/>
      <c r="P91" s="21"/>
    </row>
    <row r="92" spans="1:16" s="31" customFormat="1" ht="21" x14ac:dyDescent="0.35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71"/>
      <c r="L92" s="71"/>
      <c r="M92" s="71"/>
      <c r="N92" s="67"/>
      <c r="O92" s="21"/>
      <c r="P92" s="21"/>
    </row>
    <row r="93" spans="1:16" s="31" customFormat="1" ht="21" x14ac:dyDescent="0.3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71"/>
      <c r="L93" s="71"/>
      <c r="M93" s="71"/>
      <c r="N93" s="67"/>
      <c r="O93" s="21"/>
      <c r="P93" s="21"/>
    </row>
    <row r="94" spans="1:16" s="31" customFormat="1" ht="21" x14ac:dyDescent="0.3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71"/>
      <c r="L94" s="71"/>
      <c r="M94" s="71"/>
      <c r="N94" s="67"/>
      <c r="O94" s="21"/>
      <c r="P94" s="21"/>
    </row>
    <row r="95" spans="1:16" s="31" customFormat="1" ht="21" x14ac:dyDescent="0.3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71"/>
      <c r="L95" s="71"/>
      <c r="M95" s="71"/>
      <c r="N95" s="67"/>
      <c r="O95" s="21"/>
      <c r="P95" s="21"/>
    </row>
    <row r="96" spans="1:16" s="31" customFormat="1" ht="21" x14ac:dyDescent="0.3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71"/>
      <c r="L96" s="71"/>
      <c r="M96" s="71"/>
      <c r="N96" s="67"/>
      <c r="O96" s="21"/>
      <c r="P96" s="21"/>
    </row>
    <row r="97" spans="1:17" s="31" customFormat="1" ht="21" x14ac:dyDescent="0.3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71"/>
      <c r="L97" s="71"/>
      <c r="M97" s="71"/>
      <c r="N97" s="67"/>
      <c r="O97" s="21"/>
      <c r="P97" s="21"/>
    </row>
    <row r="98" spans="1:17" s="31" customFormat="1" ht="21" x14ac:dyDescent="0.3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71"/>
      <c r="L98" s="71"/>
      <c r="M98" s="71"/>
      <c r="N98" s="67"/>
      <c r="O98" s="21"/>
      <c r="P98" s="21"/>
    </row>
    <row r="99" spans="1:17" s="31" customFormat="1" ht="21" x14ac:dyDescent="0.3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71"/>
      <c r="L99" s="71"/>
      <c r="M99" s="71"/>
      <c r="N99" s="67"/>
      <c r="O99" s="21"/>
      <c r="P99" s="21"/>
    </row>
    <row r="100" spans="1:17" s="31" customFormat="1" ht="21" x14ac:dyDescent="0.35">
      <c r="A100" s="67"/>
      <c r="B100" s="68"/>
      <c r="C100" s="74"/>
      <c r="D100" s="68"/>
      <c r="E100" s="68"/>
      <c r="F100" s="68"/>
      <c r="G100" s="68"/>
      <c r="H100" s="68"/>
      <c r="I100" s="68"/>
      <c r="J100" s="68"/>
      <c r="K100" s="71"/>
      <c r="L100" s="71"/>
      <c r="M100" s="71"/>
      <c r="N100" s="67"/>
      <c r="P100" s="21"/>
    </row>
    <row r="101" spans="1:17" s="31" customFormat="1" ht="21" x14ac:dyDescent="0.3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71"/>
      <c r="L101" s="71"/>
      <c r="M101" s="71"/>
      <c r="N101" s="67"/>
      <c r="O101" s="21"/>
      <c r="P101" s="75"/>
      <c r="Q101" s="75"/>
    </row>
    <row r="102" spans="1:17" s="31" customFormat="1" ht="21" x14ac:dyDescent="0.3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71"/>
      <c r="L102" s="71"/>
      <c r="M102" s="71"/>
      <c r="N102" s="67"/>
      <c r="O102" s="21"/>
      <c r="P102" s="21"/>
    </row>
    <row r="103" spans="1:17" s="31" customFormat="1" ht="21" x14ac:dyDescent="0.3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71"/>
      <c r="L103" s="71"/>
      <c r="M103" s="71"/>
      <c r="N103" s="67"/>
      <c r="O103" s="21"/>
      <c r="P103" s="21"/>
    </row>
    <row r="104" spans="1:17" s="31" customFormat="1" ht="21" x14ac:dyDescent="0.3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71"/>
      <c r="L104" s="71"/>
      <c r="M104" s="71"/>
      <c r="N104" s="67"/>
      <c r="O104" s="21"/>
      <c r="P104" s="21"/>
    </row>
    <row r="105" spans="1:17" s="31" customFormat="1" ht="21" x14ac:dyDescent="0.3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71"/>
      <c r="L105" s="71"/>
      <c r="M105" s="71"/>
      <c r="N105" s="67"/>
      <c r="O105" s="21"/>
      <c r="P105" s="21"/>
    </row>
    <row r="106" spans="1:17" s="31" customFormat="1" ht="21" x14ac:dyDescent="0.3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71"/>
      <c r="L106" s="71"/>
      <c r="M106" s="71"/>
      <c r="N106" s="67"/>
      <c r="O106" s="21"/>
      <c r="P106" s="21"/>
    </row>
    <row r="107" spans="1:17" s="31" customFormat="1" ht="21" x14ac:dyDescent="0.3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71"/>
      <c r="L107" s="71"/>
      <c r="M107" s="71"/>
      <c r="N107" s="67"/>
      <c r="O107" s="21"/>
      <c r="P107" s="21"/>
    </row>
    <row r="108" spans="1:17" s="31" customFormat="1" ht="21" x14ac:dyDescent="0.3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71"/>
      <c r="L108" s="71"/>
      <c r="M108" s="71"/>
      <c r="N108" s="67"/>
      <c r="O108" s="21"/>
      <c r="P108" s="21"/>
    </row>
    <row r="109" spans="1:17" s="31" customFormat="1" ht="21" x14ac:dyDescent="0.3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71"/>
      <c r="L109" s="71"/>
      <c r="M109" s="71"/>
      <c r="N109" s="67"/>
      <c r="O109" s="21"/>
      <c r="P109" s="21"/>
    </row>
    <row r="110" spans="1:17" s="31" customFormat="1" ht="21" x14ac:dyDescent="0.35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71"/>
      <c r="L110" s="71"/>
      <c r="M110" s="71"/>
      <c r="N110" s="67"/>
      <c r="O110" s="21"/>
      <c r="P110" s="21"/>
    </row>
    <row r="111" spans="1:17" s="31" customFormat="1" ht="21" x14ac:dyDescent="0.35">
      <c r="A111" s="67"/>
      <c r="B111" s="68"/>
      <c r="C111" s="68"/>
      <c r="D111" s="68"/>
      <c r="E111" s="76"/>
      <c r="F111" s="68"/>
      <c r="G111" s="68"/>
      <c r="H111" s="68"/>
      <c r="I111" s="68"/>
      <c r="J111" s="68"/>
      <c r="K111" s="71"/>
      <c r="L111" s="71"/>
      <c r="M111" s="71"/>
      <c r="N111" s="67"/>
      <c r="O111" s="21"/>
      <c r="P111" s="21"/>
    </row>
    <row r="112" spans="1:17" s="31" customFormat="1" ht="21" x14ac:dyDescent="0.35">
      <c r="A112" s="67"/>
      <c r="B112" s="68"/>
      <c r="C112" s="68"/>
      <c r="D112" s="68"/>
      <c r="E112" s="76"/>
      <c r="F112" s="68"/>
      <c r="G112" s="68"/>
      <c r="H112" s="68"/>
      <c r="I112" s="68"/>
      <c r="J112" s="68"/>
      <c r="K112" s="71"/>
      <c r="L112" s="71"/>
      <c r="M112" s="71"/>
      <c r="N112" s="67"/>
      <c r="O112" s="21"/>
      <c r="P112" s="21"/>
    </row>
    <row r="113" spans="1:16" s="31" customFormat="1" ht="21" x14ac:dyDescent="0.35">
      <c r="A113" s="67"/>
      <c r="B113" s="68"/>
      <c r="C113" s="68"/>
      <c r="D113" s="68"/>
      <c r="E113" s="76"/>
      <c r="F113" s="68"/>
      <c r="G113" s="68"/>
      <c r="H113" s="68"/>
      <c r="I113" s="68"/>
      <c r="J113" s="68"/>
      <c r="K113" s="71"/>
      <c r="L113" s="71"/>
      <c r="M113" s="71"/>
      <c r="N113" s="67"/>
      <c r="O113" s="21"/>
      <c r="P113" s="77"/>
    </row>
    <row r="114" spans="1:16" s="31" customFormat="1" ht="21" x14ac:dyDescent="0.3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71"/>
      <c r="L114" s="71"/>
      <c r="M114" s="71"/>
      <c r="N114" s="67"/>
      <c r="O114" s="21"/>
      <c r="P114" s="21"/>
    </row>
    <row r="115" spans="1:16" s="31" customFormat="1" ht="21" x14ac:dyDescent="0.35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71"/>
      <c r="L115" s="71"/>
      <c r="M115" s="71"/>
      <c r="N115" s="67"/>
      <c r="O115" s="21"/>
      <c r="P115" s="21"/>
    </row>
    <row r="116" spans="1:16" s="31" customFormat="1" ht="21" x14ac:dyDescent="0.35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71"/>
      <c r="L116" s="71"/>
      <c r="M116" s="71"/>
      <c r="N116" s="67"/>
      <c r="O116" s="21"/>
      <c r="P116" s="21"/>
    </row>
    <row r="117" spans="1:16" s="31" customFormat="1" ht="21" x14ac:dyDescent="0.35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71"/>
      <c r="L117" s="71"/>
      <c r="M117" s="71"/>
      <c r="N117" s="67"/>
      <c r="O117" s="21"/>
      <c r="P117" s="21"/>
    </row>
    <row r="118" spans="1:16" s="31" customFormat="1" ht="21" x14ac:dyDescent="0.3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71"/>
      <c r="L118" s="71"/>
      <c r="M118" s="71"/>
      <c r="N118" s="67"/>
      <c r="O118" s="21"/>
      <c r="P118" s="21"/>
    </row>
    <row r="119" spans="1:16" s="31" customFormat="1" ht="21" x14ac:dyDescent="0.3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71"/>
      <c r="L119" s="71"/>
      <c r="M119" s="71"/>
      <c r="N119" s="67"/>
      <c r="O119" s="21"/>
      <c r="P119" s="21"/>
    </row>
    <row r="120" spans="1:16" s="31" customFormat="1" ht="21" x14ac:dyDescent="0.35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71"/>
      <c r="L120" s="71"/>
      <c r="M120" s="71"/>
      <c r="N120" s="67"/>
      <c r="O120" s="21"/>
      <c r="P120" s="21"/>
    </row>
    <row r="121" spans="1:16" s="31" customFormat="1" ht="21" x14ac:dyDescent="0.35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71"/>
      <c r="L121" s="71"/>
      <c r="M121" s="71"/>
      <c r="N121" s="67"/>
      <c r="O121" s="21"/>
      <c r="P121" s="21"/>
    </row>
    <row r="122" spans="1:16" s="31" customFormat="1" ht="21" x14ac:dyDescent="0.3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71"/>
      <c r="L122" s="71"/>
      <c r="M122" s="71"/>
      <c r="N122" s="67"/>
      <c r="O122" s="21"/>
      <c r="P122" s="21"/>
    </row>
    <row r="123" spans="1:16" s="31" customFormat="1" ht="21" x14ac:dyDescent="0.3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71"/>
      <c r="L123" s="71"/>
      <c r="M123" s="71"/>
      <c r="N123" s="67"/>
      <c r="O123" s="21"/>
      <c r="P123" s="21"/>
    </row>
    <row r="124" spans="1:16" s="31" customFormat="1" ht="21" x14ac:dyDescent="0.35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71"/>
      <c r="L124" s="71"/>
      <c r="M124" s="71"/>
      <c r="N124" s="67"/>
      <c r="O124" s="21"/>
      <c r="P124" s="21"/>
    </row>
    <row r="125" spans="1:16" s="31" customFormat="1" ht="21" x14ac:dyDescent="0.3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71"/>
      <c r="L125" s="71"/>
      <c r="M125" s="71"/>
      <c r="N125" s="67"/>
      <c r="O125" s="21"/>
      <c r="P125" s="21"/>
    </row>
    <row r="126" spans="1:16" s="31" customFormat="1" ht="21" x14ac:dyDescent="0.3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71"/>
      <c r="L126" s="71"/>
      <c r="M126" s="71"/>
      <c r="N126" s="67"/>
      <c r="O126" s="21"/>
      <c r="P126" s="21"/>
    </row>
    <row r="127" spans="1:16" s="31" customFormat="1" ht="18.75" x14ac:dyDescent="0.3">
      <c r="A127" s="67"/>
      <c r="B127" s="21"/>
      <c r="C127" s="6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30"/>
      <c r="O127" s="21"/>
      <c r="P127" s="21"/>
    </row>
    <row r="128" spans="1:16" s="31" customFormat="1" ht="18.75" x14ac:dyDescent="0.3">
      <c r="B128" s="21"/>
      <c r="C128" s="6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30"/>
      <c r="O128" s="21"/>
      <c r="P128" s="21"/>
    </row>
    <row r="129" spans="1:19" s="31" customFormat="1" ht="18.75" x14ac:dyDescent="0.3">
      <c r="C129" s="6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9" s="31" customFormat="1" ht="18.75" x14ac:dyDescent="0.3">
      <c r="A130" s="78"/>
      <c r="B130" s="74"/>
      <c r="C130" s="6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9" s="31" customFormat="1" ht="18.75" x14ac:dyDescent="0.3">
      <c r="A131" s="74"/>
      <c r="B131" s="74"/>
      <c r="C131" s="68"/>
      <c r="D131" s="4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9" s="31" customFormat="1" ht="18.75" x14ac:dyDescent="0.3">
      <c r="A132" s="74"/>
      <c r="B132" s="74"/>
      <c r="C132" s="6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21"/>
    </row>
    <row r="133" spans="1:19" s="31" customFormat="1" ht="18.75" x14ac:dyDescent="0.3">
      <c r="A133" s="74"/>
      <c r="B133" s="74"/>
      <c r="C133" s="68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1"/>
      <c r="R133" s="81"/>
      <c r="S133" s="81"/>
    </row>
    <row r="134" spans="1:19" s="31" customFormat="1" ht="18.75" x14ac:dyDescent="0.3">
      <c r="A134" s="78"/>
      <c r="B134" s="74"/>
      <c r="C134" s="6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P134" s="79"/>
      <c r="Q134" s="81"/>
      <c r="R134" s="81"/>
      <c r="S134" s="81"/>
    </row>
    <row r="135" spans="1:19" s="31" customFormat="1" ht="18.75" x14ac:dyDescent="0.3">
      <c r="A135" s="78"/>
      <c r="B135" s="74"/>
      <c r="C135" s="6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9" s="31" customFormat="1" ht="18.75" x14ac:dyDescent="0.3">
      <c r="A136" s="74"/>
      <c r="B136" s="74"/>
      <c r="C136" s="6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81"/>
      <c r="R136" s="81"/>
      <c r="S136" s="81"/>
    </row>
    <row r="137" spans="1:19" s="31" customFormat="1" ht="18.75" x14ac:dyDescent="0.3">
      <c r="A137" s="74"/>
      <c r="B137" s="74"/>
      <c r="C137" s="6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1"/>
      <c r="R137" s="81"/>
      <c r="S137" s="81"/>
    </row>
    <row r="138" spans="1:19" s="31" customFormat="1" ht="18.75" x14ac:dyDescent="0.3">
      <c r="A138" s="74"/>
      <c r="B138" s="74"/>
      <c r="C138" s="6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81"/>
      <c r="R138" s="81"/>
      <c r="S138" s="81"/>
    </row>
    <row r="139" spans="1:19" s="31" customFormat="1" ht="18.75" x14ac:dyDescent="0.3">
      <c r="A139" s="74"/>
      <c r="B139" s="74"/>
      <c r="C139" s="7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9"/>
      <c r="Q139" s="81"/>
      <c r="R139" s="81"/>
      <c r="S139" s="81"/>
    </row>
    <row r="140" spans="1:19" s="31" customFormat="1" ht="18.75" x14ac:dyDescent="0.3">
      <c r="A140" s="74"/>
      <c r="B140" s="74"/>
      <c r="C140" s="7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s="31" customFormat="1" ht="18.75" x14ac:dyDescent="0.3">
      <c r="A141" s="74"/>
      <c r="B141" s="74"/>
      <c r="C141" s="7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 s="31" customFormat="1" ht="18.75" x14ac:dyDescent="0.3">
      <c r="A142" s="74"/>
      <c r="B142" s="74"/>
      <c r="C142" s="7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 s="31" customFormat="1" ht="18.75" x14ac:dyDescent="0.3">
      <c r="A143" s="74"/>
      <c r="B143" s="74"/>
      <c r="C143" s="7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1:19" s="31" customFormat="1" ht="18.75" x14ac:dyDescent="0.3">
      <c r="A144" s="74"/>
      <c r="B144" s="74"/>
      <c r="C144" s="7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s="31" customFormat="1" ht="18.75" x14ac:dyDescent="0.3">
      <c r="A145" s="74"/>
      <c r="B145" s="74"/>
      <c r="P145" s="81"/>
      <c r="Q145" s="81"/>
      <c r="R145" s="81"/>
      <c r="S145" s="81"/>
    </row>
    <row r="146" spans="1:19" s="31" customFormat="1" x14ac:dyDescent="0.25">
      <c r="Q146" s="81"/>
      <c r="R146" s="81"/>
      <c r="S146" s="81"/>
    </row>
    <row r="147" spans="1:19" s="31" customFormat="1" ht="149.25" customHeight="1" x14ac:dyDescent="0.25">
      <c r="Q147" s="81"/>
      <c r="R147" s="81"/>
      <c r="S147" s="81"/>
    </row>
    <row r="148" spans="1:19" s="31" customFormat="1" x14ac:dyDescent="0.25">
      <c r="Q148" s="81"/>
      <c r="R148" s="81"/>
      <c r="S148" s="81"/>
    </row>
    <row r="149" spans="1:19" s="31" customFormat="1" x14ac:dyDescent="0.25">
      <c r="Q149" s="81"/>
      <c r="R149" s="81"/>
      <c r="S149" s="81"/>
    </row>
    <row r="150" spans="1:19" s="31" customFormat="1" x14ac:dyDescent="0.25">
      <c r="Q150" s="81"/>
      <c r="R150" s="81"/>
      <c r="S150" s="81"/>
    </row>
    <row r="151" spans="1:19" s="31" customFormat="1" x14ac:dyDescent="0.25">
      <c r="Q151" s="81"/>
      <c r="R151" s="81"/>
      <c r="S151" s="81"/>
    </row>
    <row r="152" spans="1:19" s="31" customFormat="1" x14ac:dyDescent="0.25">
      <c r="Q152" s="81"/>
      <c r="R152" s="81"/>
      <c r="S152" s="81"/>
    </row>
    <row r="153" spans="1:19" s="31" customFormat="1" x14ac:dyDescent="0.25">
      <c r="Q153" s="81"/>
      <c r="R153" s="81"/>
      <c r="S153" s="81"/>
    </row>
    <row r="154" spans="1:19" s="31" customFormat="1" x14ac:dyDescent="0.25">
      <c r="Q154" s="81"/>
      <c r="R154" s="81"/>
      <c r="S154" s="81"/>
    </row>
    <row r="155" spans="1:19" s="31" customFormat="1" x14ac:dyDescent="0.25">
      <c r="Q155" s="81"/>
      <c r="R155" s="81"/>
      <c r="S155" s="81"/>
    </row>
    <row r="156" spans="1:19" s="31" customFormat="1" x14ac:dyDescent="0.25">
      <c r="Q156" s="81"/>
      <c r="R156" s="81"/>
      <c r="S156" s="81"/>
    </row>
    <row r="157" spans="1:19" s="31" customFormat="1" x14ac:dyDescent="0.25">
      <c r="Q157" s="81"/>
      <c r="R157" s="81"/>
      <c r="S157" s="81"/>
    </row>
    <row r="158" spans="1:19" s="31" customFormat="1" x14ac:dyDescent="0.25">
      <c r="Q158" s="81"/>
      <c r="R158" s="81"/>
      <c r="S158" s="81"/>
    </row>
    <row r="159" spans="1:19" s="31" customFormat="1" x14ac:dyDescent="0.25">
      <c r="Q159" s="81"/>
      <c r="R159" s="81"/>
      <c r="S159" s="81"/>
    </row>
    <row r="160" spans="1:19" s="31" customFormat="1" x14ac:dyDescent="0.25">
      <c r="Q160" s="81"/>
      <c r="R160" s="81"/>
      <c r="S160" s="81"/>
    </row>
    <row r="161" spans="17:19" s="31" customFormat="1" x14ac:dyDescent="0.25">
      <c r="Q161" s="81"/>
      <c r="R161" s="81"/>
      <c r="S161" s="81"/>
    </row>
    <row r="162" spans="17:19" s="31" customFormat="1" x14ac:dyDescent="0.25">
      <c r="Q162" s="81"/>
      <c r="R162" s="81"/>
      <c r="S162" s="81"/>
    </row>
    <row r="163" spans="17:19" s="31" customFormat="1" x14ac:dyDescent="0.25">
      <c r="Q163" s="81"/>
      <c r="R163" s="81"/>
      <c r="S163" s="81"/>
    </row>
    <row r="164" spans="17:19" s="31" customFormat="1" x14ac:dyDescent="0.25">
      <c r="Q164" s="81"/>
      <c r="R164" s="81"/>
      <c r="S164" s="81"/>
    </row>
    <row r="165" spans="17:19" x14ac:dyDescent="0.25">
      <c r="Q165" s="82"/>
      <c r="R165" s="82"/>
      <c r="S165" s="82"/>
    </row>
    <row r="166" spans="17:19" x14ac:dyDescent="0.25">
      <c r="Q166" s="82"/>
      <c r="R166" s="82"/>
      <c r="S166" s="82"/>
    </row>
    <row r="167" spans="17:19" x14ac:dyDescent="0.25">
      <c r="Q167" s="82"/>
      <c r="R167" s="82"/>
      <c r="S167" s="82"/>
    </row>
    <row r="168" spans="17:19" x14ac:dyDescent="0.25">
      <c r="Q168" s="82"/>
      <c r="R168" s="82"/>
      <c r="S168" s="82"/>
    </row>
    <row r="169" spans="17:19" x14ac:dyDescent="0.25">
      <c r="Q169" s="82"/>
      <c r="R169" s="82"/>
      <c r="S169" s="82"/>
    </row>
    <row r="170" spans="17:19" x14ac:dyDescent="0.25">
      <c r="Q170" s="82"/>
      <c r="R170" s="82"/>
      <c r="S170" s="82"/>
    </row>
    <row r="171" spans="17:19" x14ac:dyDescent="0.25">
      <c r="Q171" s="82"/>
      <c r="R171" s="82"/>
      <c r="S171" s="82"/>
    </row>
    <row r="172" spans="17:19" x14ac:dyDescent="0.25">
      <c r="Q172" s="82"/>
      <c r="R172" s="82"/>
      <c r="S172" s="82"/>
    </row>
    <row r="173" spans="17:19" x14ac:dyDescent="0.25">
      <c r="Q173" s="82"/>
      <c r="R173" s="82"/>
      <c r="S173" s="82"/>
    </row>
    <row r="174" spans="17:19" x14ac:dyDescent="0.25">
      <c r="Q174" s="82"/>
      <c r="R174" s="82"/>
      <c r="S174" s="82"/>
    </row>
    <row r="175" spans="17:19" x14ac:dyDescent="0.25">
      <c r="Q175" s="82"/>
      <c r="R175" s="82"/>
      <c r="S175" s="82"/>
    </row>
    <row r="176" spans="17:19" x14ac:dyDescent="0.25">
      <c r="Q176" s="82"/>
      <c r="R176" s="82"/>
      <c r="S176" s="82"/>
    </row>
    <row r="177" spans="17:19" x14ac:dyDescent="0.25">
      <c r="Q177" s="82"/>
      <c r="R177" s="82"/>
      <c r="S177" s="82"/>
    </row>
    <row r="178" spans="17:19" x14ac:dyDescent="0.25">
      <c r="Q178" s="82"/>
      <c r="R178" s="82"/>
      <c r="S178" s="82"/>
    </row>
    <row r="179" spans="17:19" x14ac:dyDescent="0.25">
      <c r="Q179" s="82"/>
      <c r="R179" s="82"/>
      <c r="S179" s="82"/>
    </row>
    <row r="180" spans="17:19" x14ac:dyDescent="0.25">
      <c r="Q180" s="82"/>
      <c r="R180" s="82"/>
      <c r="S180" s="82"/>
    </row>
    <row r="181" spans="17:19" x14ac:dyDescent="0.25">
      <c r="Q181" s="82"/>
      <c r="R181" s="82"/>
      <c r="S181" s="82"/>
    </row>
    <row r="182" spans="17:19" x14ac:dyDescent="0.25">
      <c r="Q182" s="82"/>
      <c r="R182" s="82"/>
      <c r="S182" s="82"/>
    </row>
    <row r="183" spans="17:19" x14ac:dyDescent="0.25">
      <c r="Q183" s="82"/>
      <c r="R183" s="82"/>
      <c r="S183" s="82"/>
    </row>
    <row r="184" spans="17:19" x14ac:dyDescent="0.25">
      <c r="Q184" s="82"/>
      <c r="R184" s="82"/>
      <c r="S184" s="82"/>
    </row>
    <row r="185" spans="17:19" x14ac:dyDescent="0.25">
      <c r="Q185" s="82"/>
      <c r="R185" s="82"/>
      <c r="S185" s="82"/>
    </row>
    <row r="186" spans="17:19" x14ac:dyDescent="0.25">
      <c r="Q186" s="82"/>
      <c r="R186" s="82"/>
      <c r="S186" s="82"/>
    </row>
    <row r="187" spans="17:19" x14ac:dyDescent="0.25">
      <c r="Q187" s="82"/>
      <c r="R187" s="82"/>
      <c r="S187" s="82"/>
    </row>
    <row r="188" spans="17:19" x14ac:dyDescent="0.25">
      <c r="Q188" s="82"/>
      <c r="R188" s="82"/>
      <c r="S188" s="82"/>
    </row>
    <row r="189" spans="17:19" x14ac:dyDescent="0.25">
      <c r="Q189" s="82"/>
      <c r="R189" s="82"/>
      <c r="S189" s="82"/>
    </row>
    <row r="190" spans="17:19" x14ac:dyDescent="0.25">
      <c r="Q190" s="82"/>
      <c r="R190" s="82"/>
      <c r="S190" s="82"/>
    </row>
    <row r="191" spans="17:19" x14ac:dyDescent="0.25">
      <c r="Q191" s="82"/>
      <c r="R191" s="82"/>
      <c r="S191" s="82"/>
    </row>
    <row r="192" spans="17:19" x14ac:dyDescent="0.25">
      <c r="Q192" s="82"/>
      <c r="R192" s="82"/>
      <c r="S192" s="82"/>
    </row>
    <row r="193" spans="17:19" x14ac:dyDescent="0.25">
      <c r="Q193" s="82"/>
      <c r="R193" s="82"/>
      <c r="S193" s="82"/>
    </row>
    <row r="194" spans="17:19" x14ac:dyDescent="0.25">
      <c r="Q194" s="82"/>
      <c r="R194" s="82"/>
      <c r="S194" s="82"/>
    </row>
    <row r="195" spans="17:19" x14ac:dyDescent="0.25">
      <c r="Q195" s="82"/>
      <c r="R195" s="82"/>
      <c r="S195" s="82"/>
    </row>
    <row r="196" spans="17:19" x14ac:dyDescent="0.25">
      <c r="Q196" s="82"/>
      <c r="R196" s="82"/>
      <c r="S196" s="82"/>
    </row>
    <row r="197" spans="17:19" x14ac:dyDescent="0.25">
      <c r="Q197" s="82"/>
      <c r="R197" s="82"/>
      <c r="S197" s="82"/>
    </row>
    <row r="198" spans="17:19" x14ac:dyDescent="0.25">
      <c r="Q198" s="82"/>
      <c r="R198" s="82"/>
      <c r="S198" s="82"/>
    </row>
    <row r="199" spans="17:19" x14ac:dyDescent="0.25">
      <c r="Q199" s="82"/>
      <c r="R199" s="82"/>
      <c r="S199" s="82"/>
    </row>
    <row r="200" spans="17:19" x14ac:dyDescent="0.25">
      <c r="Q200" s="82"/>
      <c r="R200" s="82"/>
      <c r="S200" s="82"/>
    </row>
    <row r="201" spans="17:19" x14ac:dyDescent="0.25">
      <c r="Q201" s="82"/>
      <c r="R201" s="82"/>
      <c r="S201" s="82"/>
    </row>
    <row r="202" spans="17:19" x14ac:dyDescent="0.25">
      <c r="Q202" s="82"/>
      <c r="R202" s="82"/>
      <c r="S202" s="82"/>
    </row>
    <row r="203" spans="17:19" x14ac:dyDescent="0.25">
      <c r="Q203" s="82"/>
      <c r="R203" s="82"/>
      <c r="S203" s="82"/>
    </row>
    <row r="204" spans="17:19" x14ac:dyDescent="0.25">
      <c r="Q204" s="82"/>
      <c r="R204" s="82"/>
      <c r="S204" s="82"/>
    </row>
    <row r="205" spans="17:19" x14ac:dyDescent="0.25">
      <c r="Q205" s="82"/>
      <c r="R205" s="82"/>
      <c r="S205" s="82"/>
    </row>
    <row r="206" spans="17:19" x14ac:dyDescent="0.25">
      <c r="Q206" s="82"/>
      <c r="R206" s="82"/>
      <c r="S206" s="82"/>
    </row>
    <row r="207" spans="17:19" x14ac:dyDescent="0.25">
      <c r="Q207" s="82"/>
      <c r="R207" s="82"/>
      <c r="S207" s="82"/>
    </row>
    <row r="208" spans="17:19" x14ac:dyDescent="0.25">
      <c r="Q208" s="82"/>
      <c r="R208" s="82"/>
      <c r="S208" s="82"/>
    </row>
    <row r="209" spans="17:19" x14ac:dyDescent="0.25">
      <c r="Q209" s="82"/>
      <c r="R209" s="82"/>
      <c r="S209" s="82"/>
    </row>
    <row r="210" spans="17:19" x14ac:dyDescent="0.25">
      <c r="Q210" s="82"/>
      <c r="R210" s="82"/>
      <c r="S210" s="82"/>
    </row>
    <row r="211" spans="17:19" x14ac:dyDescent="0.25">
      <c r="Q211" s="82"/>
      <c r="R211" s="82"/>
      <c r="S211" s="82"/>
    </row>
    <row r="212" spans="17:19" x14ac:dyDescent="0.25">
      <c r="Q212" s="82"/>
      <c r="R212" s="82"/>
      <c r="S212" s="82"/>
    </row>
    <row r="213" spans="17:19" x14ac:dyDescent="0.25">
      <c r="Q213" s="82"/>
      <c r="R213" s="82"/>
      <c r="S213" s="82"/>
    </row>
    <row r="214" spans="17:19" x14ac:dyDescent="0.25">
      <c r="Q214" s="82"/>
      <c r="R214" s="82"/>
      <c r="S214" s="82"/>
    </row>
    <row r="215" spans="17:19" x14ac:dyDescent="0.25">
      <c r="Q215" s="82"/>
      <c r="R215" s="82"/>
      <c r="S215" s="82"/>
    </row>
    <row r="216" spans="17:19" x14ac:dyDescent="0.25">
      <c r="Q216" s="82"/>
      <c r="R216" s="82"/>
      <c r="S216" s="82"/>
    </row>
    <row r="217" spans="17:19" x14ac:dyDescent="0.25">
      <c r="Q217" s="82"/>
      <c r="R217" s="82"/>
      <c r="S217" s="82"/>
    </row>
    <row r="218" spans="17:19" x14ac:dyDescent="0.25">
      <c r="Q218" s="82"/>
      <c r="R218" s="82"/>
      <c r="S218" s="82"/>
    </row>
    <row r="219" spans="17:19" x14ac:dyDescent="0.25">
      <c r="Q219" s="82"/>
      <c r="R219" s="82"/>
      <c r="S219" s="82"/>
    </row>
    <row r="220" spans="17:19" x14ac:dyDescent="0.25">
      <c r="Q220" s="82"/>
      <c r="R220" s="82"/>
      <c r="S220" s="82"/>
    </row>
    <row r="221" spans="17:19" x14ac:dyDescent="0.25">
      <c r="Q221" s="82"/>
      <c r="R221" s="82"/>
      <c r="S221" s="82"/>
    </row>
    <row r="222" spans="17:19" x14ac:dyDescent="0.25">
      <c r="Q222" s="82"/>
      <c r="R222" s="82"/>
      <c r="S222" s="82"/>
    </row>
    <row r="223" spans="17:19" x14ac:dyDescent="0.25">
      <c r="Q223" s="82"/>
      <c r="R223" s="82"/>
      <c r="S223" s="82"/>
    </row>
    <row r="224" spans="17:19" x14ac:dyDescent="0.25">
      <c r="Q224" s="82"/>
      <c r="R224" s="82"/>
      <c r="S224" s="82"/>
    </row>
    <row r="225" spans="17:19" x14ac:dyDescent="0.25">
      <c r="Q225" s="82"/>
      <c r="R225" s="82"/>
      <c r="S225" s="82"/>
    </row>
    <row r="226" spans="17:19" x14ac:dyDescent="0.25">
      <c r="Q226" s="82"/>
      <c r="R226" s="82"/>
      <c r="S226" s="82"/>
    </row>
    <row r="227" spans="17:19" x14ac:dyDescent="0.25">
      <c r="Q227" s="82"/>
      <c r="R227" s="82"/>
      <c r="S227" s="82"/>
    </row>
    <row r="228" spans="17:19" x14ac:dyDescent="0.25">
      <c r="Q228" s="82"/>
      <c r="R228" s="82"/>
      <c r="S228" s="82"/>
    </row>
    <row r="229" spans="17:19" x14ac:dyDescent="0.25">
      <c r="Q229" s="82"/>
      <c r="R229" s="82"/>
      <c r="S229" s="82"/>
    </row>
    <row r="230" spans="17:19" x14ac:dyDescent="0.25">
      <c r="Q230" s="82"/>
      <c r="R230" s="82"/>
      <c r="S230" s="82"/>
    </row>
    <row r="231" spans="17:19" x14ac:dyDescent="0.25">
      <c r="Q231" s="82"/>
      <c r="R231" s="82"/>
      <c r="S231" s="82"/>
    </row>
    <row r="232" spans="17:19" x14ac:dyDescent="0.25">
      <c r="Q232" s="82"/>
      <c r="R232" s="82"/>
      <c r="S232" s="82"/>
    </row>
    <row r="233" spans="17:19" x14ac:dyDescent="0.25">
      <c r="Q233" s="82"/>
      <c r="R233" s="82"/>
      <c r="S233" s="82"/>
    </row>
    <row r="234" spans="17:19" x14ac:dyDescent="0.25">
      <c r="Q234" s="82"/>
      <c r="R234" s="82"/>
      <c r="S234" s="82"/>
    </row>
    <row r="235" spans="17:19" x14ac:dyDescent="0.25">
      <c r="Q235" s="82"/>
      <c r="R235" s="82"/>
      <c r="S235" s="82"/>
    </row>
    <row r="236" spans="17:19" x14ac:dyDescent="0.25">
      <c r="Q236" s="82"/>
      <c r="R236" s="82"/>
      <c r="S236" s="82"/>
    </row>
    <row r="237" spans="17:19" x14ac:dyDescent="0.25">
      <c r="Q237" s="82"/>
      <c r="R237" s="82"/>
      <c r="S237" s="82"/>
    </row>
    <row r="238" spans="17:19" x14ac:dyDescent="0.25">
      <c r="Q238" s="82"/>
      <c r="R238" s="82"/>
      <c r="S238" s="82"/>
    </row>
    <row r="239" spans="17:19" x14ac:dyDescent="0.25">
      <c r="Q239" s="82"/>
      <c r="R239" s="82"/>
      <c r="S239" s="82"/>
    </row>
    <row r="240" spans="17:19" x14ac:dyDescent="0.25">
      <c r="Q240" s="82"/>
      <c r="R240" s="82"/>
      <c r="S240" s="82"/>
    </row>
    <row r="241" spans="17:19" x14ac:dyDescent="0.25">
      <c r="Q241" s="82"/>
      <c r="R241" s="82"/>
      <c r="S241" s="82"/>
    </row>
    <row r="242" spans="17:19" x14ac:dyDescent="0.25">
      <c r="Q242" s="82"/>
      <c r="R242" s="82"/>
      <c r="S242" s="82"/>
    </row>
    <row r="243" spans="17:19" x14ac:dyDescent="0.25">
      <c r="Q243" s="82"/>
      <c r="R243" s="82"/>
      <c r="S243" s="82"/>
    </row>
    <row r="244" spans="17:19" x14ac:dyDescent="0.25">
      <c r="Q244" s="82"/>
      <c r="R244" s="82"/>
      <c r="S244" s="82"/>
    </row>
    <row r="245" spans="17:19" x14ac:dyDescent="0.25">
      <c r="Q245" s="82"/>
      <c r="R245" s="82"/>
      <c r="S245" s="82"/>
    </row>
    <row r="246" spans="17:19" x14ac:dyDescent="0.25">
      <c r="Q246" s="82"/>
      <c r="R246" s="82"/>
      <c r="S246" s="82"/>
    </row>
    <row r="247" spans="17:19" x14ac:dyDescent="0.25">
      <c r="Q247" s="82"/>
      <c r="R247" s="82"/>
      <c r="S247" s="82"/>
    </row>
    <row r="248" spans="17:19" x14ac:dyDescent="0.25">
      <c r="Q248" s="82"/>
      <c r="R248" s="82"/>
      <c r="S248" s="82"/>
    </row>
    <row r="249" spans="17:19" x14ac:dyDescent="0.25">
      <c r="Q249" s="82"/>
      <c r="R249" s="82"/>
      <c r="S249" s="82"/>
    </row>
    <row r="250" spans="17:19" x14ac:dyDescent="0.25">
      <c r="Q250" s="82"/>
      <c r="R250" s="82"/>
      <c r="S250" s="82"/>
    </row>
    <row r="251" spans="17:19" x14ac:dyDescent="0.25">
      <c r="Q251" s="82"/>
      <c r="R251" s="82"/>
      <c r="S251" s="82"/>
    </row>
    <row r="252" spans="17:19" x14ac:dyDescent="0.25">
      <c r="Q252" s="82"/>
      <c r="R252" s="82"/>
      <c r="S252" s="82"/>
    </row>
    <row r="253" spans="17:19" x14ac:dyDescent="0.25">
      <c r="Q253" s="82"/>
      <c r="R253" s="82"/>
      <c r="S253" s="82"/>
    </row>
    <row r="254" spans="17:19" x14ac:dyDescent="0.25">
      <c r="Q254" s="82"/>
      <c r="R254" s="82"/>
      <c r="S254" s="82"/>
    </row>
    <row r="255" spans="17:19" x14ac:dyDescent="0.25">
      <c r="Q255" s="82"/>
      <c r="R255" s="82"/>
      <c r="S255" s="82"/>
    </row>
    <row r="256" spans="17:19" x14ac:dyDescent="0.25">
      <c r="Q256" s="82"/>
      <c r="R256" s="82"/>
      <c r="S256" s="82"/>
    </row>
    <row r="257" spans="17:19" x14ac:dyDescent="0.25">
      <c r="Q257" s="82"/>
      <c r="R257" s="82"/>
      <c r="S257" s="82"/>
    </row>
    <row r="258" spans="17:19" x14ac:dyDescent="0.25">
      <c r="Q258" s="82"/>
      <c r="R258" s="82"/>
      <c r="S258" s="82"/>
    </row>
    <row r="259" spans="17:19" x14ac:dyDescent="0.25">
      <c r="Q259" s="82"/>
      <c r="R259" s="82"/>
      <c r="S259" s="82"/>
    </row>
    <row r="260" spans="17:19" x14ac:dyDescent="0.25">
      <c r="Q260" s="82"/>
      <c r="R260" s="82"/>
      <c r="S260" s="82"/>
    </row>
    <row r="261" spans="17:19" x14ac:dyDescent="0.25">
      <c r="Q261" s="82"/>
      <c r="R261" s="82"/>
      <c r="S261" s="82"/>
    </row>
    <row r="262" spans="17:19" x14ac:dyDescent="0.25">
      <c r="Q262" s="82"/>
      <c r="R262" s="82"/>
      <c r="S262" s="82"/>
    </row>
    <row r="263" spans="17:19" x14ac:dyDescent="0.25">
      <c r="Q263" s="82"/>
      <c r="R263" s="82"/>
      <c r="S263" s="82"/>
    </row>
    <row r="264" spans="17:19" x14ac:dyDescent="0.25">
      <c r="Q264" s="82"/>
      <c r="R264" s="82"/>
      <c r="S264" s="82"/>
    </row>
    <row r="265" spans="17:19" x14ac:dyDescent="0.25">
      <c r="Q265" s="82"/>
      <c r="R265" s="82"/>
      <c r="S265" s="82"/>
    </row>
    <row r="266" spans="17:19" x14ac:dyDescent="0.25">
      <c r="Q266" s="82"/>
      <c r="R266" s="82"/>
      <c r="S266" s="82"/>
    </row>
    <row r="267" spans="17:19" x14ac:dyDescent="0.25">
      <c r="Q267" s="82"/>
      <c r="R267" s="82"/>
      <c r="S267" s="82"/>
    </row>
    <row r="268" spans="17:19" x14ac:dyDescent="0.25">
      <c r="Q268" s="82"/>
      <c r="R268" s="82"/>
      <c r="S268" s="82"/>
    </row>
    <row r="269" spans="17:19" x14ac:dyDescent="0.25">
      <c r="Q269" s="82"/>
      <c r="R269" s="82"/>
      <c r="S269" s="82"/>
    </row>
    <row r="270" spans="17:19" x14ac:dyDescent="0.25">
      <c r="Q270" s="82"/>
      <c r="R270" s="82"/>
      <c r="S270" s="82"/>
    </row>
    <row r="271" spans="17:19" x14ac:dyDescent="0.25">
      <c r="Q271" s="82"/>
      <c r="R271" s="82"/>
      <c r="S271" s="82"/>
    </row>
    <row r="272" spans="17:19" x14ac:dyDescent="0.25">
      <c r="Q272" s="82"/>
      <c r="R272" s="82"/>
      <c r="S272" s="82"/>
    </row>
    <row r="273" spans="3:19" x14ac:dyDescent="0.25">
      <c r="Q273" s="82"/>
      <c r="R273" s="82"/>
      <c r="S273" s="82"/>
    </row>
    <row r="274" spans="3:19" x14ac:dyDescent="0.25">
      <c r="Q274" s="82"/>
      <c r="R274" s="82"/>
      <c r="S274" s="82"/>
    </row>
    <row r="275" spans="3:19" x14ac:dyDescent="0.25">
      <c r="Q275" s="82"/>
      <c r="R275" s="82"/>
      <c r="S275" s="82"/>
    </row>
    <row r="276" spans="3:19" x14ac:dyDescent="0.25">
      <c r="Q276" s="82"/>
      <c r="R276" s="82"/>
      <c r="S276" s="82"/>
    </row>
    <row r="277" spans="3:19" x14ac:dyDescent="0.25">
      <c r="Q277" s="82"/>
      <c r="R277" s="82"/>
      <c r="S277" s="82"/>
    </row>
    <row r="278" spans="3:19" x14ac:dyDescent="0.25">
      <c r="Q278" s="82"/>
      <c r="R278" s="82"/>
      <c r="S278" s="82"/>
    </row>
    <row r="279" spans="3:19" x14ac:dyDescent="0.25">
      <c r="Q279" s="82"/>
      <c r="R279" s="82"/>
      <c r="S279" s="82"/>
    </row>
    <row r="280" spans="3:19" x14ac:dyDescent="0.25">
      <c r="Q280" s="82"/>
      <c r="R280" s="82"/>
      <c r="S280" s="82"/>
    </row>
    <row r="281" spans="3:19" x14ac:dyDescent="0.25">
      <c r="Q281" s="82"/>
      <c r="R281" s="82"/>
      <c r="S281" s="82"/>
    </row>
    <row r="282" spans="3:19" x14ac:dyDescent="0.25">
      <c r="Q282" s="82"/>
      <c r="R282" s="82"/>
      <c r="S282" s="82"/>
    </row>
    <row r="283" spans="3:19" x14ac:dyDescent="0.25">
      <c r="Q283" s="82"/>
      <c r="R283" s="82"/>
      <c r="S283" s="82"/>
    </row>
    <row r="284" spans="3:19" x14ac:dyDescent="0.25">
      <c r="Q284" s="82"/>
      <c r="R284" s="82"/>
      <c r="S284" s="82"/>
    </row>
    <row r="285" spans="3:19" x14ac:dyDescent="0.25">
      <c r="Q285" s="82"/>
      <c r="R285" s="82"/>
      <c r="S285" s="82"/>
    </row>
    <row r="286" spans="3:19" x14ac:dyDescent="0.25">
      <c r="Q286" s="82"/>
      <c r="R286" s="82"/>
      <c r="S286" s="82"/>
    </row>
    <row r="287" spans="3:19" x14ac:dyDescent="0.25">
      <c r="Q287" s="82"/>
      <c r="R287" s="82"/>
      <c r="S287" s="82"/>
    </row>
    <row r="288" spans="3:19" x14ac:dyDescent="0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Q288" s="82"/>
      <c r="R288" s="82"/>
      <c r="S288" s="82"/>
    </row>
    <row r="289" spans="3:19" x14ac:dyDescent="0.25"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</row>
    <row r="290" spans="3:19" x14ac:dyDescent="0.25"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</row>
    <row r="291" spans="3:19" x14ac:dyDescent="0.25"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</row>
    <row r="292" spans="3:19" x14ac:dyDescent="0.25"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</row>
    <row r="293" spans="3:19" x14ac:dyDescent="0.25"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</row>
    <row r="294" spans="3:19" x14ac:dyDescent="0.25"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</row>
    <row r="295" spans="3:19" x14ac:dyDescent="0.25"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</row>
    <row r="296" spans="3:19" x14ac:dyDescent="0.25"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</row>
    <row r="297" spans="3:19" x14ac:dyDescent="0.25"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</row>
    <row r="298" spans="3:19" x14ac:dyDescent="0.25"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</row>
    <row r="299" spans="3:19" x14ac:dyDescent="0.25"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</row>
    <row r="300" spans="3:19" x14ac:dyDescent="0.25"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</row>
    <row r="301" spans="3:19" x14ac:dyDescent="0.25"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</row>
    <row r="302" spans="3:19" x14ac:dyDescent="0.25"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3:19" x14ac:dyDescent="0.25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3:19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3:19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3:19" x14ac:dyDescent="0.25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3:19" x14ac:dyDescent="0.25"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3:19" x14ac:dyDescent="0.25"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3:19" x14ac:dyDescent="0.25"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3:19" x14ac:dyDescent="0.25"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3:19" x14ac:dyDescent="0.25"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3:19" x14ac:dyDescent="0.25"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3:19" x14ac:dyDescent="0.25"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3:19" x14ac:dyDescent="0.25"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3:19" x14ac:dyDescent="0.25"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3:19" x14ac:dyDescent="0.25"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3:19" x14ac:dyDescent="0.25"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3:19" x14ac:dyDescent="0.25"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3:19" x14ac:dyDescent="0.25"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3:19" x14ac:dyDescent="0.25"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3:19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3:19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3:19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3:19" x14ac:dyDescent="0.25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3:19" x14ac:dyDescent="0.25"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3:19" x14ac:dyDescent="0.25"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3:19" x14ac:dyDescent="0.25"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3:19" x14ac:dyDescent="0.25"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3:19" x14ac:dyDescent="0.25"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3:19" x14ac:dyDescent="0.25"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3:19" x14ac:dyDescent="0.25"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3:19" x14ac:dyDescent="0.25"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3:19" x14ac:dyDescent="0.25"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3:19" x14ac:dyDescent="0.25"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3:19" x14ac:dyDescent="0.25"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3:19" x14ac:dyDescent="0.25"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3:19" x14ac:dyDescent="0.25"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3:19" x14ac:dyDescent="0.25"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3:19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3:19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3:19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x14ac:dyDescent="0.25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x14ac:dyDescent="0.25"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x14ac:dyDescent="0.25">
      <c r="P344" s="82"/>
      <c r="Q344" s="82"/>
      <c r="R344" s="82"/>
      <c r="S344" s="82"/>
    </row>
  </sheetData>
  <sheetProtection sheet="1" objects="1" scenarios="1"/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Q575"/>
  <sheetViews>
    <sheetView topLeftCell="A34" workbookViewId="0">
      <selection activeCell="E57" sqref="E57"/>
    </sheetView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75.5" style="1" bestFit="1" customWidth="1"/>
    <col min="4" max="4" width="31.1640625" style="1" customWidth="1"/>
    <col min="5" max="5" width="24.1640625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31" customWidth="1"/>
    <col min="15" max="15" width="48.83203125" style="31" customWidth="1"/>
    <col min="16" max="16" width="23.5" style="31" customWidth="1"/>
    <col min="17" max="17" width="20.5" style="31" customWidth="1"/>
    <col min="18" max="18" width="20.83203125" style="31" customWidth="1"/>
    <col min="19" max="19" width="23.6640625" style="31" bestFit="1" customWidth="1"/>
    <col min="20" max="20" width="22.1640625" style="31" bestFit="1" customWidth="1"/>
    <col min="21" max="21" width="23" style="31" bestFit="1" customWidth="1"/>
    <col min="22" max="22" width="19.83203125" style="31" customWidth="1"/>
    <col min="23" max="23" width="20.33203125" style="31" customWidth="1"/>
    <col min="24" max="24" width="23.5" style="31" bestFit="1" customWidth="1"/>
    <col min="25" max="25" width="21.6640625" style="31" bestFit="1" customWidth="1"/>
    <col min="26" max="26" width="16.1640625" style="31" customWidth="1"/>
    <col min="27" max="28" width="23.5" style="31" bestFit="1" customWidth="1"/>
    <col min="29" max="29" width="21.33203125" style="31" bestFit="1" customWidth="1"/>
    <col min="30" max="30" width="23.5" style="31" bestFit="1" customWidth="1"/>
    <col min="31" max="31" width="21.33203125" style="31" bestFit="1" customWidth="1"/>
    <col min="32" max="32" width="20.6640625" style="31" bestFit="1" customWidth="1"/>
    <col min="33" max="43" width="9.33203125" style="31"/>
    <col min="44" max="16384" width="9.33203125" style="1"/>
  </cols>
  <sheetData>
    <row r="1" spans="1:32" s="1" customFormat="1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47"/>
      <c r="N1" s="21"/>
      <c r="O1" s="37"/>
      <c r="P1" s="38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1" customFormat="1" x14ac:dyDescent="0.25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"/>
      <c r="L2" s="2"/>
      <c r="M2" s="247"/>
      <c r="N2" s="21"/>
      <c r="O2" s="21"/>
      <c r="P2" s="3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1"/>
      <c r="O3" s="21"/>
      <c r="P3" s="39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J4" s="235" t="str">
        <f>"For the 12 months ended "&amp;TEXT('OATT Input Data'!B4,"MM/DD/YYYY")</f>
        <v>For the 12 months ended 12/31/2018</v>
      </c>
      <c r="K4" s="4"/>
      <c r="L4" s="4"/>
      <c r="M4" s="4"/>
      <c r="N4" s="21"/>
      <c r="O4" s="21"/>
      <c r="P4" s="2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x14ac:dyDescent="0.25">
      <c r="A5" s="272" t="s">
        <v>187</v>
      </c>
      <c r="C5" s="2"/>
      <c r="F5" s="9"/>
      <c r="G5" s="9"/>
      <c r="H5" s="9"/>
      <c r="I5" s="2"/>
      <c r="J5" s="235" t="s">
        <v>123</v>
      </c>
      <c r="K5" s="251"/>
      <c r="L5" s="251"/>
      <c r="M5" s="4"/>
      <c r="N5" s="21"/>
      <c r="O5" s="21"/>
      <c r="P5" s="2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1"/>
      <c r="O6" s="21"/>
      <c r="P6" s="2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" customFormat="1" x14ac:dyDescent="0.25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"/>
      <c r="L7" s="2"/>
      <c r="M7" s="4"/>
      <c r="N7" s="46"/>
      <c r="O7" s="46"/>
      <c r="P7" s="2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s="1" customFormat="1" x14ac:dyDescent="0.25">
      <c r="C8" s="5" t="s">
        <v>18</v>
      </c>
      <c r="D8" s="5" t="s">
        <v>19</v>
      </c>
      <c r="E8" s="5" t="s">
        <v>20</v>
      </c>
      <c r="F8" s="9" t="s">
        <v>0</v>
      </c>
      <c r="G8" s="9"/>
      <c r="H8" s="452" t="s">
        <v>21</v>
      </c>
      <c r="I8" s="9"/>
      <c r="J8" s="453" t="s">
        <v>22</v>
      </c>
      <c r="K8" s="9"/>
      <c r="L8" s="5"/>
      <c r="M8" s="9"/>
      <c r="N8" s="30"/>
      <c r="O8" s="46"/>
      <c r="P8" s="2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1" customFormat="1" x14ac:dyDescent="0.25">
      <c r="C9" s="2"/>
      <c r="D9" s="454" t="s">
        <v>23</v>
      </c>
      <c r="E9" s="9"/>
      <c r="F9" s="9"/>
      <c r="G9" s="9"/>
      <c r="H9" s="5"/>
      <c r="I9" s="9"/>
      <c r="J9" s="455" t="s">
        <v>24</v>
      </c>
      <c r="K9" s="9"/>
      <c r="L9" s="5"/>
      <c r="M9" s="9"/>
      <c r="N9" s="30"/>
      <c r="O9" s="30"/>
      <c r="P9" s="2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" customFormat="1" x14ac:dyDescent="0.25">
      <c r="A10" s="5" t="s">
        <v>1</v>
      </c>
      <c r="C10" s="2"/>
      <c r="D10" s="456" t="s">
        <v>25</v>
      </c>
      <c r="E10" s="455" t="s">
        <v>26</v>
      </c>
      <c r="F10" s="457"/>
      <c r="G10" s="455" t="s">
        <v>27</v>
      </c>
      <c r="I10" s="457"/>
      <c r="J10" s="458" t="s">
        <v>28</v>
      </c>
      <c r="K10" s="9"/>
      <c r="L10" s="5"/>
      <c r="M10" s="4"/>
      <c r="N10" s="30"/>
      <c r="O10" s="30"/>
      <c r="P10" s="2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1" customFormat="1" ht="16.5" thickBot="1" x14ac:dyDescent="0.3">
      <c r="A11" s="11" t="s">
        <v>3</v>
      </c>
      <c r="C11" s="459" t="s">
        <v>29</v>
      </c>
      <c r="D11" s="9"/>
      <c r="E11" s="9"/>
      <c r="F11" s="9"/>
      <c r="G11" s="9"/>
      <c r="H11" s="9"/>
      <c r="I11" s="9"/>
      <c r="J11" s="9"/>
      <c r="K11" s="9"/>
      <c r="L11" s="9"/>
      <c r="M11" s="4"/>
      <c r="N11" s="46"/>
      <c r="O11" s="46"/>
      <c r="P11" s="2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1" customFormat="1" x14ac:dyDescent="0.25">
      <c r="A12" s="5"/>
      <c r="C12" s="2"/>
      <c r="D12" s="9"/>
      <c r="E12" s="9"/>
      <c r="F12" s="9"/>
      <c r="G12" s="9"/>
      <c r="H12" s="9"/>
      <c r="I12" s="9"/>
      <c r="J12" s="9"/>
      <c r="K12" s="9"/>
      <c r="L12" s="9"/>
      <c r="M12" s="4"/>
      <c r="N12" s="46"/>
      <c r="O12" s="46"/>
      <c r="P12" s="20"/>
      <c r="Q12" s="31"/>
      <c r="R12" s="31"/>
      <c r="S12" s="140"/>
      <c r="T12" s="140"/>
      <c r="U12" s="31"/>
      <c r="V12" s="31"/>
      <c r="W12" s="31"/>
      <c r="X12" s="31"/>
      <c r="Y12" s="31"/>
      <c r="Z12" s="31"/>
      <c r="AA12" s="31"/>
      <c r="AB12" s="141"/>
      <c r="AC12" s="31"/>
      <c r="AD12" s="31"/>
      <c r="AE12" s="31"/>
      <c r="AF12" s="31"/>
    </row>
    <row r="13" spans="1:32" s="1" customFormat="1" x14ac:dyDescent="0.25">
      <c r="A13" s="5"/>
      <c r="C13" s="2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4"/>
      <c r="N13" s="46"/>
      <c r="O13" s="46"/>
      <c r="P13" s="20"/>
      <c r="Q13" s="31"/>
      <c r="R13" s="31"/>
      <c r="S13" s="20"/>
      <c r="T13" s="141"/>
      <c r="U13" s="20"/>
      <c r="V13" s="141"/>
      <c r="W13" s="31"/>
      <c r="X13" s="31"/>
      <c r="Y13" s="31"/>
      <c r="Z13" s="31"/>
      <c r="AA13" s="31"/>
      <c r="AB13" s="65"/>
      <c r="AC13" s="141"/>
      <c r="AD13" s="142"/>
      <c r="AE13" s="142"/>
      <c r="AF13" s="142"/>
    </row>
    <row r="14" spans="1:32" s="1" customFormat="1" x14ac:dyDescent="0.25">
      <c r="A14" s="5">
        <v>1</v>
      </c>
      <c r="C14" s="2" t="s">
        <v>31</v>
      </c>
      <c r="D14" s="242" t="s">
        <v>175</v>
      </c>
      <c r="E14" s="145">
        <f>'OATT Input Data'!$E$111</f>
        <v>9894150328</v>
      </c>
      <c r="F14" s="9"/>
      <c r="G14" s="9" t="s">
        <v>32</v>
      </c>
      <c r="H14" s="460"/>
      <c r="I14" s="9"/>
      <c r="J14" s="145"/>
      <c r="K14" s="9"/>
      <c r="L14" s="9"/>
      <c r="M14" s="4"/>
      <c r="N14" s="143"/>
      <c r="O14" s="46"/>
      <c r="P14" s="46"/>
      <c r="Q14" s="46"/>
      <c r="R14" s="46"/>
      <c r="S14" s="144"/>
      <c r="T14" s="145"/>
      <c r="U14" s="144"/>
      <c r="V14" s="145"/>
      <c r="W14" s="31"/>
      <c r="X14" s="31"/>
      <c r="Y14" s="31"/>
      <c r="Z14" s="31"/>
      <c r="AA14" s="31"/>
      <c r="AB14" s="65"/>
      <c r="AC14" s="65"/>
      <c r="AD14" s="65"/>
      <c r="AE14" s="65"/>
      <c r="AF14" s="65"/>
    </row>
    <row r="15" spans="1:32" s="1" customFormat="1" x14ac:dyDescent="0.25">
      <c r="A15" s="5">
        <v>2</v>
      </c>
      <c r="C15" s="2" t="s">
        <v>33</v>
      </c>
      <c r="D15" s="242" t="s">
        <v>176</v>
      </c>
      <c r="E15" s="461">
        <f>'OATT Input Data'!$E$112</f>
        <v>1502513484</v>
      </c>
      <c r="F15" s="9"/>
      <c r="G15" s="9" t="s">
        <v>9</v>
      </c>
      <c r="H15" s="460">
        <f>'NITS Pg 4 of 5'!$J$16</f>
        <v>0.96060000000000001</v>
      </c>
      <c r="I15" s="9"/>
      <c r="J15" s="145">
        <f>ROUND(E15*H15,0)</f>
        <v>1443314453</v>
      </c>
      <c r="K15" s="9"/>
      <c r="L15" s="9"/>
      <c r="M15" s="4"/>
      <c r="N15" s="31"/>
      <c r="O15" s="46"/>
      <c r="P15" s="46"/>
      <c r="Q15" s="46"/>
      <c r="R15" s="46"/>
      <c r="S15" s="144"/>
      <c r="T15" s="145"/>
      <c r="U15" s="144"/>
      <c r="V15" s="145"/>
      <c r="W15" s="31"/>
      <c r="X15" s="31"/>
      <c r="Y15" s="31"/>
      <c r="Z15" s="31"/>
      <c r="AA15" s="31"/>
      <c r="AB15" s="65"/>
      <c r="AC15" s="65"/>
      <c r="AD15" s="65"/>
      <c r="AE15" s="65"/>
      <c r="AF15" s="65"/>
    </row>
    <row r="16" spans="1:32" s="1" customFormat="1" x14ac:dyDescent="0.25">
      <c r="A16" s="5">
        <v>3</v>
      </c>
      <c r="C16" s="2" t="s">
        <v>34</v>
      </c>
      <c r="D16" s="242" t="s">
        <v>177</v>
      </c>
      <c r="E16" s="48">
        <f>'OATT Input Data'!$E$113</f>
        <v>3349898233</v>
      </c>
      <c r="F16" s="9"/>
      <c r="G16" s="9" t="s">
        <v>32</v>
      </c>
      <c r="H16" s="460"/>
      <c r="I16" s="9"/>
      <c r="J16" s="48"/>
      <c r="K16" s="9"/>
      <c r="L16" s="9"/>
      <c r="M16" s="4"/>
      <c r="N16" s="31"/>
      <c r="O16" s="46"/>
      <c r="P16" s="46"/>
      <c r="Q16" s="46"/>
      <c r="R16" s="46"/>
      <c r="S16" s="144"/>
      <c r="T16" s="145"/>
      <c r="U16" s="144"/>
      <c r="V16" s="145"/>
      <c r="W16" s="31"/>
      <c r="X16" s="31"/>
      <c r="Y16" s="31"/>
      <c r="Z16" s="31"/>
      <c r="AA16" s="31"/>
      <c r="AB16" s="65"/>
      <c r="AC16" s="31"/>
      <c r="AD16" s="31"/>
      <c r="AE16" s="31"/>
      <c r="AF16" s="31"/>
    </row>
    <row r="17" spans="1:31" s="1" customFormat="1" x14ac:dyDescent="0.25">
      <c r="A17" s="5">
        <v>4</v>
      </c>
      <c r="C17" s="2" t="s">
        <v>35</v>
      </c>
      <c r="D17" s="242" t="s">
        <v>178</v>
      </c>
      <c r="E17" s="48">
        <f>'OATT Input Data'!$E$114+'OATT Input Data'!$E$110</f>
        <v>351481427</v>
      </c>
      <c r="F17" s="9"/>
      <c r="G17" s="9" t="s">
        <v>36</v>
      </c>
      <c r="H17" s="460">
        <f>'NITS Pg 4 of 5'!$J$33</f>
        <v>7.0959999999999995E-2</v>
      </c>
      <c r="I17" s="9"/>
      <c r="J17" s="48">
        <f>ROUND(E17*H17,0)</f>
        <v>24941122</v>
      </c>
      <c r="K17" s="9"/>
      <c r="L17" s="9"/>
      <c r="M17" s="9"/>
      <c r="N17" s="31"/>
      <c r="O17" s="146"/>
      <c r="P17" s="46"/>
      <c r="Q17" s="46"/>
      <c r="R17" s="46"/>
      <c r="S17" s="144"/>
      <c r="T17" s="145"/>
      <c r="U17" s="144"/>
      <c r="V17" s="145"/>
      <c r="W17" s="31"/>
      <c r="X17" s="31"/>
      <c r="Y17" s="31"/>
      <c r="Z17" s="31"/>
      <c r="AA17" s="31"/>
      <c r="AB17" s="65"/>
      <c r="AC17" s="31"/>
      <c r="AD17" s="31"/>
      <c r="AE17" s="31"/>
    </row>
    <row r="18" spans="1:31" s="1" customFormat="1" ht="18" x14ac:dyDescent="0.4">
      <c r="A18" s="5">
        <v>5</v>
      </c>
      <c r="C18" s="2" t="s">
        <v>37</v>
      </c>
      <c r="D18" s="242" t="s">
        <v>179</v>
      </c>
      <c r="E18" s="462">
        <f>'OATT Input Data'!$E$115</f>
        <v>198854311.25999999</v>
      </c>
      <c r="F18" s="9"/>
      <c r="G18" s="9" t="s">
        <v>38</v>
      </c>
      <c r="H18" s="460">
        <f>'NITS Pg 4 of 5'!$J$41</f>
        <v>6.5170000000000006E-2</v>
      </c>
      <c r="I18" s="9"/>
      <c r="J18" s="462">
        <f>ROUND(E18*H18,0)</f>
        <v>12959335</v>
      </c>
      <c r="K18" s="9"/>
      <c r="L18" s="9"/>
      <c r="M18" s="9"/>
      <c r="N18" s="31"/>
      <c r="O18" s="447"/>
      <c r="P18" s="46"/>
      <c r="Q18" s="46"/>
      <c r="R18" s="46"/>
      <c r="S18" s="144"/>
      <c r="T18" s="145"/>
      <c r="U18" s="144"/>
      <c r="V18" s="145"/>
      <c r="W18" s="31"/>
      <c r="X18" s="31"/>
      <c r="Y18" s="31"/>
      <c r="Z18" s="31"/>
      <c r="AA18" s="31"/>
      <c r="AB18" s="65"/>
      <c r="AC18" s="31"/>
      <c r="AD18" s="31"/>
      <c r="AE18" s="31"/>
    </row>
    <row r="19" spans="1:31" s="1" customFormat="1" x14ac:dyDescent="0.25">
      <c r="A19" s="5">
        <v>6</v>
      </c>
      <c r="C19" s="8" t="s">
        <v>173</v>
      </c>
      <c r="D19" s="245" t="s">
        <v>266</v>
      </c>
      <c r="E19" s="145">
        <f>ROUND(SUM(E14:E18),0)</f>
        <v>15296897783</v>
      </c>
      <c r="F19" s="9"/>
      <c r="G19" s="9" t="s">
        <v>320</v>
      </c>
      <c r="H19" s="463">
        <f>ROUND(J19/E19,5)</f>
        <v>9.6829999999999999E-2</v>
      </c>
      <c r="I19" s="9"/>
      <c r="J19" s="145">
        <f>ROUND(SUM(J15,J17:J18),0)</f>
        <v>1481214910</v>
      </c>
      <c r="K19" s="9"/>
      <c r="L19" s="464"/>
      <c r="M19" s="4"/>
      <c r="N19" s="31"/>
      <c r="O19" s="46"/>
      <c r="P19" s="46"/>
      <c r="Q19" s="31"/>
      <c r="R19" s="31"/>
      <c r="S19" s="144"/>
      <c r="T19" s="14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x14ac:dyDescent="0.25">
      <c r="C20" s="2"/>
      <c r="D20" s="245"/>
      <c r="E20" s="48"/>
      <c r="F20" s="9"/>
      <c r="G20" s="9"/>
      <c r="H20" s="464"/>
      <c r="I20" s="9"/>
      <c r="J20" s="48"/>
      <c r="K20" s="9"/>
      <c r="L20" s="464"/>
      <c r="M20" s="4"/>
      <c r="N20" s="46"/>
      <c r="O20" s="46"/>
      <c r="P20" s="2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x14ac:dyDescent="0.25">
      <c r="C21" s="2" t="s">
        <v>40</v>
      </c>
      <c r="D21" s="245" t="s">
        <v>252</v>
      </c>
      <c r="E21" s="48"/>
      <c r="F21" s="9"/>
      <c r="G21" s="9"/>
      <c r="H21" s="9"/>
      <c r="I21" s="9"/>
      <c r="J21" s="48"/>
      <c r="K21" s="9"/>
      <c r="L21" s="9"/>
      <c r="M21" s="4"/>
      <c r="N21" s="46"/>
      <c r="O21" s="46"/>
      <c r="P21" s="31"/>
      <c r="Q21" s="31"/>
      <c r="R21" s="31"/>
      <c r="S21" s="31"/>
      <c r="T21" s="31"/>
      <c r="U21" s="31"/>
      <c r="V21" s="31"/>
      <c r="W21" s="31"/>
      <c r="X21" s="31"/>
      <c r="Y21" s="143"/>
      <c r="Z21" s="31"/>
      <c r="AA21" s="31"/>
      <c r="AB21" s="31"/>
      <c r="AC21" s="31"/>
      <c r="AD21" s="31"/>
      <c r="AE21" s="143"/>
    </row>
    <row r="22" spans="1:31" s="1" customFormat="1" x14ac:dyDescent="0.25">
      <c r="A22" s="5">
        <v>7</v>
      </c>
      <c r="C22" s="2" t="str">
        <f>+C14</f>
        <v xml:space="preserve">  Production</v>
      </c>
      <c r="D22" s="242" t="s">
        <v>190</v>
      </c>
      <c r="E22" s="145">
        <f>SUM('OATT Input Data'!$E$121:$E$123)</f>
        <v>3477993547.4500003</v>
      </c>
      <c r="F22" s="9"/>
      <c r="G22" s="9" t="s">
        <v>32</v>
      </c>
      <c r="H22" s="460"/>
      <c r="I22" s="9"/>
      <c r="J22" s="145"/>
      <c r="K22" s="9"/>
      <c r="L22" s="9"/>
      <c r="M22" s="4"/>
      <c r="N22" s="46"/>
      <c r="O22" s="149"/>
      <c r="P22" s="46"/>
      <c r="Q22" s="46"/>
      <c r="R22" s="31"/>
      <c r="S22" s="144"/>
      <c r="T22" s="145"/>
      <c r="U22" s="144"/>
      <c r="V22" s="145"/>
      <c r="W22" s="31"/>
      <c r="X22" s="65"/>
      <c r="Y22" s="65"/>
      <c r="Z22" s="31"/>
      <c r="AA22" s="65"/>
      <c r="AB22" s="65"/>
      <c r="AC22" s="65"/>
      <c r="AD22" s="65"/>
      <c r="AE22" s="65"/>
    </row>
    <row r="23" spans="1:31" s="1" customFormat="1" x14ac:dyDescent="0.25">
      <c r="A23" s="5">
        <v>8</v>
      </c>
      <c r="C23" s="2" t="str">
        <f>+C15</f>
        <v xml:space="preserve">  Transmission</v>
      </c>
      <c r="D23" s="242" t="s">
        <v>180</v>
      </c>
      <c r="E23" s="48">
        <f>'OATT Input Data'!$E$124</f>
        <v>498014717.15999997</v>
      </c>
      <c r="F23" s="9"/>
      <c r="G23" s="9" t="s">
        <v>9</v>
      </c>
      <c r="H23" s="164">
        <f>+H15</f>
        <v>0.96060000000000001</v>
      </c>
      <c r="I23" s="9"/>
      <c r="J23" s="145">
        <f>ROUND(E23*H23,0)</f>
        <v>478392937</v>
      </c>
      <c r="K23" s="9"/>
      <c r="L23" s="9"/>
      <c r="M23" s="4"/>
      <c r="N23" s="46"/>
      <c r="O23" s="52"/>
      <c r="P23" s="46"/>
      <c r="Q23" s="46"/>
      <c r="R23" s="31"/>
      <c r="S23" s="145"/>
      <c r="T23" s="145"/>
      <c r="U23" s="145"/>
      <c r="V23" s="145"/>
      <c r="W23" s="31"/>
      <c r="X23" s="65"/>
      <c r="Y23" s="65"/>
      <c r="Z23" s="31"/>
      <c r="AA23" s="65"/>
      <c r="AB23" s="65"/>
      <c r="AC23" s="65"/>
      <c r="AD23" s="65"/>
      <c r="AE23" s="65"/>
    </row>
    <row r="24" spans="1:31" s="1" customFormat="1" x14ac:dyDescent="0.25">
      <c r="A24" s="5">
        <v>9</v>
      </c>
      <c r="C24" s="2" t="str">
        <f>+C16</f>
        <v xml:space="preserve">  Distribution</v>
      </c>
      <c r="D24" s="242" t="s">
        <v>181</v>
      </c>
      <c r="E24" s="48">
        <f>'OATT Input Data'!$E$125</f>
        <v>1185188892.4400001</v>
      </c>
      <c r="F24" s="9"/>
      <c r="G24" s="9" t="str">
        <f>+G16</f>
        <v>NA</v>
      </c>
      <c r="H24" s="460"/>
      <c r="I24" s="9"/>
      <c r="J24" s="48"/>
      <c r="K24" s="9"/>
      <c r="L24" s="9"/>
      <c r="M24" s="4"/>
      <c r="N24" s="46"/>
      <c r="O24" s="149"/>
      <c r="P24" s="46"/>
      <c r="Q24" s="46"/>
      <c r="R24" s="31"/>
      <c r="S24" s="144"/>
      <c r="T24" s="145"/>
      <c r="U24" s="65"/>
      <c r="V24" s="145"/>
      <c r="W24" s="31"/>
      <c r="X24" s="65"/>
      <c r="Y24" s="65"/>
      <c r="Z24" s="31"/>
      <c r="AA24" s="65"/>
      <c r="AB24" s="65"/>
      <c r="AC24" s="65"/>
      <c r="AD24" s="31"/>
      <c r="AE24" s="31"/>
    </row>
    <row r="25" spans="1:31" s="1" customFormat="1" x14ac:dyDescent="0.25">
      <c r="A25" s="5">
        <v>10</v>
      </c>
      <c r="C25" s="2" t="str">
        <f>+C17</f>
        <v xml:space="preserve">  General &amp; Intangible</v>
      </c>
      <c r="D25" s="242" t="s">
        <v>182</v>
      </c>
      <c r="E25" s="48">
        <f>'OATT Input Data'!$E$120+'OATT Input Data'!$E$126</f>
        <v>152338554.69700003</v>
      </c>
      <c r="F25" s="9"/>
      <c r="G25" s="9" t="str">
        <f>+G17</f>
        <v>W/S</v>
      </c>
      <c r="H25" s="460">
        <f>+H17</f>
        <v>7.0959999999999995E-2</v>
      </c>
      <c r="I25" s="9"/>
      <c r="J25" s="48">
        <f>ROUND(E25*H25,0)</f>
        <v>10809944</v>
      </c>
      <c r="K25" s="9"/>
      <c r="L25" s="9"/>
      <c r="M25" s="4"/>
      <c r="N25" s="46"/>
      <c r="O25" s="149"/>
      <c r="P25" s="46"/>
      <c r="Q25" s="46"/>
      <c r="R25" s="31"/>
      <c r="S25" s="145"/>
      <c r="T25" s="145"/>
      <c r="U25" s="145"/>
      <c r="V25" s="145"/>
      <c r="W25" s="31"/>
      <c r="X25" s="65"/>
      <c r="Y25" s="65"/>
      <c r="Z25" s="31"/>
      <c r="AA25" s="31"/>
      <c r="AB25" s="65"/>
      <c r="AC25" s="31"/>
      <c r="AD25" s="31"/>
      <c r="AE25" s="31"/>
    </row>
    <row r="26" spans="1:31" s="1" customFormat="1" ht="18" x14ac:dyDescent="0.4">
      <c r="A26" s="5">
        <v>11</v>
      </c>
      <c r="C26" s="2" t="str">
        <f>+C18</f>
        <v xml:space="preserve">  Common</v>
      </c>
      <c r="D26" s="242" t="s">
        <v>179</v>
      </c>
      <c r="E26" s="462">
        <f>'OATT Input Data'!$E$127</f>
        <v>112991363.54000001</v>
      </c>
      <c r="F26" s="9"/>
      <c r="G26" s="9" t="str">
        <f>+G18</f>
        <v>CE</v>
      </c>
      <c r="H26" s="460">
        <f>+H18</f>
        <v>6.5170000000000006E-2</v>
      </c>
      <c r="I26" s="9"/>
      <c r="J26" s="462">
        <f>ROUND(E26*H26,0)</f>
        <v>7363647</v>
      </c>
      <c r="K26" s="9"/>
      <c r="L26" s="9"/>
      <c r="M26" s="4"/>
      <c r="N26" s="46"/>
      <c r="O26" s="150"/>
      <c r="P26" s="46"/>
      <c r="Q26" s="46"/>
      <c r="R26" s="31"/>
      <c r="S26" s="144"/>
      <c r="T26" s="145"/>
      <c r="U26" s="65"/>
      <c r="V26" s="145"/>
      <c r="W26" s="31"/>
      <c r="X26" s="31"/>
      <c r="Y26" s="31"/>
      <c r="Z26" s="31"/>
      <c r="AA26" s="31"/>
      <c r="AB26" s="65"/>
      <c r="AC26" s="31"/>
      <c r="AD26" s="31"/>
      <c r="AE26" s="31"/>
    </row>
    <row r="27" spans="1:31" s="1" customFormat="1" x14ac:dyDescent="0.25">
      <c r="A27" s="5">
        <v>12</v>
      </c>
      <c r="C27" s="8" t="s">
        <v>172</v>
      </c>
      <c r="D27" s="245" t="s">
        <v>267</v>
      </c>
      <c r="E27" s="145">
        <f>ROUND(SUM(E22:E26),0)</f>
        <v>5426527075</v>
      </c>
      <c r="F27" s="9"/>
      <c r="G27" s="9"/>
      <c r="H27" s="9"/>
      <c r="I27" s="9"/>
      <c r="J27" s="145">
        <f>ROUND(SUM(J23,J25:J26),0)</f>
        <v>496566528</v>
      </c>
      <c r="K27" s="9"/>
      <c r="L27" s="9"/>
      <c r="M27" s="4"/>
      <c r="N27" s="151"/>
      <c r="O27" s="30"/>
      <c r="P27" s="46"/>
      <c r="Q27" s="46"/>
      <c r="R27" s="31"/>
      <c r="S27" s="145"/>
      <c r="T27" s="145"/>
      <c r="U27" s="31"/>
      <c r="V27" s="31"/>
      <c r="W27" s="143"/>
      <c r="X27" s="65"/>
      <c r="Y27" s="31"/>
      <c r="Z27" s="31"/>
      <c r="AA27" s="31"/>
      <c r="AB27" s="65"/>
      <c r="AC27" s="31"/>
      <c r="AD27" s="31"/>
      <c r="AE27" s="31"/>
    </row>
    <row r="28" spans="1:31" s="1" customFormat="1" x14ac:dyDescent="0.25">
      <c r="A28" s="5"/>
      <c r="D28" s="9" t="s">
        <v>0</v>
      </c>
      <c r="E28" s="48"/>
      <c r="F28" s="9"/>
      <c r="G28" s="9"/>
      <c r="H28" s="464"/>
      <c r="I28" s="9"/>
      <c r="J28" s="48"/>
      <c r="K28" s="9"/>
      <c r="L28" s="464"/>
      <c r="M28" s="4"/>
      <c r="N28" s="46"/>
      <c r="O28" s="46"/>
      <c r="P28" s="20"/>
      <c r="Q28" s="31"/>
      <c r="R28" s="31"/>
      <c r="S28" s="31"/>
      <c r="T28" s="31"/>
      <c r="U28" s="31"/>
      <c r="V28" s="31"/>
      <c r="W28" s="31"/>
      <c r="X28" s="65"/>
      <c r="Y28" s="31"/>
      <c r="Z28" s="31"/>
      <c r="AA28" s="31"/>
      <c r="AB28" s="65"/>
      <c r="AC28" s="31"/>
      <c r="AD28" s="31"/>
      <c r="AE28" s="31"/>
    </row>
    <row r="29" spans="1:31" s="1" customFormat="1" x14ac:dyDescent="0.25">
      <c r="A29" s="5"/>
      <c r="C29" s="2" t="s">
        <v>42</v>
      </c>
      <c r="D29" s="9"/>
      <c r="E29" s="48"/>
      <c r="F29" s="9"/>
      <c r="G29" s="9"/>
      <c r="H29" s="9"/>
      <c r="I29" s="9"/>
      <c r="J29" s="48"/>
      <c r="K29" s="9"/>
      <c r="L29" s="9"/>
      <c r="M29" s="4"/>
      <c r="N29" s="46"/>
      <c r="O29" s="46"/>
      <c r="P29" s="46"/>
      <c r="Q29" s="46"/>
      <c r="R29" s="31"/>
      <c r="S29" s="144"/>
      <c r="T29" s="145"/>
      <c r="U29" s="144"/>
      <c r="V29" s="31"/>
      <c r="W29" s="31"/>
      <c r="X29" s="65"/>
      <c r="Y29" s="31"/>
      <c r="Z29" s="31"/>
      <c r="AA29" s="31"/>
      <c r="AB29" s="31"/>
      <c r="AC29" s="31"/>
      <c r="AD29" s="31"/>
      <c r="AE29" s="31"/>
    </row>
    <row r="30" spans="1:31" s="1" customFormat="1" x14ac:dyDescent="0.25">
      <c r="A30" s="5">
        <v>13</v>
      </c>
      <c r="C30" s="2" t="str">
        <f>+C22</f>
        <v xml:space="preserve">  Production</v>
      </c>
      <c r="D30" s="245" t="s">
        <v>268</v>
      </c>
      <c r="E30" s="145">
        <f>E14-E22</f>
        <v>6416156780.5499992</v>
      </c>
      <c r="F30" s="9"/>
      <c r="G30" s="9"/>
      <c r="H30" s="464"/>
      <c r="I30" s="9"/>
      <c r="J30" s="145"/>
      <c r="K30" s="9"/>
      <c r="L30" s="464"/>
      <c r="M30" s="4"/>
      <c r="N30" s="46"/>
      <c r="O30" s="46"/>
      <c r="P30" s="46"/>
      <c r="Q30" s="46"/>
      <c r="R30" s="31"/>
      <c r="S30" s="144"/>
      <c r="T30" s="145"/>
      <c r="U30" s="144"/>
      <c r="V30" s="31"/>
      <c r="W30" s="31"/>
      <c r="X30" s="65"/>
      <c r="Y30" s="65"/>
      <c r="Z30" s="31"/>
      <c r="AA30" s="31"/>
      <c r="AB30" s="143"/>
      <c r="AC30" s="143"/>
      <c r="AD30" s="31"/>
      <c r="AE30" s="31"/>
    </row>
    <row r="31" spans="1:31" s="1" customFormat="1" x14ac:dyDescent="0.25">
      <c r="A31" s="5">
        <v>14</v>
      </c>
      <c r="C31" s="2" t="str">
        <f>+C23</f>
        <v xml:space="preserve">  Transmission</v>
      </c>
      <c r="D31" s="245" t="s">
        <v>269</v>
      </c>
      <c r="E31" s="48">
        <f t="shared" ref="E31:E34" si="0">E15-E23</f>
        <v>1004498766.84</v>
      </c>
      <c r="F31" s="9"/>
      <c r="G31" s="9"/>
      <c r="H31" s="460"/>
      <c r="I31" s="9"/>
      <c r="J31" s="145">
        <f>J15-J23</f>
        <v>964921516</v>
      </c>
      <c r="K31" s="9"/>
      <c r="L31" s="464"/>
      <c r="M31" s="4"/>
      <c r="N31" s="46"/>
      <c r="O31" s="46"/>
      <c r="P31" s="46"/>
      <c r="Q31" s="46"/>
      <c r="R31" s="31"/>
      <c r="S31" s="144"/>
      <c r="T31" s="145"/>
      <c r="U31" s="144"/>
      <c r="V31" s="31"/>
      <c r="W31" s="31"/>
      <c r="X31" s="31"/>
      <c r="Y31" s="65"/>
      <c r="Z31" s="31"/>
      <c r="AA31" s="65"/>
      <c r="AB31" s="65"/>
      <c r="AC31" s="31"/>
      <c r="AD31" s="31"/>
      <c r="AE31" s="31"/>
    </row>
    <row r="32" spans="1:31" s="1" customFormat="1" x14ac:dyDescent="0.25">
      <c r="A32" s="5">
        <v>15</v>
      </c>
      <c r="C32" s="2" t="str">
        <f>+C24</f>
        <v xml:space="preserve">  Distribution</v>
      </c>
      <c r="D32" s="245" t="s">
        <v>270</v>
      </c>
      <c r="E32" s="48">
        <f t="shared" si="0"/>
        <v>2164709340.5599999</v>
      </c>
      <c r="F32" s="9"/>
      <c r="G32" s="9"/>
      <c r="H32" s="464"/>
      <c r="I32" s="9"/>
      <c r="J32" s="48"/>
      <c r="K32" s="9"/>
      <c r="L32" s="464"/>
      <c r="M32" s="4"/>
      <c r="N32" s="46"/>
      <c r="O32" s="83"/>
      <c r="P32" s="46"/>
      <c r="Q32" s="31"/>
      <c r="R32" s="143"/>
      <c r="S32" s="144"/>
      <c r="T32" s="145"/>
      <c r="U32" s="145"/>
      <c r="V32" s="31"/>
      <c r="W32" s="31"/>
      <c r="X32" s="65"/>
      <c r="Y32" s="65"/>
      <c r="Z32" s="31"/>
      <c r="AA32" s="65"/>
      <c r="AB32" s="65"/>
      <c r="AC32" s="152"/>
      <c r="AD32" s="31"/>
      <c r="AE32" s="31"/>
    </row>
    <row r="33" spans="1:28" s="1" customFormat="1" x14ac:dyDescent="0.25">
      <c r="A33" s="5">
        <v>16</v>
      </c>
      <c r="C33" s="2" t="str">
        <f>+C25</f>
        <v xml:space="preserve">  General &amp; Intangible</v>
      </c>
      <c r="D33" s="245" t="s">
        <v>271</v>
      </c>
      <c r="E33" s="48">
        <f t="shared" si="0"/>
        <v>199142872.30299997</v>
      </c>
      <c r="F33" s="9"/>
      <c r="G33" s="9"/>
      <c r="H33" s="464"/>
      <c r="I33" s="9"/>
      <c r="J33" s="48">
        <f>J17-J25</f>
        <v>14131178</v>
      </c>
      <c r="K33" s="9"/>
      <c r="L33" s="464"/>
      <c r="M33" s="4"/>
      <c r="N33" s="46"/>
      <c r="O33" s="30"/>
      <c r="P33" s="20"/>
      <c r="Q33" s="31"/>
      <c r="R33" s="31"/>
      <c r="S33" s="31"/>
      <c r="T33" s="31"/>
      <c r="U33" s="31"/>
      <c r="V33" s="31"/>
      <c r="W33" s="31"/>
      <c r="X33" s="65"/>
      <c r="Y33" s="65"/>
      <c r="Z33" s="31"/>
      <c r="AA33" s="65"/>
      <c r="AB33" s="65"/>
    </row>
    <row r="34" spans="1:28" s="1" customFormat="1" ht="18" x14ac:dyDescent="0.4">
      <c r="A34" s="5">
        <v>17</v>
      </c>
      <c r="C34" s="2" t="str">
        <f>+C26</f>
        <v xml:space="preserve">  Common</v>
      </c>
      <c r="D34" s="245" t="s">
        <v>272</v>
      </c>
      <c r="E34" s="462">
        <f t="shared" si="0"/>
        <v>85862947.719999984</v>
      </c>
      <c r="F34" s="9"/>
      <c r="G34" s="9"/>
      <c r="H34" s="464"/>
      <c r="I34" s="9"/>
      <c r="J34" s="462">
        <f>J18-J26</f>
        <v>5595688</v>
      </c>
      <c r="K34" s="9"/>
      <c r="L34" s="464"/>
      <c r="M34" s="4"/>
      <c r="N34" s="46"/>
      <c r="O34" s="30"/>
      <c r="P34" s="20"/>
      <c r="Q34" s="31"/>
      <c r="R34" s="31"/>
      <c r="S34" s="31"/>
      <c r="T34" s="31"/>
      <c r="U34" s="31"/>
      <c r="V34" s="31"/>
      <c r="W34" s="31"/>
      <c r="X34" s="65"/>
      <c r="Y34" s="31"/>
      <c r="Z34" s="31"/>
      <c r="AA34" s="31"/>
      <c r="AB34" s="65"/>
    </row>
    <row r="35" spans="1:28" s="1" customFormat="1" x14ac:dyDescent="0.25">
      <c r="A35" s="5">
        <v>18</v>
      </c>
      <c r="C35" s="8" t="s">
        <v>171</v>
      </c>
      <c r="D35" s="245" t="s">
        <v>273</v>
      </c>
      <c r="E35" s="145">
        <f>ROUND(SUM(E30:E34),0)</f>
        <v>9870370708</v>
      </c>
      <c r="F35" s="9"/>
      <c r="G35" s="9" t="s">
        <v>321</v>
      </c>
      <c r="H35" s="463">
        <f>ROUND(J35/E35,5)</f>
        <v>9.9760000000000001E-2</v>
      </c>
      <c r="I35" s="9"/>
      <c r="J35" s="145">
        <f>ROUND(SUM(J31,J33:J34),0)</f>
        <v>984648382</v>
      </c>
      <c r="K35" s="9"/>
      <c r="L35" s="9"/>
      <c r="M35" s="4"/>
      <c r="N35" s="153"/>
      <c r="O35" s="46"/>
      <c r="P35" s="20"/>
      <c r="Q35" s="31"/>
      <c r="R35" s="31"/>
      <c r="S35" s="31"/>
      <c r="T35" s="31"/>
      <c r="U35" s="31"/>
      <c r="V35" s="31"/>
      <c r="W35" s="31"/>
      <c r="X35" s="65"/>
      <c r="Y35" s="31"/>
      <c r="Z35" s="31"/>
      <c r="AA35" s="31"/>
      <c r="AB35" s="31"/>
    </row>
    <row r="36" spans="1:28" s="1" customFormat="1" x14ac:dyDescent="0.25">
      <c r="A36" s="5"/>
      <c r="D36" s="9"/>
      <c r="E36" s="48"/>
      <c r="F36" s="9"/>
      <c r="I36" s="9"/>
      <c r="J36" s="48"/>
      <c r="K36" s="9"/>
      <c r="L36" s="464"/>
      <c r="M36" s="4"/>
      <c r="N36" s="46"/>
      <c r="O36" s="46"/>
      <c r="P36" s="2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65"/>
    </row>
    <row r="37" spans="1:28" s="1" customFormat="1" x14ac:dyDescent="0.25">
      <c r="A37" s="5"/>
      <c r="C37" s="8" t="s">
        <v>191</v>
      </c>
      <c r="D37" s="245" t="s">
        <v>253</v>
      </c>
      <c r="E37" s="48"/>
      <c r="F37" s="9"/>
      <c r="G37" s="9"/>
      <c r="H37" s="9"/>
      <c r="I37" s="9"/>
      <c r="J37" s="48"/>
      <c r="K37" s="9"/>
      <c r="L37" s="9"/>
      <c r="M37" s="4"/>
      <c r="N37" s="46"/>
      <c r="O37" s="46"/>
      <c r="P37" s="20"/>
      <c r="Q37" s="31"/>
      <c r="R37" s="31"/>
      <c r="S37" s="31"/>
      <c r="T37" s="31"/>
      <c r="U37" s="31"/>
      <c r="V37" s="46"/>
      <c r="W37" s="31"/>
      <c r="X37" s="31"/>
      <c r="Y37" s="31"/>
      <c r="Z37" s="31"/>
      <c r="AA37" s="31"/>
      <c r="AB37" s="31"/>
    </row>
    <row r="38" spans="1:28" s="1" customFormat="1" x14ac:dyDescent="0.25">
      <c r="A38" s="5">
        <v>19</v>
      </c>
      <c r="C38" s="2" t="s">
        <v>44</v>
      </c>
      <c r="D38" s="242" t="s">
        <v>380</v>
      </c>
      <c r="E38" s="409">
        <f>'OATT Input Data'!$E$133*-1</f>
        <v>0</v>
      </c>
      <c r="F38" s="9"/>
      <c r="G38" s="9" t="s">
        <v>32</v>
      </c>
      <c r="H38" s="164"/>
      <c r="I38" s="9"/>
      <c r="J38" s="145"/>
      <c r="K38" s="9"/>
      <c r="L38" s="464"/>
      <c r="M38" s="4"/>
      <c r="N38" s="154"/>
      <c r="O38" s="30"/>
      <c r="P38" s="46"/>
      <c r="Q38" s="46"/>
      <c r="R38" s="31"/>
      <c r="S38" s="145"/>
      <c r="T38" s="145"/>
      <c r="U38" s="145"/>
      <c r="V38" s="145"/>
      <c r="W38" s="31"/>
      <c r="X38" s="31"/>
      <c r="Y38" s="31"/>
      <c r="Z38" s="31"/>
      <c r="AA38" s="31"/>
      <c r="AB38" s="31"/>
    </row>
    <row r="39" spans="1:28" s="1" customFormat="1" x14ac:dyDescent="0.25">
      <c r="A39" s="5">
        <f>A38+1</f>
        <v>20</v>
      </c>
      <c r="C39" s="2" t="s">
        <v>45</v>
      </c>
      <c r="D39" s="242" t="s">
        <v>261</v>
      </c>
      <c r="E39" s="48">
        <f>'OATT Input Data'!$E$136*-1</f>
        <v>-2302319709</v>
      </c>
      <c r="F39" s="9"/>
      <c r="G39" s="9" t="s">
        <v>46</v>
      </c>
      <c r="H39" s="460">
        <f>+H35</f>
        <v>9.9760000000000001E-2</v>
      </c>
      <c r="I39" s="9"/>
      <c r="J39" s="145">
        <f t="shared" ref="J39:J46" si="1">ROUND(E39*H39,0)</f>
        <v>-229679414</v>
      </c>
      <c r="K39" s="9"/>
      <c r="L39" s="464"/>
      <c r="M39" s="4"/>
      <c r="N39" s="154"/>
      <c r="O39" s="30"/>
      <c r="P39" s="46"/>
      <c r="Q39" s="46"/>
      <c r="R39" s="31"/>
      <c r="S39" s="144"/>
      <c r="T39" s="145"/>
      <c r="U39" s="144"/>
      <c r="V39" s="145"/>
      <c r="W39" s="31"/>
      <c r="X39" s="31"/>
      <c r="Y39" s="31"/>
      <c r="Z39" s="31"/>
      <c r="AA39" s="31"/>
      <c r="AB39" s="31"/>
    </row>
    <row r="40" spans="1:28" s="1" customFormat="1" x14ac:dyDescent="0.25">
      <c r="A40" s="5">
        <f>A39+1</f>
        <v>21</v>
      </c>
      <c r="C40" s="2" t="s">
        <v>47</v>
      </c>
      <c r="D40" s="330" t="s">
        <v>262</v>
      </c>
      <c r="E40" s="48">
        <f>'OATT Input Data'!$E$141*-1</f>
        <v>-267889429</v>
      </c>
      <c r="F40" s="9"/>
      <c r="G40" s="9" t="s">
        <v>46</v>
      </c>
      <c r="H40" s="460">
        <f>+H39</f>
        <v>9.9760000000000001E-2</v>
      </c>
      <c r="I40" s="9"/>
      <c r="J40" s="48">
        <f t="shared" si="1"/>
        <v>-26724649</v>
      </c>
      <c r="K40" s="9"/>
      <c r="L40" s="464"/>
      <c r="M40" s="4"/>
      <c r="N40" s="370"/>
      <c r="O40" s="30"/>
      <c r="P40" s="46"/>
      <c r="Q40" s="46"/>
      <c r="R40" s="31"/>
      <c r="S40" s="144"/>
      <c r="T40" s="144"/>
      <c r="U40" s="144"/>
      <c r="V40" s="144"/>
      <c r="W40" s="31"/>
      <c r="X40" s="31"/>
      <c r="Y40" s="31"/>
      <c r="Z40" s="31"/>
      <c r="AA40" s="31"/>
      <c r="AB40" s="31"/>
    </row>
    <row r="41" spans="1:28" s="1" customFormat="1" x14ac:dyDescent="0.25">
      <c r="A41" s="5">
        <f>A40+1</f>
        <v>22</v>
      </c>
      <c r="C41" s="2" t="s">
        <v>48</v>
      </c>
      <c r="D41" s="330" t="s">
        <v>263</v>
      </c>
      <c r="E41" s="48">
        <f>'OATT Input Data'!$E$146</f>
        <v>241124379</v>
      </c>
      <c r="F41" s="9"/>
      <c r="G41" s="9" t="str">
        <f>+G40</f>
        <v>NP</v>
      </c>
      <c r="H41" s="460">
        <f>+H40</f>
        <v>9.9760000000000001E-2</v>
      </c>
      <c r="I41" s="9"/>
      <c r="J41" s="48">
        <f t="shared" si="1"/>
        <v>24054568</v>
      </c>
      <c r="K41" s="9"/>
      <c r="L41" s="464"/>
      <c r="M41" s="4"/>
      <c r="N41" s="370"/>
      <c r="O41" s="30"/>
      <c r="P41" s="46"/>
      <c r="Q41" s="46"/>
      <c r="R41" s="31"/>
      <c r="S41" s="144"/>
      <c r="T41" s="144"/>
      <c r="U41" s="144"/>
      <c r="V41" s="144"/>
      <c r="W41" s="31"/>
      <c r="X41" s="31"/>
      <c r="Y41" s="31"/>
      <c r="Z41" s="31"/>
      <c r="AA41" s="31"/>
      <c r="AB41" s="31"/>
    </row>
    <row r="42" spans="1:28" s="1" customFormat="1" x14ac:dyDescent="0.25">
      <c r="A42" s="5">
        <f>A41+1</f>
        <v>23</v>
      </c>
      <c r="C42" s="1" t="s">
        <v>49</v>
      </c>
      <c r="D42" s="242" t="s">
        <v>264</v>
      </c>
      <c r="E42" s="465">
        <f>'OATT Input Data'!$E$147*-1</f>
        <v>0</v>
      </c>
      <c r="F42" s="9"/>
      <c r="G42" s="9" t="s">
        <v>46</v>
      </c>
      <c r="H42" s="460">
        <f>+H40</f>
        <v>9.9760000000000001E-2</v>
      </c>
      <c r="I42" s="9"/>
      <c r="J42" s="465">
        <f t="shared" si="1"/>
        <v>0</v>
      </c>
      <c r="K42" s="9"/>
      <c r="L42" s="464"/>
      <c r="M42" s="4"/>
      <c r="N42" s="371"/>
      <c r="O42" s="30"/>
      <c r="P42" s="46"/>
      <c r="Q42" s="46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1" customFormat="1" x14ac:dyDescent="0.25">
      <c r="A43" s="5">
        <f t="shared" ref="A43:A47" si="2">A42+1</f>
        <v>24</v>
      </c>
      <c r="C43" s="2" t="s">
        <v>50</v>
      </c>
      <c r="D43" s="328" t="s">
        <v>287</v>
      </c>
      <c r="E43" s="465">
        <f>'OATT Input Data'!$E$160*-1</f>
        <v>-1980705.9923632231</v>
      </c>
      <c r="F43" s="9"/>
      <c r="G43" s="9" t="str">
        <f>G15</f>
        <v>TP</v>
      </c>
      <c r="H43" s="164">
        <f>H15</f>
        <v>0.96060000000000001</v>
      </c>
      <c r="I43" s="9"/>
      <c r="J43" s="465">
        <f t="shared" si="1"/>
        <v>-1902666</v>
      </c>
      <c r="K43" s="9"/>
      <c r="L43" s="464"/>
      <c r="M43" s="4"/>
      <c r="N43" s="371"/>
      <c r="O43" s="30"/>
      <c r="P43" s="46"/>
      <c r="Q43" s="4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1" customFormat="1" x14ac:dyDescent="0.25">
      <c r="A44" s="5">
        <f t="shared" si="2"/>
        <v>25</v>
      </c>
      <c r="C44" s="466" t="s">
        <v>51</v>
      </c>
      <c r="D44" s="328" t="s">
        <v>287</v>
      </c>
      <c r="E44" s="48">
        <f>'OATT Input Data'!$E$167*-1</f>
        <v>-19804113.215153173</v>
      </c>
      <c r="F44" s="9"/>
      <c r="G44" s="9"/>
      <c r="H44" s="467">
        <v>1</v>
      </c>
      <c r="I44" s="9"/>
      <c r="J44" s="48">
        <f t="shared" si="1"/>
        <v>-19804113</v>
      </c>
      <c r="K44" s="9"/>
      <c r="L44" s="464"/>
      <c r="M44" s="4"/>
      <c r="N44" s="372"/>
      <c r="O44" s="30"/>
      <c r="P44" s="46"/>
      <c r="Q44" s="4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1" customFormat="1" x14ac:dyDescent="0.25">
      <c r="A45" s="5">
        <f t="shared" si="2"/>
        <v>26</v>
      </c>
      <c r="C45" s="468" t="s">
        <v>183</v>
      </c>
      <c r="E45" s="48">
        <f>'OATT Input Data'!$E$151*-1</f>
        <v>-612869.33000000007</v>
      </c>
      <c r="F45" s="9"/>
      <c r="G45" s="9" t="str">
        <f>$G$15</f>
        <v>TP</v>
      </c>
      <c r="H45" s="164">
        <f>$H$15</f>
        <v>0.96060000000000001</v>
      </c>
      <c r="I45" s="9"/>
      <c r="J45" s="48">
        <f t="shared" si="1"/>
        <v>-588722</v>
      </c>
      <c r="K45" s="9"/>
      <c r="L45" s="464"/>
      <c r="M45" s="4"/>
      <c r="N45" s="372"/>
      <c r="O45" s="30"/>
      <c r="P45" s="46"/>
      <c r="Q45" s="46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1" customFormat="1" ht="18" x14ac:dyDescent="0.4">
      <c r="A46" s="5">
        <f t="shared" si="2"/>
        <v>27</v>
      </c>
      <c r="C46" s="468" t="s">
        <v>184</v>
      </c>
      <c r="E46" s="469">
        <f>'OATT Input Data'!$E$154*-1</f>
        <v>0</v>
      </c>
      <c r="F46" s="9"/>
      <c r="G46" s="9" t="str">
        <f>$G$18</f>
        <v>CE</v>
      </c>
      <c r="H46" s="164">
        <f>$H$18</f>
        <v>6.5170000000000006E-2</v>
      </c>
      <c r="I46" s="9"/>
      <c r="J46" s="469">
        <f t="shared" si="1"/>
        <v>0</v>
      </c>
      <c r="K46" s="9"/>
      <c r="L46" s="464"/>
      <c r="M46" s="4"/>
      <c r="N46" s="372"/>
      <c r="O46" s="30"/>
      <c r="P46" s="46"/>
      <c r="Q46" s="46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1" customFormat="1" x14ac:dyDescent="0.25">
      <c r="A47" s="5">
        <f t="shared" si="2"/>
        <v>28</v>
      </c>
      <c r="C47" s="8" t="s">
        <v>192</v>
      </c>
      <c r="D47" s="245" t="s">
        <v>265</v>
      </c>
      <c r="E47" s="145">
        <f>ROUND(SUM(E38:E46),0)</f>
        <v>-2351482448</v>
      </c>
      <c r="F47" s="9"/>
      <c r="G47" s="9"/>
      <c r="H47" s="9"/>
      <c r="I47" s="9"/>
      <c r="J47" s="145">
        <f>ROUND(SUM(J39:J46),0)</f>
        <v>-254644996</v>
      </c>
      <c r="K47" s="9"/>
      <c r="L47" s="9"/>
      <c r="M47" s="4"/>
      <c r="N47" s="156"/>
      <c r="O47" s="46"/>
      <c r="P47" s="2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1" customFormat="1" x14ac:dyDescent="0.25">
      <c r="A48" s="5"/>
      <c r="D48" s="9"/>
      <c r="E48" s="48"/>
      <c r="F48" s="9"/>
      <c r="G48" s="9"/>
      <c r="H48" s="464"/>
      <c r="I48" s="9"/>
      <c r="J48" s="48"/>
      <c r="K48" s="9"/>
      <c r="L48" s="464"/>
      <c r="M48" s="4"/>
      <c r="N48" s="64"/>
      <c r="O48" s="4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9" x14ac:dyDescent="0.25">
      <c r="A49" s="5">
        <f>A47+1</f>
        <v>29</v>
      </c>
      <c r="C49" s="2" t="s">
        <v>260</v>
      </c>
      <c r="D49" s="242" t="s">
        <v>335</v>
      </c>
      <c r="E49" s="409">
        <f>'OATT Input Data'!$E$169*-1</f>
        <v>0</v>
      </c>
      <c r="F49" s="9"/>
      <c r="G49" s="9" t="str">
        <f>+G23</f>
        <v>TP</v>
      </c>
      <c r="H49" s="460">
        <f>+H23</f>
        <v>0.96060000000000001</v>
      </c>
      <c r="I49" s="9"/>
      <c r="J49" s="409">
        <f>ROUND(E49*H49,0)</f>
        <v>0</v>
      </c>
      <c r="K49" s="9"/>
      <c r="L49" s="9"/>
      <c r="M49" s="4"/>
      <c r="N49" s="64"/>
      <c r="O49" s="46"/>
      <c r="P49" s="46"/>
      <c r="Q49" s="46"/>
    </row>
    <row r="50" spans="1:19" x14ac:dyDescent="0.25">
      <c r="A50" s="5"/>
      <c r="C50" s="2"/>
      <c r="D50" s="9"/>
      <c r="E50" s="48"/>
      <c r="F50" s="9"/>
      <c r="G50" s="9"/>
      <c r="H50" s="9"/>
      <c r="I50" s="9"/>
      <c r="J50" s="48"/>
      <c r="K50" s="9"/>
      <c r="L50" s="9"/>
      <c r="M50" s="4"/>
      <c r="N50" s="64"/>
      <c r="O50" s="46"/>
      <c r="P50" s="20"/>
    </row>
    <row r="51" spans="1:19" x14ac:dyDescent="0.25">
      <c r="A51" s="5"/>
      <c r="C51" s="8" t="s">
        <v>256</v>
      </c>
      <c r="D51" s="245" t="s">
        <v>255</v>
      </c>
      <c r="E51" s="48"/>
      <c r="F51" s="9"/>
      <c r="G51" s="9"/>
      <c r="H51" s="9"/>
      <c r="I51" s="9"/>
      <c r="J51" s="48"/>
      <c r="K51" s="9"/>
      <c r="L51" s="9"/>
      <c r="M51" s="4"/>
      <c r="N51" s="46"/>
      <c r="O51" s="46"/>
      <c r="P51" s="20"/>
    </row>
    <row r="52" spans="1:19" x14ac:dyDescent="0.25">
      <c r="A52" s="5">
        <f>A49+1</f>
        <v>30</v>
      </c>
      <c r="C52" s="468" t="s">
        <v>169</v>
      </c>
      <c r="D52" s="82" t="s">
        <v>52</v>
      </c>
      <c r="E52" s="145">
        <f>ROUND('NITS Pg 3 of 5'!$E$22/8,0)</f>
        <v>30820131</v>
      </c>
      <c r="F52" s="9"/>
      <c r="G52" s="9"/>
      <c r="H52" s="464"/>
      <c r="I52" s="9"/>
      <c r="J52" s="145">
        <f>ROUND('NITS Pg 3 of 5'!$J$22/8,0)</f>
        <v>7876293</v>
      </c>
      <c r="K52" s="4"/>
      <c r="L52" s="464"/>
      <c r="M52" s="4"/>
      <c r="N52" s="157"/>
      <c r="O52" s="158"/>
      <c r="P52" s="20"/>
    </row>
    <row r="53" spans="1:19" x14ac:dyDescent="0.25">
      <c r="A53" s="5">
        <f>A52+1</f>
        <v>31</v>
      </c>
      <c r="C53" s="468" t="s">
        <v>257</v>
      </c>
      <c r="D53" s="242" t="s">
        <v>383</v>
      </c>
      <c r="E53" s="48">
        <f>'OATT Input Data'!$E$176</f>
        <v>15641883.886112167</v>
      </c>
      <c r="F53" s="9"/>
      <c r="G53" s="9" t="s">
        <v>53</v>
      </c>
      <c r="H53" s="460">
        <f>'NITS Pg 4 of 5'!$J$25</f>
        <v>0.86294000000000004</v>
      </c>
      <c r="I53" s="9"/>
      <c r="J53" s="48">
        <f t="shared" ref="J53:J54" si="3">ROUND(E53*H53,0)</f>
        <v>13498007</v>
      </c>
      <c r="K53" s="9" t="s">
        <v>0</v>
      </c>
      <c r="L53" s="464"/>
      <c r="M53" s="4"/>
      <c r="N53" s="159"/>
      <c r="O53" s="158"/>
      <c r="P53" s="49"/>
      <c r="Q53" s="49"/>
    </row>
    <row r="54" spans="1:19" ht="18" x14ac:dyDescent="0.4">
      <c r="A54" s="5">
        <f t="shared" ref="A54:A55" si="4">A53+1</f>
        <v>32</v>
      </c>
      <c r="C54" s="466" t="s">
        <v>170</v>
      </c>
      <c r="D54" s="242" t="s">
        <v>419</v>
      </c>
      <c r="E54" s="470">
        <f>'OATT Input Data'!$E$182</f>
        <v>32367401</v>
      </c>
      <c r="F54" s="9"/>
      <c r="G54" s="9" t="s">
        <v>54</v>
      </c>
      <c r="H54" s="460">
        <f>+H19</f>
        <v>9.6829999999999999E-2</v>
      </c>
      <c r="I54" s="9"/>
      <c r="J54" s="462">
        <f t="shared" si="3"/>
        <v>3134135</v>
      </c>
      <c r="K54" s="9"/>
      <c r="L54" s="464"/>
      <c r="M54" s="4"/>
      <c r="N54" s="159"/>
      <c r="O54" s="30"/>
      <c r="P54" s="49"/>
      <c r="Q54" s="49"/>
    </row>
    <row r="55" spans="1:19" x14ac:dyDescent="0.25">
      <c r="A55" s="5">
        <f t="shared" si="4"/>
        <v>33</v>
      </c>
      <c r="C55" s="8" t="s">
        <v>193</v>
      </c>
      <c r="D55" s="245" t="str">
        <f>"Sum of Ls. "&amp;A52&amp;" - "&amp;A54</f>
        <v>Sum of Ls. 30 - 32</v>
      </c>
      <c r="E55" s="145">
        <f>ROUND(SUM(E52:E54),0)</f>
        <v>78829416</v>
      </c>
      <c r="F55" s="4"/>
      <c r="G55" s="4"/>
      <c r="H55" s="4"/>
      <c r="I55" s="4"/>
      <c r="J55" s="145">
        <f>ROUND(SUM(J52:J54),0)</f>
        <v>24508435</v>
      </c>
      <c r="K55" s="4"/>
      <c r="L55" s="4"/>
      <c r="M55" s="4"/>
      <c r="N55" s="151"/>
      <c r="O55" s="46"/>
      <c r="P55" s="20"/>
    </row>
    <row r="56" spans="1:19" x14ac:dyDescent="0.25">
      <c r="D56" s="9"/>
      <c r="E56" s="48"/>
      <c r="F56" s="9"/>
      <c r="G56" s="9"/>
      <c r="H56" s="9"/>
      <c r="I56" s="9"/>
      <c r="J56" s="48"/>
      <c r="K56" s="9"/>
      <c r="L56" s="9"/>
      <c r="M56" s="4"/>
      <c r="N56" s="46"/>
      <c r="O56" s="46"/>
      <c r="P56" s="20"/>
    </row>
    <row r="57" spans="1:19" x14ac:dyDescent="0.25">
      <c r="A57" s="5">
        <f>A55+1</f>
        <v>34</v>
      </c>
      <c r="C57" s="2" t="s">
        <v>258</v>
      </c>
      <c r="D57" s="245" t="s">
        <v>259</v>
      </c>
      <c r="E57" s="471">
        <f>ROUND(E55+E49+E47+E35,0)</f>
        <v>7597717676</v>
      </c>
      <c r="F57" s="9"/>
      <c r="G57" s="9"/>
      <c r="H57" s="464"/>
      <c r="I57" s="9"/>
      <c r="J57" s="471">
        <f>ROUND(J55+J49+J47+J35,0)</f>
        <v>754511821</v>
      </c>
      <c r="K57" s="9"/>
      <c r="L57" s="464"/>
      <c r="M57" s="9"/>
      <c r="N57" s="46"/>
      <c r="O57" s="46"/>
      <c r="P57" s="20"/>
    </row>
    <row r="58" spans="1:19" x14ac:dyDescent="0.25">
      <c r="A58" s="5"/>
      <c r="C58" s="2"/>
      <c r="D58" s="9"/>
      <c r="E58" s="9"/>
      <c r="F58" s="9"/>
      <c r="G58" s="9"/>
      <c r="H58" s="9"/>
      <c r="I58" s="9"/>
      <c r="J58" s="9"/>
      <c r="K58" s="9"/>
      <c r="L58" s="9"/>
      <c r="M58" s="9"/>
      <c r="N58" s="46"/>
      <c r="O58" s="46"/>
      <c r="P58" s="20"/>
    </row>
    <row r="59" spans="1:19" x14ac:dyDescent="0.25">
      <c r="Q59" s="81"/>
      <c r="R59" s="81"/>
      <c r="S59" s="81"/>
    </row>
    <row r="60" spans="1:19" x14ac:dyDescent="0.25">
      <c r="Q60" s="81"/>
      <c r="R60" s="81"/>
      <c r="S60" s="81"/>
    </row>
    <row r="61" spans="1:19" x14ac:dyDescent="0.25">
      <c r="Q61" s="81"/>
      <c r="R61" s="81"/>
      <c r="S61" s="81"/>
    </row>
    <row r="62" spans="1:19" x14ac:dyDescent="0.25">
      <c r="Q62" s="81"/>
      <c r="R62" s="81"/>
      <c r="S62" s="81"/>
    </row>
    <row r="63" spans="1:19" x14ac:dyDescent="0.25">
      <c r="Q63" s="81"/>
      <c r="R63" s="81"/>
      <c r="S63" s="81"/>
    </row>
    <row r="64" spans="1:19" x14ac:dyDescent="0.25">
      <c r="Q64" s="81"/>
      <c r="R64" s="81"/>
      <c r="S64" s="81"/>
    </row>
    <row r="65" spans="17:43" s="1" customFormat="1" x14ac:dyDescent="0.25">
      <c r="Q65" s="81"/>
      <c r="R65" s="81"/>
      <c r="S65" s="8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7:43" s="1" customFormat="1" x14ac:dyDescent="0.25">
      <c r="Q66" s="81"/>
      <c r="R66" s="81"/>
      <c r="S66" s="8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7:43" s="1" customFormat="1" x14ac:dyDescent="0.25">
      <c r="Q67" s="81"/>
      <c r="R67" s="81"/>
      <c r="S67" s="8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7:43" s="1" customFormat="1" x14ac:dyDescent="0.25">
      <c r="Q68" s="81"/>
      <c r="R68" s="81"/>
      <c r="S68" s="8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7:43" s="1" customFormat="1" x14ac:dyDescent="0.25">
      <c r="Q69" s="81"/>
      <c r="R69" s="81"/>
      <c r="S69" s="8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17:43" s="1" customFormat="1" x14ac:dyDescent="0.25">
      <c r="Q70" s="81"/>
      <c r="R70" s="81"/>
      <c r="S70" s="8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17:43" s="1" customFormat="1" x14ac:dyDescent="0.25">
      <c r="Q71" s="81"/>
      <c r="R71" s="81"/>
      <c r="S71" s="8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7:43" s="1" customFormat="1" x14ac:dyDescent="0.25">
      <c r="Q72" s="81"/>
      <c r="R72" s="81"/>
      <c r="S72" s="8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17:43" s="1" customFormat="1" x14ac:dyDescent="0.25">
      <c r="Q73" s="81"/>
      <c r="R73" s="81"/>
      <c r="S73" s="8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17:43" s="1" customFormat="1" x14ac:dyDescent="0.25">
      <c r="Q74" s="81"/>
      <c r="R74" s="81"/>
      <c r="S74" s="8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7:43" s="1" customFormat="1" x14ac:dyDescent="0.25">
      <c r="Q75" s="81"/>
      <c r="R75" s="81"/>
      <c r="S75" s="8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17:43" s="1" customFormat="1" x14ac:dyDescent="0.25">
      <c r="Q76" s="81"/>
      <c r="R76" s="81"/>
      <c r="S76" s="8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17:43" s="1" customFormat="1" x14ac:dyDescent="0.25">
      <c r="Q77" s="81"/>
      <c r="R77" s="81"/>
      <c r="S77" s="8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17:43" s="1" customFormat="1" x14ac:dyDescent="0.25">
      <c r="Q78" s="81"/>
      <c r="R78" s="81"/>
      <c r="S78" s="8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7:43" s="1" customFormat="1" x14ac:dyDescent="0.25">
      <c r="Q79" s="81"/>
      <c r="R79" s="81"/>
      <c r="S79" s="8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7:43" s="1" customFormat="1" x14ac:dyDescent="0.25">
      <c r="Q80" s="81"/>
      <c r="R80" s="81"/>
      <c r="S80" s="8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7:43" s="1" customFormat="1" x14ac:dyDescent="0.25">
      <c r="Q81" s="81"/>
      <c r="R81" s="81"/>
      <c r="S81" s="8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7:43" s="1" customFormat="1" x14ac:dyDescent="0.25">
      <c r="Q82" s="81"/>
      <c r="R82" s="81"/>
      <c r="S82" s="8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7:43" s="1" customFormat="1" x14ac:dyDescent="0.25">
      <c r="Q83" s="81"/>
      <c r="R83" s="81"/>
      <c r="S83" s="8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7:43" s="1" customFormat="1" x14ac:dyDescent="0.25">
      <c r="Q84" s="81"/>
      <c r="R84" s="81"/>
      <c r="S84" s="8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7:43" s="1" customFormat="1" x14ac:dyDescent="0.25">
      <c r="Q85" s="81"/>
      <c r="R85" s="81"/>
      <c r="S85" s="8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7:43" s="1" customFormat="1" x14ac:dyDescent="0.25">
      <c r="Q86" s="81"/>
      <c r="R86" s="81"/>
      <c r="S86" s="8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7:43" s="1" customFormat="1" x14ac:dyDescent="0.25">
      <c r="Q87" s="81"/>
      <c r="R87" s="81"/>
      <c r="S87" s="8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7:43" s="1" customFormat="1" x14ac:dyDescent="0.25">
      <c r="Q88" s="81"/>
      <c r="R88" s="81"/>
      <c r="S88" s="8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7:43" s="1" customFormat="1" x14ac:dyDescent="0.25">
      <c r="Q89" s="81"/>
      <c r="R89" s="81"/>
      <c r="S89" s="8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7:43" s="1" customFormat="1" x14ac:dyDescent="0.25">
      <c r="Q90" s="81"/>
      <c r="R90" s="81"/>
      <c r="S90" s="8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7:43" s="1" customFormat="1" x14ac:dyDescent="0.25">
      <c r="Q91" s="81"/>
      <c r="R91" s="81"/>
      <c r="S91" s="8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7:43" s="1" customFormat="1" x14ac:dyDescent="0.25">
      <c r="Q92" s="81"/>
      <c r="R92" s="81"/>
      <c r="S92" s="8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7:43" s="1" customFormat="1" x14ac:dyDescent="0.25">
      <c r="Q93" s="81"/>
      <c r="R93" s="81"/>
      <c r="S93" s="8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7:43" s="1" customFormat="1" x14ac:dyDescent="0.25">
      <c r="Q94" s="81"/>
      <c r="R94" s="81"/>
      <c r="S94" s="8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7:43" s="1" customFormat="1" x14ac:dyDescent="0.25">
      <c r="Q95" s="81"/>
      <c r="R95" s="81"/>
      <c r="S95" s="8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7:43" s="1" customFormat="1" x14ac:dyDescent="0.25">
      <c r="Q96" s="81"/>
      <c r="R96" s="81"/>
      <c r="S96" s="8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7:43" s="1" customFormat="1" x14ac:dyDescent="0.25">
      <c r="Q97" s="81"/>
      <c r="R97" s="81"/>
      <c r="S97" s="8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7:43" s="1" customFormat="1" x14ac:dyDescent="0.25">
      <c r="Q98" s="81"/>
      <c r="R98" s="81"/>
      <c r="S98" s="8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7:43" s="1" customFormat="1" x14ac:dyDescent="0.25">
      <c r="Q99" s="81"/>
      <c r="R99" s="81"/>
      <c r="S99" s="8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7:43" s="1" customFormat="1" x14ac:dyDescent="0.25">
      <c r="Q100" s="81"/>
      <c r="R100" s="81"/>
      <c r="S100" s="8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7:43" s="1" customFormat="1" x14ac:dyDescent="0.25">
      <c r="Q101" s="81"/>
      <c r="R101" s="81"/>
      <c r="S101" s="8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7:43" s="1" customFormat="1" x14ac:dyDescent="0.25">
      <c r="Q102" s="81"/>
      <c r="R102" s="81"/>
      <c r="S102" s="8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7:43" s="1" customFormat="1" x14ac:dyDescent="0.25">
      <c r="Q103" s="81"/>
      <c r="R103" s="81"/>
      <c r="S103" s="8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7:43" s="1" customFormat="1" x14ac:dyDescent="0.25">
      <c r="Q104" s="81"/>
      <c r="R104" s="81"/>
      <c r="S104" s="8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7:43" s="1" customFormat="1" x14ac:dyDescent="0.25">
      <c r="Q105" s="81"/>
      <c r="R105" s="81"/>
      <c r="S105" s="8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7:43" s="1" customFormat="1" x14ac:dyDescent="0.25">
      <c r="Q106" s="81"/>
      <c r="R106" s="81"/>
      <c r="S106" s="8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17:43" s="1" customFormat="1" x14ac:dyDescent="0.25">
      <c r="Q107" s="81"/>
      <c r="R107" s="81"/>
      <c r="S107" s="8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17:43" s="1" customFormat="1" x14ac:dyDescent="0.25">
      <c r="Q108" s="81"/>
      <c r="R108" s="81"/>
      <c r="S108" s="8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17:43" s="1" customFormat="1" x14ac:dyDescent="0.25">
      <c r="Q109" s="81"/>
      <c r="R109" s="81"/>
      <c r="S109" s="8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7:43" s="1" customFormat="1" x14ac:dyDescent="0.25">
      <c r="Q110" s="81"/>
      <c r="R110" s="81"/>
      <c r="S110" s="8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17:43" s="1" customFormat="1" x14ac:dyDescent="0.25">
      <c r="Q111" s="81"/>
      <c r="R111" s="81"/>
      <c r="S111" s="8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17:43" s="1" customFormat="1" x14ac:dyDescent="0.25">
      <c r="Q112" s="81"/>
      <c r="R112" s="81"/>
      <c r="S112" s="8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17:43" s="1" customFormat="1" x14ac:dyDescent="0.25">
      <c r="Q113" s="81"/>
      <c r="R113" s="81"/>
      <c r="S113" s="8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17:43" s="1" customFormat="1" x14ac:dyDescent="0.25">
      <c r="Q114" s="81"/>
      <c r="R114" s="81"/>
      <c r="S114" s="8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17:43" s="1" customFormat="1" x14ac:dyDescent="0.25">
      <c r="Q115" s="81"/>
      <c r="R115" s="81"/>
      <c r="S115" s="8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17:43" s="1" customFormat="1" x14ac:dyDescent="0.25">
      <c r="Q116" s="81"/>
      <c r="R116" s="81"/>
      <c r="S116" s="8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17:43" s="1" customFormat="1" x14ac:dyDescent="0.25">
      <c r="Q117" s="81"/>
      <c r="R117" s="81"/>
      <c r="S117" s="8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17:43" s="1" customFormat="1" x14ac:dyDescent="0.25">
      <c r="Q118" s="81"/>
      <c r="R118" s="81"/>
      <c r="S118" s="8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17:43" s="1" customFormat="1" x14ac:dyDescent="0.25">
      <c r="Q119" s="81"/>
      <c r="R119" s="81"/>
      <c r="S119" s="8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7:43" s="1" customFormat="1" x14ac:dyDescent="0.25">
      <c r="Q120" s="81"/>
      <c r="R120" s="81"/>
      <c r="S120" s="8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17:43" s="1" customFormat="1" x14ac:dyDescent="0.25">
      <c r="Q121" s="81"/>
      <c r="R121" s="81"/>
      <c r="S121" s="8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7:43" s="1" customFormat="1" x14ac:dyDescent="0.25">
      <c r="Q122" s="81"/>
      <c r="R122" s="81"/>
      <c r="S122" s="8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17:43" s="1" customFormat="1" x14ac:dyDescent="0.25">
      <c r="Q123" s="81"/>
      <c r="R123" s="81"/>
      <c r="S123" s="8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17:43" s="1" customFormat="1" x14ac:dyDescent="0.25">
      <c r="Q124" s="81"/>
      <c r="R124" s="81"/>
      <c r="S124" s="8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17:43" s="1" customFormat="1" x14ac:dyDescent="0.25">
      <c r="Q125" s="81"/>
      <c r="R125" s="81"/>
      <c r="S125" s="8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17:43" s="1" customFormat="1" x14ac:dyDescent="0.25">
      <c r="Q126" s="81"/>
      <c r="R126" s="81"/>
      <c r="S126" s="8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17:43" s="1" customFormat="1" x14ac:dyDescent="0.25">
      <c r="Q127" s="81"/>
      <c r="R127" s="81"/>
      <c r="S127" s="8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17:43" s="1" customFormat="1" x14ac:dyDescent="0.25">
      <c r="Q128" s="81"/>
      <c r="R128" s="81"/>
      <c r="S128" s="8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17:43" s="1" customFormat="1" x14ac:dyDescent="0.25">
      <c r="Q129" s="81"/>
      <c r="R129" s="81"/>
      <c r="S129" s="8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17:43" s="1" customFormat="1" x14ac:dyDescent="0.25">
      <c r="Q130" s="81"/>
      <c r="R130" s="81"/>
      <c r="S130" s="8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17:43" s="1" customFormat="1" x14ac:dyDescent="0.25">
      <c r="Q131" s="81"/>
      <c r="R131" s="81"/>
      <c r="S131" s="8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17:43" s="1" customFormat="1" x14ac:dyDescent="0.25">
      <c r="Q132" s="81"/>
      <c r="R132" s="81"/>
      <c r="S132" s="8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17:43" s="1" customFormat="1" x14ac:dyDescent="0.25">
      <c r="Q133" s="81"/>
      <c r="R133" s="81"/>
      <c r="S133" s="8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17:43" s="1" customFormat="1" x14ac:dyDescent="0.25">
      <c r="Q134" s="81"/>
      <c r="R134" s="81"/>
      <c r="S134" s="8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17:43" s="1" customFormat="1" x14ac:dyDescent="0.25">
      <c r="Q135" s="81"/>
      <c r="R135" s="81"/>
      <c r="S135" s="8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17:43" s="1" customFormat="1" x14ac:dyDescent="0.25">
      <c r="Q136" s="81"/>
      <c r="R136" s="81"/>
      <c r="S136" s="8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7:43" s="1" customFormat="1" x14ac:dyDescent="0.25">
      <c r="Q137" s="81"/>
      <c r="R137" s="81"/>
      <c r="S137" s="8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17:43" s="1" customFormat="1" x14ac:dyDescent="0.25">
      <c r="Q138" s="81"/>
      <c r="R138" s="81"/>
      <c r="S138" s="8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17:43" s="1" customFormat="1" x14ac:dyDescent="0.25">
      <c r="Q139" s="81"/>
      <c r="R139" s="81"/>
      <c r="S139" s="8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17:43" s="1" customFormat="1" x14ac:dyDescent="0.25">
      <c r="Q140" s="81"/>
      <c r="R140" s="81"/>
      <c r="S140" s="8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17:43" s="1" customFormat="1" x14ac:dyDescent="0.25">
      <c r="Q141" s="81"/>
      <c r="R141" s="81"/>
      <c r="S141" s="8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17:43" s="1" customFormat="1" x14ac:dyDescent="0.25">
      <c r="Q142" s="81"/>
      <c r="R142" s="81"/>
      <c r="S142" s="8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17:43" s="1" customFormat="1" x14ac:dyDescent="0.25">
      <c r="Q143" s="81"/>
      <c r="R143" s="81"/>
      <c r="S143" s="8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17:43" s="1" customFormat="1" x14ac:dyDescent="0.25">
      <c r="Q144" s="81"/>
      <c r="R144" s="81"/>
      <c r="S144" s="8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17:43" s="1" customFormat="1" x14ac:dyDescent="0.25">
      <c r="Q145" s="81"/>
      <c r="R145" s="81"/>
      <c r="S145" s="8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17:43" s="1" customFormat="1" x14ac:dyDescent="0.25">
      <c r="Q146" s="81"/>
      <c r="R146" s="81"/>
      <c r="S146" s="8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17:43" s="1" customFormat="1" x14ac:dyDescent="0.25">
      <c r="Q147" s="81"/>
      <c r="R147" s="81"/>
      <c r="S147" s="8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17:43" s="1" customFormat="1" x14ac:dyDescent="0.25">
      <c r="Q148" s="81"/>
      <c r="R148" s="81"/>
      <c r="S148" s="8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7:43" s="1" customFormat="1" x14ac:dyDescent="0.25">
      <c r="Q149" s="81"/>
      <c r="R149" s="81"/>
      <c r="S149" s="8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17:43" s="1" customFormat="1" x14ac:dyDescent="0.25">
      <c r="Q150" s="81"/>
      <c r="R150" s="81"/>
      <c r="S150" s="8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17:43" s="1" customFormat="1" x14ac:dyDescent="0.25">
      <c r="Q151" s="81"/>
      <c r="R151" s="81"/>
      <c r="S151" s="8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17:43" s="1" customFormat="1" x14ac:dyDescent="0.25">
      <c r="Q152" s="81"/>
      <c r="R152" s="81"/>
      <c r="S152" s="8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17:43" s="1" customFormat="1" x14ac:dyDescent="0.25">
      <c r="Q153" s="81"/>
      <c r="R153" s="81"/>
      <c r="S153" s="8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17:43" s="1" customFormat="1" x14ac:dyDescent="0.25">
      <c r="Q154" s="81"/>
      <c r="R154" s="81"/>
      <c r="S154" s="8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17:43" s="1" customFormat="1" x14ac:dyDescent="0.25">
      <c r="Q155" s="81"/>
      <c r="R155" s="81"/>
      <c r="S155" s="8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17:43" s="1" customFormat="1" x14ac:dyDescent="0.25">
      <c r="Q156" s="81"/>
      <c r="R156" s="81"/>
      <c r="S156" s="8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17:43" s="1" customFormat="1" x14ac:dyDescent="0.25">
      <c r="Q157" s="81"/>
      <c r="R157" s="81"/>
      <c r="S157" s="8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17:43" s="1" customFormat="1" x14ac:dyDescent="0.25">
      <c r="Q158" s="81"/>
      <c r="R158" s="81"/>
      <c r="S158" s="8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7:43" s="1" customFormat="1" x14ac:dyDescent="0.25">
      <c r="Q159" s="81"/>
      <c r="R159" s="81"/>
      <c r="S159" s="8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7:43" s="1" customFormat="1" x14ac:dyDescent="0.25">
      <c r="Q160" s="81"/>
      <c r="R160" s="81"/>
      <c r="S160" s="8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7:43" s="1" customFormat="1" x14ac:dyDescent="0.25">
      <c r="Q161" s="81"/>
      <c r="R161" s="81"/>
      <c r="S161" s="8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17:43" s="1" customFormat="1" x14ac:dyDescent="0.25">
      <c r="Q162" s="81"/>
      <c r="R162" s="81"/>
      <c r="S162" s="8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17:43" s="1" customFormat="1" x14ac:dyDescent="0.25">
      <c r="Q163" s="81"/>
      <c r="R163" s="81"/>
      <c r="S163" s="8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17:43" s="1" customFormat="1" x14ac:dyDescent="0.25">
      <c r="Q164" s="81"/>
      <c r="R164" s="81"/>
      <c r="S164" s="8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17:43" s="1" customFormat="1" x14ac:dyDescent="0.25">
      <c r="Q165" s="81"/>
      <c r="R165" s="81"/>
      <c r="S165" s="8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17:43" s="1" customFormat="1" x14ac:dyDescent="0.25">
      <c r="Q166" s="81"/>
      <c r="R166" s="81"/>
      <c r="S166" s="8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17:43" s="1" customFormat="1" x14ac:dyDescent="0.25">
      <c r="Q167" s="81"/>
      <c r="R167" s="81"/>
      <c r="S167" s="8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17:43" s="1" customFormat="1" x14ac:dyDescent="0.25">
      <c r="Q168" s="81"/>
      <c r="R168" s="81"/>
      <c r="S168" s="8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17:43" s="1" customFormat="1" x14ac:dyDescent="0.25">
      <c r="Q169" s="81"/>
      <c r="R169" s="81"/>
      <c r="S169" s="8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17:43" s="1" customFormat="1" x14ac:dyDescent="0.25">
      <c r="Q170" s="81"/>
      <c r="R170" s="81"/>
      <c r="S170" s="8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17:43" s="1" customFormat="1" x14ac:dyDescent="0.25">
      <c r="Q171" s="81"/>
      <c r="R171" s="81"/>
      <c r="S171" s="8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17:43" s="1" customFormat="1" x14ac:dyDescent="0.25">
      <c r="Q172" s="81"/>
      <c r="R172" s="81"/>
      <c r="S172" s="8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17:43" s="1" customFormat="1" x14ac:dyDescent="0.25">
      <c r="Q173" s="81"/>
      <c r="R173" s="81"/>
      <c r="S173" s="8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17:43" s="1" customFormat="1" x14ac:dyDescent="0.25">
      <c r="Q174" s="81"/>
      <c r="R174" s="81"/>
      <c r="S174" s="8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17:43" s="1" customFormat="1" x14ac:dyDescent="0.25">
      <c r="Q175" s="81"/>
      <c r="R175" s="81"/>
      <c r="S175" s="8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17:43" s="1" customFormat="1" x14ac:dyDescent="0.25">
      <c r="Q176" s="81"/>
      <c r="R176" s="81"/>
      <c r="S176" s="8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3:19" x14ac:dyDescent="0.25">
      <c r="Q177" s="81"/>
      <c r="R177" s="81"/>
      <c r="S177" s="81"/>
    </row>
    <row r="178" spans="3:19" x14ac:dyDescent="0.25">
      <c r="Q178" s="81"/>
      <c r="R178" s="81"/>
      <c r="S178" s="81"/>
    </row>
    <row r="179" spans="3:19" x14ac:dyDescent="0.25">
      <c r="Q179" s="81"/>
      <c r="R179" s="81"/>
      <c r="S179" s="81"/>
    </row>
    <row r="180" spans="3:19" x14ac:dyDescent="0.25">
      <c r="Q180" s="81"/>
      <c r="R180" s="81"/>
      <c r="S180" s="81"/>
    </row>
    <row r="181" spans="3:19" x14ac:dyDescent="0.25">
      <c r="Q181" s="81"/>
      <c r="R181" s="81"/>
      <c r="S181" s="81"/>
    </row>
    <row r="182" spans="3:19" x14ac:dyDescent="0.25">
      <c r="Q182" s="81"/>
      <c r="R182" s="81"/>
      <c r="S182" s="81"/>
    </row>
    <row r="183" spans="3:19" x14ac:dyDescent="0.25"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1"/>
      <c r="O183" s="81"/>
      <c r="Q183" s="81"/>
      <c r="R183" s="81"/>
      <c r="S183" s="81"/>
    </row>
    <row r="184" spans="3:19" x14ac:dyDescent="0.25"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1"/>
      <c r="O184" s="81"/>
      <c r="P184" s="81"/>
      <c r="Q184" s="81"/>
      <c r="R184" s="81"/>
      <c r="S184" s="81"/>
    </row>
    <row r="185" spans="3:19" x14ac:dyDescent="0.25"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1"/>
      <c r="O185" s="81"/>
      <c r="P185" s="81"/>
      <c r="Q185" s="81"/>
      <c r="R185" s="81"/>
      <c r="S185" s="81"/>
    </row>
    <row r="186" spans="3:19" x14ac:dyDescent="0.25"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1"/>
      <c r="O186" s="81"/>
      <c r="P186" s="81"/>
      <c r="Q186" s="81"/>
      <c r="R186" s="81"/>
      <c r="S186" s="81"/>
    </row>
    <row r="187" spans="3:19" x14ac:dyDescent="0.25"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1"/>
      <c r="O187" s="81"/>
      <c r="P187" s="81"/>
      <c r="Q187" s="81"/>
      <c r="R187" s="81"/>
      <c r="S187" s="81"/>
    </row>
    <row r="188" spans="3:19" x14ac:dyDescent="0.25"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1"/>
      <c r="O188" s="81"/>
      <c r="P188" s="81"/>
      <c r="Q188" s="81"/>
      <c r="R188" s="81"/>
      <c r="S188" s="81"/>
    </row>
    <row r="189" spans="3:19" x14ac:dyDescent="0.25"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1"/>
      <c r="O189" s="81"/>
      <c r="P189" s="81"/>
      <c r="Q189" s="81"/>
      <c r="R189" s="81"/>
      <c r="S189" s="81"/>
    </row>
    <row r="190" spans="3:19" x14ac:dyDescent="0.25"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1"/>
      <c r="O190" s="81"/>
      <c r="P190" s="81"/>
      <c r="Q190" s="81"/>
      <c r="R190" s="81"/>
      <c r="S190" s="81"/>
    </row>
    <row r="191" spans="3:19" x14ac:dyDescent="0.25"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1"/>
      <c r="O191" s="81"/>
      <c r="P191" s="81"/>
      <c r="Q191" s="81"/>
      <c r="R191" s="81"/>
      <c r="S191" s="81"/>
    </row>
    <row r="192" spans="3:19" x14ac:dyDescent="0.25"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1"/>
      <c r="O192" s="81"/>
      <c r="P192" s="81"/>
      <c r="Q192" s="81"/>
      <c r="R192" s="81"/>
      <c r="S192" s="81"/>
    </row>
    <row r="193" spans="3:19" x14ac:dyDescent="0.25"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1"/>
      <c r="O193" s="81"/>
      <c r="P193" s="81"/>
      <c r="Q193" s="81"/>
      <c r="R193" s="81"/>
      <c r="S193" s="81"/>
    </row>
    <row r="194" spans="3:19" x14ac:dyDescent="0.25"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1"/>
      <c r="O194" s="81"/>
      <c r="P194" s="81"/>
      <c r="Q194" s="81"/>
      <c r="R194" s="81"/>
      <c r="S194" s="81"/>
    </row>
    <row r="195" spans="3:19" x14ac:dyDescent="0.25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1"/>
      <c r="O195" s="81"/>
      <c r="P195" s="81"/>
      <c r="Q195" s="81"/>
      <c r="R195" s="81"/>
      <c r="S195" s="81"/>
    </row>
    <row r="196" spans="3:19" x14ac:dyDescent="0.25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1"/>
      <c r="O196" s="81"/>
      <c r="P196" s="81"/>
      <c r="Q196" s="81"/>
      <c r="R196" s="81"/>
      <c r="S196" s="81"/>
    </row>
    <row r="197" spans="3:19" x14ac:dyDescent="0.25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1"/>
      <c r="O197" s="81"/>
      <c r="P197" s="81"/>
      <c r="Q197" s="81"/>
      <c r="R197" s="81"/>
      <c r="S197" s="81"/>
    </row>
    <row r="198" spans="3:19" x14ac:dyDescent="0.25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1"/>
      <c r="O198" s="81"/>
      <c r="P198" s="81"/>
      <c r="Q198" s="81"/>
      <c r="R198" s="81"/>
      <c r="S198" s="81"/>
    </row>
    <row r="199" spans="3:19" x14ac:dyDescent="0.25"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1"/>
      <c r="O199" s="81"/>
      <c r="P199" s="81"/>
      <c r="Q199" s="81"/>
      <c r="R199" s="81"/>
      <c r="S199" s="81"/>
    </row>
    <row r="200" spans="3:19" x14ac:dyDescent="0.25"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1"/>
      <c r="O200" s="81"/>
      <c r="P200" s="81"/>
      <c r="Q200" s="81"/>
      <c r="R200" s="81"/>
      <c r="S200" s="81"/>
    </row>
    <row r="201" spans="3:19" x14ac:dyDescent="0.25"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1"/>
      <c r="O201" s="81"/>
      <c r="P201" s="81"/>
      <c r="Q201" s="81"/>
      <c r="R201" s="81"/>
      <c r="S201" s="81"/>
    </row>
    <row r="202" spans="3:19" x14ac:dyDescent="0.25"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1"/>
      <c r="O202" s="81"/>
      <c r="P202" s="81"/>
      <c r="Q202" s="81"/>
      <c r="R202" s="81"/>
      <c r="S202" s="81"/>
    </row>
    <row r="203" spans="3:19" x14ac:dyDescent="0.25"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1"/>
      <c r="O203" s="81"/>
      <c r="P203" s="81"/>
      <c r="Q203" s="81"/>
      <c r="R203" s="81"/>
      <c r="S203" s="81"/>
    </row>
    <row r="204" spans="3:19" x14ac:dyDescent="0.25"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1"/>
      <c r="O204" s="81"/>
      <c r="P204" s="81"/>
      <c r="Q204" s="81"/>
      <c r="R204" s="81"/>
      <c r="S204" s="81"/>
    </row>
    <row r="205" spans="3:19" x14ac:dyDescent="0.25"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1"/>
      <c r="O205" s="81"/>
      <c r="P205" s="81"/>
      <c r="Q205" s="81"/>
      <c r="R205" s="81"/>
      <c r="S205" s="81"/>
    </row>
    <row r="206" spans="3:19" x14ac:dyDescent="0.25"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1"/>
      <c r="O206" s="81"/>
      <c r="P206" s="81"/>
      <c r="Q206" s="81"/>
      <c r="R206" s="81"/>
      <c r="S206" s="81"/>
    </row>
    <row r="207" spans="3:19" x14ac:dyDescent="0.25"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1"/>
      <c r="O207" s="81"/>
      <c r="P207" s="81"/>
      <c r="Q207" s="81"/>
      <c r="R207" s="81"/>
      <c r="S207" s="81"/>
    </row>
    <row r="208" spans="3:19" x14ac:dyDescent="0.25"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1"/>
      <c r="O208" s="81"/>
      <c r="P208" s="81"/>
      <c r="Q208" s="81"/>
      <c r="R208" s="81"/>
      <c r="S208" s="81"/>
    </row>
    <row r="209" spans="3:19" x14ac:dyDescent="0.25"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1"/>
      <c r="O209" s="81"/>
      <c r="P209" s="81"/>
      <c r="Q209" s="81"/>
      <c r="R209" s="81"/>
      <c r="S209" s="81"/>
    </row>
    <row r="210" spans="3:19" x14ac:dyDescent="0.25"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1"/>
      <c r="O210" s="81"/>
      <c r="P210" s="81"/>
      <c r="Q210" s="81"/>
      <c r="R210" s="81"/>
      <c r="S210" s="81"/>
    </row>
    <row r="211" spans="3:19" x14ac:dyDescent="0.25"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1"/>
      <c r="O211" s="81"/>
      <c r="P211" s="81"/>
      <c r="Q211" s="81"/>
      <c r="R211" s="81"/>
      <c r="S211" s="81"/>
    </row>
    <row r="212" spans="3:19" x14ac:dyDescent="0.25"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1"/>
      <c r="O212" s="81"/>
      <c r="P212" s="81"/>
      <c r="Q212" s="81"/>
      <c r="R212" s="81"/>
      <c r="S212" s="81"/>
    </row>
    <row r="213" spans="3:19" x14ac:dyDescent="0.25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1"/>
      <c r="O213" s="81"/>
      <c r="P213" s="81"/>
      <c r="Q213" s="81"/>
      <c r="R213" s="81"/>
      <c r="S213" s="81"/>
    </row>
    <row r="214" spans="3:19" x14ac:dyDescent="0.25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1"/>
      <c r="O214" s="81"/>
      <c r="P214" s="81"/>
      <c r="Q214" s="81"/>
      <c r="R214" s="81"/>
      <c r="S214" s="81"/>
    </row>
    <row r="215" spans="3:19" x14ac:dyDescent="0.25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1"/>
      <c r="O215" s="81"/>
      <c r="P215" s="81"/>
      <c r="Q215" s="81"/>
      <c r="R215" s="81"/>
      <c r="S215" s="81"/>
    </row>
    <row r="216" spans="3:19" x14ac:dyDescent="0.25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1"/>
      <c r="O216" s="81"/>
      <c r="P216" s="81"/>
      <c r="Q216" s="81"/>
      <c r="R216" s="81"/>
      <c r="S216" s="81"/>
    </row>
    <row r="217" spans="3:19" x14ac:dyDescent="0.25"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1"/>
      <c r="O217" s="81"/>
      <c r="P217" s="81"/>
      <c r="Q217" s="81"/>
      <c r="R217" s="81"/>
      <c r="S217" s="81"/>
    </row>
    <row r="218" spans="3:19" x14ac:dyDescent="0.25"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1"/>
      <c r="O218" s="81"/>
      <c r="P218" s="81"/>
      <c r="Q218" s="81"/>
      <c r="R218" s="81"/>
      <c r="S218" s="81"/>
    </row>
    <row r="219" spans="3:19" x14ac:dyDescent="0.25"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1"/>
      <c r="O219" s="81"/>
      <c r="P219" s="81"/>
      <c r="Q219" s="81"/>
      <c r="R219" s="81"/>
      <c r="S219" s="81"/>
    </row>
    <row r="220" spans="3:19" x14ac:dyDescent="0.25"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1"/>
      <c r="O220" s="81"/>
      <c r="P220" s="81"/>
      <c r="Q220" s="81"/>
      <c r="R220" s="81"/>
      <c r="S220" s="81"/>
    </row>
    <row r="221" spans="3:19" x14ac:dyDescent="0.25"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1"/>
      <c r="O221" s="81"/>
      <c r="P221" s="81"/>
      <c r="Q221" s="81"/>
      <c r="R221" s="81"/>
      <c r="S221" s="81"/>
    </row>
    <row r="222" spans="3:19" x14ac:dyDescent="0.25"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1"/>
      <c r="O222" s="81"/>
      <c r="P222" s="81"/>
      <c r="Q222" s="81"/>
      <c r="R222" s="81"/>
      <c r="S222" s="81"/>
    </row>
    <row r="223" spans="3:19" x14ac:dyDescent="0.25"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1"/>
      <c r="O223" s="81"/>
      <c r="P223" s="81"/>
      <c r="Q223" s="81"/>
      <c r="R223" s="81"/>
      <c r="S223" s="81"/>
    </row>
    <row r="224" spans="3:19" x14ac:dyDescent="0.25"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1"/>
      <c r="O224" s="81"/>
      <c r="P224" s="81"/>
      <c r="Q224" s="81"/>
      <c r="R224" s="81"/>
      <c r="S224" s="81"/>
    </row>
    <row r="225" spans="3:19" x14ac:dyDescent="0.25"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1"/>
      <c r="O225" s="81"/>
      <c r="P225" s="81"/>
      <c r="Q225" s="81"/>
      <c r="R225" s="81"/>
      <c r="S225" s="81"/>
    </row>
    <row r="226" spans="3:19" x14ac:dyDescent="0.25"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1"/>
      <c r="O226" s="81"/>
      <c r="P226" s="81"/>
      <c r="Q226" s="81"/>
      <c r="R226" s="81"/>
      <c r="S226" s="81"/>
    </row>
    <row r="227" spans="3:19" x14ac:dyDescent="0.25"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1"/>
      <c r="O227" s="81"/>
      <c r="P227" s="81"/>
      <c r="Q227" s="81"/>
      <c r="R227" s="81"/>
      <c r="S227" s="81"/>
    </row>
    <row r="228" spans="3:19" x14ac:dyDescent="0.25"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1"/>
      <c r="O228" s="81"/>
      <c r="P228" s="81"/>
      <c r="Q228" s="81"/>
      <c r="R228" s="81"/>
      <c r="S228" s="81"/>
    </row>
    <row r="229" spans="3:19" x14ac:dyDescent="0.25"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1"/>
      <c r="O229" s="81"/>
      <c r="P229" s="81"/>
      <c r="Q229" s="81"/>
      <c r="R229" s="81"/>
      <c r="S229" s="81"/>
    </row>
    <row r="230" spans="3:19" x14ac:dyDescent="0.25"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1"/>
      <c r="O230" s="81"/>
      <c r="P230" s="81"/>
      <c r="Q230" s="81"/>
      <c r="R230" s="81"/>
      <c r="S230" s="81"/>
    </row>
    <row r="231" spans="3:19" x14ac:dyDescent="0.25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1"/>
      <c r="O231" s="81"/>
      <c r="P231" s="81"/>
      <c r="Q231" s="81"/>
      <c r="R231" s="81"/>
      <c r="S231" s="81"/>
    </row>
    <row r="232" spans="3:19" x14ac:dyDescent="0.25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1"/>
      <c r="O232" s="81"/>
      <c r="P232" s="81"/>
      <c r="Q232" s="81"/>
      <c r="R232" s="81"/>
      <c r="S232" s="81"/>
    </row>
    <row r="233" spans="3:19" x14ac:dyDescent="0.25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1"/>
      <c r="O233" s="81"/>
      <c r="P233" s="81"/>
      <c r="Q233" s="81"/>
      <c r="R233" s="81"/>
      <c r="S233" s="81"/>
    </row>
    <row r="234" spans="3:19" x14ac:dyDescent="0.25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1"/>
      <c r="O234" s="81"/>
      <c r="P234" s="81"/>
      <c r="Q234" s="81"/>
      <c r="R234" s="81"/>
      <c r="S234" s="81"/>
    </row>
    <row r="235" spans="3:19" x14ac:dyDescent="0.25"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1"/>
      <c r="O235" s="81"/>
      <c r="P235" s="81"/>
      <c r="Q235" s="81"/>
      <c r="R235" s="81"/>
      <c r="S235" s="81"/>
    </row>
    <row r="236" spans="3:19" x14ac:dyDescent="0.25"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1"/>
      <c r="O236" s="81"/>
      <c r="P236" s="81"/>
      <c r="Q236" s="81"/>
      <c r="R236" s="81"/>
      <c r="S236" s="81"/>
    </row>
    <row r="237" spans="3:19" x14ac:dyDescent="0.25"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1"/>
      <c r="O237" s="81"/>
      <c r="P237" s="81"/>
      <c r="Q237" s="81"/>
      <c r="R237" s="81"/>
      <c r="S237" s="81"/>
    </row>
    <row r="238" spans="3:19" x14ac:dyDescent="0.25"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1"/>
      <c r="O238" s="81"/>
      <c r="P238" s="81"/>
      <c r="Q238" s="81"/>
      <c r="R238" s="81"/>
      <c r="S238" s="81"/>
    </row>
    <row r="239" spans="3:19" x14ac:dyDescent="0.25">
      <c r="P239" s="81"/>
      <c r="Q239" s="81"/>
      <c r="R239" s="81"/>
      <c r="S239" s="81"/>
    </row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</sheetData>
  <sheetProtection sheet="1" objects="1" scenarios="1"/>
  <printOptions horizontalCentered="1"/>
  <pageMargins left="0.75" right="0.75" top="0.52" bottom="0.49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X572"/>
  <sheetViews>
    <sheetView topLeftCell="A28" workbookViewId="0">
      <selection activeCell="O19" sqref="O19"/>
    </sheetView>
  </sheetViews>
  <sheetFormatPr defaultColWidth="9.33203125" defaultRowHeight="15.75" x14ac:dyDescent="0.25"/>
  <cols>
    <col min="1" max="1" width="9" style="84" customWidth="1"/>
    <col min="2" max="2" width="2.1640625" style="84" customWidth="1"/>
    <col min="3" max="3" width="53.33203125" style="84" customWidth="1"/>
    <col min="4" max="4" width="35.6640625" style="84" customWidth="1"/>
    <col min="5" max="5" width="23" style="84" customWidth="1"/>
    <col min="6" max="6" width="15" style="84" customWidth="1"/>
    <col min="7" max="7" width="20.6640625" style="84" customWidth="1"/>
    <col min="8" max="8" width="18.5" style="84" customWidth="1"/>
    <col min="9" max="9" width="8.6640625" style="84" customWidth="1"/>
    <col min="10" max="10" width="23" style="84" customWidth="1"/>
    <col min="11" max="11" width="9.33203125" style="84" customWidth="1"/>
    <col min="12" max="12" width="11.6640625" style="84" customWidth="1"/>
    <col min="13" max="13" width="2.83203125" style="84" customWidth="1"/>
    <col min="14" max="14" width="41" style="84" customWidth="1"/>
    <col min="15" max="15" width="48.83203125" style="84" customWidth="1"/>
    <col min="16" max="16" width="23.5" style="84" customWidth="1"/>
    <col min="17" max="17" width="20.5" style="84" customWidth="1"/>
    <col min="18" max="18" width="20.83203125" style="84" customWidth="1"/>
    <col min="19" max="19" width="23.6640625" style="84" bestFit="1" customWidth="1"/>
    <col min="20" max="20" width="22.1640625" style="84" bestFit="1" customWidth="1"/>
    <col min="21" max="21" width="23" style="84" bestFit="1" customWidth="1"/>
    <col min="22" max="22" width="19.83203125" style="84" customWidth="1"/>
    <col min="23" max="23" width="20.33203125" style="84" customWidth="1"/>
    <col min="24" max="24" width="23.5" style="84" bestFit="1" customWidth="1"/>
    <col min="25" max="25" width="21.6640625" style="84" bestFit="1" customWidth="1"/>
    <col min="26" max="26" width="16.1640625" style="84" customWidth="1"/>
    <col min="27" max="28" width="23.5" style="84" bestFit="1" customWidth="1"/>
    <col min="29" max="29" width="21.33203125" style="84" bestFit="1" customWidth="1"/>
    <col min="30" max="30" width="23.5" style="84" bestFit="1" customWidth="1"/>
    <col min="31" max="31" width="21.33203125" style="84" bestFit="1" customWidth="1"/>
    <col min="32" max="32" width="20.6640625" style="84" bestFit="1" customWidth="1"/>
    <col min="33" max="16384" width="9.33203125" style="84"/>
  </cols>
  <sheetData>
    <row r="1" spans="1:33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90"/>
      <c r="O1" s="90"/>
      <c r="P1" s="90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25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90"/>
      <c r="O2" s="90"/>
      <c r="P2" s="90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0"/>
      <c r="O3" s="90"/>
      <c r="P3" s="90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12/31/2018</v>
      </c>
      <c r="K4" s="4"/>
      <c r="L4" s="4"/>
      <c r="M4" s="4"/>
      <c r="N4" s="90"/>
      <c r="O4" s="90"/>
      <c r="P4" s="90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25">
      <c r="A5" s="272" t="s">
        <v>187</v>
      </c>
      <c r="B5" s="1"/>
      <c r="C5" s="2"/>
      <c r="D5" s="126" t="s">
        <v>0</v>
      </c>
      <c r="E5" s="1"/>
      <c r="F5" s="9"/>
      <c r="G5" s="9"/>
      <c r="H5" s="9"/>
      <c r="I5" s="2"/>
      <c r="J5" s="238" t="s">
        <v>124</v>
      </c>
      <c r="K5" s="251"/>
      <c r="L5" s="251"/>
      <c r="M5" s="4"/>
      <c r="N5" s="90"/>
      <c r="O5" s="90"/>
      <c r="P5" s="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0"/>
      <c r="O6" s="90"/>
      <c r="P6" s="90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x14ac:dyDescent="0.25">
      <c r="A7" s="275" t="str">
        <f>'NITS Pg 2 of 5'!A7</f>
        <v>LG&amp;E and KU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93"/>
      <c r="O7" s="93"/>
      <c r="P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x14ac:dyDescent="0.25">
      <c r="A8" s="88"/>
      <c r="C8" s="191" t="s">
        <v>18</v>
      </c>
      <c r="D8" s="191" t="s">
        <v>19</v>
      </c>
      <c r="E8" s="191" t="s">
        <v>20</v>
      </c>
      <c r="F8" s="93" t="s">
        <v>0</v>
      </c>
      <c r="G8" s="93"/>
      <c r="H8" s="210" t="s">
        <v>21</v>
      </c>
      <c r="I8" s="93"/>
      <c r="J8" s="211" t="s">
        <v>22</v>
      </c>
      <c r="K8" s="93"/>
      <c r="L8" s="93"/>
      <c r="M8" s="93"/>
      <c r="N8" s="90"/>
      <c r="O8" s="93"/>
      <c r="P8" s="91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x14ac:dyDescent="0.25">
      <c r="A9" s="88"/>
      <c r="C9" s="191"/>
      <c r="D9" s="86"/>
      <c r="E9" s="86"/>
      <c r="F9" s="86"/>
      <c r="G9" s="86"/>
      <c r="H9" s="86"/>
      <c r="I9" s="86"/>
      <c r="J9" s="86"/>
      <c r="K9" s="86"/>
      <c r="L9" s="212"/>
      <c r="M9" s="86"/>
      <c r="N9" s="86"/>
      <c r="O9" s="93"/>
      <c r="P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x14ac:dyDescent="0.25">
      <c r="A10" s="88" t="s">
        <v>1</v>
      </c>
      <c r="C10" s="91"/>
      <c r="D10" s="213" t="s">
        <v>23</v>
      </c>
      <c r="E10" s="93"/>
      <c r="F10" s="93"/>
      <c r="G10" s="93"/>
      <c r="H10" s="88"/>
      <c r="I10" s="93"/>
      <c r="J10" s="212" t="s">
        <v>24</v>
      </c>
      <c r="K10" s="93"/>
      <c r="L10" s="212"/>
      <c r="M10" s="93"/>
      <c r="N10" s="90"/>
      <c r="O10" s="93"/>
      <c r="P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6.5" thickBot="1" x14ac:dyDescent="0.3">
      <c r="A11" s="167" t="s">
        <v>3</v>
      </c>
      <c r="C11" s="91"/>
      <c r="D11" s="214" t="s">
        <v>25</v>
      </c>
      <c r="E11" s="212" t="s">
        <v>26</v>
      </c>
      <c r="F11" s="215"/>
      <c r="G11" s="216" t="s">
        <v>7</v>
      </c>
      <c r="H11" s="217"/>
      <c r="I11" s="215"/>
      <c r="J11" s="218" t="s">
        <v>28</v>
      </c>
      <c r="K11" s="93"/>
      <c r="L11" s="212"/>
      <c r="M11" s="219"/>
      <c r="N11" s="212"/>
      <c r="O11" s="9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x14ac:dyDescent="0.25">
      <c r="C12" s="91"/>
      <c r="D12" s="93"/>
      <c r="E12" s="220"/>
      <c r="F12" s="221"/>
      <c r="G12" s="222"/>
      <c r="I12" s="221"/>
      <c r="J12" s="220"/>
      <c r="K12" s="93"/>
      <c r="L12" s="93"/>
      <c r="M12" s="93"/>
      <c r="N12" s="93"/>
      <c r="O12" s="93"/>
      <c r="P12" s="92"/>
      <c r="Q12" s="223"/>
      <c r="R12" s="92"/>
      <c r="S12" s="92"/>
      <c r="T12" s="92"/>
      <c r="U12" s="92"/>
      <c r="V12" s="200"/>
      <c r="W12" s="92"/>
      <c r="X12" s="224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x14ac:dyDescent="0.25">
      <c r="A13" s="88"/>
      <c r="C13" s="91" t="s">
        <v>55</v>
      </c>
      <c r="D13" s="93"/>
      <c r="E13" s="93"/>
      <c r="F13" s="93"/>
      <c r="G13" s="93"/>
      <c r="H13" s="93"/>
      <c r="I13" s="93"/>
      <c r="J13" s="93"/>
      <c r="K13" s="168"/>
      <c r="L13" s="93"/>
      <c r="M13" s="93"/>
      <c r="N13" s="93"/>
      <c r="O13" s="93"/>
      <c r="P13" s="178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x14ac:dyDescent="0.25">
      <c r="A14" s="88">
        <v>1</v>
      </c>
      <c r="C14" s="185" t="s">
        <v>24</v>
      </c>
      <c r="D14" s="330" t="s">
        <v>384</v>
      </c>
      <c r="E14" s="479">
        <f>'OATT Input Data'!E193</f>
        <v>62384215.790000007</v>
      </c>
      <c r="F14" s="168"/>
      <c r="G14" s="168" t="s">
        <v>53</v>
      </c>
      <c r="H14" s="488">
        <f>'NITS Pg 4 of 5'!$J$25</f>
        <v>0.86294000000000004</v>
      </c>
      <c r="I14" s="168"/>
      <c r="J14" s="479">
        <f>ROUND(E14*H14,0)</f>
        <v>53833835</v>
      </c>
      <c r="K14" s="109"/>
      <c r="L14" s="93"/>
      <c r="M14" s="93"/>
      <c r="N14" s="93"/>
      <c r="O14" s="178"/>
      <c r="P14" s="168"/>
      <c r="Q14" s="168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x14ac:dyDescent="0.25">
      <c r="A15" s="88">
        <v>2</v>
      </c>
      <c r="C15" s="185" t="s">
        <v>198</v>
      </c>
      <c r="D15" s="242" t="s">
        <v>274</v>
      </c>
      <c r="E15" s="169">
        <f>'OATT Input Data'!E194*-1</f>
        <v>-4593058</v>
      </c>
      <c r="F15" s="168"/>
      <c r="G15" s="168" t="s">
        <v>0</v>
      </c>
      <c r="H15" s="488">
        <v>1</v>
      </c>
      <c r="I15" s="168"/>
      <c r="J15" s="169">
        <f>ROUND(E15*H15,0)</f>
        <v>-4593058</v>
      </c>
      <c r="K15" s="109"/>
      <c r="L15" s="93"/>
      <c r="M15" s="93"/>
      <c r="N15" s="93"/>
      <c r="O15" s="179"/>
      <c r="P15" s="168"/>
      <c r="Q15" s="168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x14ac:dyDescent="0.25">
      <c r="A16" s="88">
        <v>3</v>
      </c>
      <c r="C16" s="91" t="s">
        <v>56</v>
      </c>
      <c r="D16" s="242" t="s">
        <v>275</v>
      </c>
      <c r="E16" s="169">
        <f>'OATT Input Data'!E200</f>
        <v>194062376</v>
      </c>
      <c r="F16" s="168"/>
      <c r="G16" s="168" t="s">
        <v>36</v>
      </c>
      <c r="H16" s="488">
        <f>'NITS Pg 4 of 5'!$J$33</f>
        <v>7.0959999999999995E-2</v>
      </c>
      <c r="I16" s="168"/>
      <c r="J16" s="169">
        <f t="shared" ref="J16:J21" si="0">ROUND(E16*H16,0)</f>
        <v>13770666</v>
      </c>
      <c r="K16" s="168"/>
      <c r="L16" s="93" t="s">
        <v>0</v>
      </c>
      <c r="M16" s="93"/>
      <c r="N16" s="93"/>
      <c r="O16" s="179"/>
      <c r="P16" s="168"/>
      <c r="Q16" s="168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25">
      <c r="A17" s="88">
        <v>4</v>
      </c>
      <c r="C17" s="185" t="s">
        <v>200</v>
      </c>
      <c r="D17" s="242" t="s">
        <v>276</v>
      </c>
      <c r="E17" s="169">
        <f>'OATT Input Data'!E202*-1</f>
        <v>-829380</v>
      </c>
      <c r="F17" s="168"/>
      <c r="G17" s="168" t="str">
        <f>+G16</f>
        <v>W/S</v>
      </c>
      <c r="H17" s="488">
        <f>'NITS Pg 4 of 5'!$J$33</f>
        <v>7.0959999999999995E-2</v>
      </c>
      <c r="I17" s="168"/>
      <c r="J17" s="169">
        <f t="shared" si="0"/>
        <v>-58853</v>
      </c>
      <c r="K17" s="168"/>
      <c r="L17" s="93"/>
      <c r="M17" s="93"/>
      <c r="N17" s="93"/>
      <c r="O17" s="179"/>
      <c r="P17" s="168"/>
      <c r="Q17" s="168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31.5" x14ac:dyDescent="0.25">
      <c r="A18" s="281">
        <v>5</v>
      </c>
      <c r="C18" s="260" t="s">
        <v>279</v>
      </c>
      <c r="D18" s="559" t="s">
        <v>277</v>
      </c>
      <c r="E18" s="169">
        <f>'OATT Input Data'!E208*-1</f>
        <v>-4935920</v>
      </c>
      <c r="F18" s="560"/>
      <c r="G18" s="560" t="str">
        <f>+G17</f>
        <v>W/S</v>
      </c>
      <c r="H18" s="561">
        <f>'NITS Pg 4 of 5'!$J$33</f>
        <v>7.0959999999999995E-2</v>
      </c>
      <c r="I18" s="560"/>
      <c r="J18" s="169">
        <f t="shared" si="0"/>
        <v>-350253</v>
      </c>
      <c r="K18" s="168"/>
      <c r="L18" s="93"/>
      <c r="M18" s="93"/>
      <c r="N18" s="93"/>
      <c r="O18" s="91"/>
      <c r="P18" s="168"/>
      <c r="Q18" s="168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x14ac:dyDescent="0.25">
      <c r="A19" s="88">
        <v>6</v>
      </c>
      <c r="C19" s="254" t="s">
        <v>278</v>
      </c>
      <c r="D19" s="483" t="s">
        <v>277</v>
      </c>
      <c r="E19" s="169">
        <f>'OATT Input Data'!E209</f>
        <v>472813</v>
      </c>
      <c r="F19" s="168"/>
      <c r="G19" s="226" t="str">
        <f>+G14</f>
        <v>TE</v>
      </c>
      <c r="H19" s="488">
        <f>'NITS Pg 4 of 5'!$J$25</f>
        <v>0.86294000000000004</v>
      </c>
      <c r="I19" s="168"/>
      <c r="J19" s="169">
        <f t="shared" si="0"/>
        <v>408009</v>
      </c>
      <c r="K19" s="168"/>
      <c r="L19" s="93"/>
      <c r="M19" s="93"/>
      <c r="O19" s="191"/>
      <c r="P19" s="168"/>
      <c r="Q19" s="168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x14ac:dyDescent="0.25">
      <c r="A20" s="88">
        <v>7</v>
      </c>
      <c r="C20" s="91" t="s">
        <v>43</v>
      </c>
      <c r="D20" s="242" t="s">
        <v>179</v>
      </c>
      <c r="E20" s="410">
        <f>'OATT Input Data'!E210</f>
        <v>0</v>
      </c>
      <c r="F20" s="168"/>
      <c r="G20" s="168" t="s">
        <v>38</v>
      </c>
      <c r="H20" s="488">
        <f>'NITS Pg 4 of 5'!$J$41</f>
        <v>6.5170000000000006E-2</v>
      </c>
      <c r="I20" s="168"/>
      <c r="J20" s="410">
        <f t="shared" si="0"/>
        <v>0</v>
      </c>
      <c r="K20" s="168"/>
      <c r="L20" s="93"/>
      <c r="M20" s="93"/>
      <c r="N20" s="93"/>
      <c r="O20" s="191"/>
      <c r="P20" s="168"/>
      <c r="Q20" s="168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18" x14ac:dyDescent="0.4">
      <c r="A21" s="88">
        <v>8</v>
      </c>
      <c r="C21" s="91" t="s">
        <v>199</v>
      </c>
      <c r="D21" s="168"/>
      <c r="E21" s="482">
        <f>'OATT Input Data'!E211</f>
        <v>0</v>
      </c>
      <c r="F21" s="168"/>
      <c r="G21" s="168" t="s">
        <v>0</v>
      </c>
      <c r="H21" s="488">
        <v>1</v>
      </c>
      <c r="I21" s="168"/>
      <c r="J21" s="482">
        <f t="shared" si="0"/>
        <v>0</v>
      </c>
      <c r="K21" s="168"/>
      <c r="L21" s="93"/>
      <c r="M21" s="93"/>
      <c r="N21" s="93"/>
      <c r="O21" s="191"/>
      <c r="P21" s="168"/>
      <c r="Q21" s="168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x14ac:dyDescent="0.25">
      <c r="A22" s="88">
        <v>9</v>
      </c>
      <c r="C22" s="185" t="s">
        <v>197</v>
      </c>
      <c r="D22" s="478" t="s">
        <v>322</v>
      </c>
      <c r="E22" s="479">
        <f>ROUND(SUM(E14:E21),0)</f>
        <v>246561047</v>
      </c>
      <c r="F22" s="168"/>
      <c r="G22" s="168"/>
      <c r="H22" s="168"/>
      <c r="I22" s="168"/>
      <c r="J22" s="479">
        <f>ROUND(SUM(J14:J21),0)</f>
        <v>63010346</v>
      </c>
      <c r="K22" s="168"/>
      <c r="L22" s="93"/>
      <c r="M22" s="93"/>
      <c r="N22" s="227"/>
      <c r="O22" s="93"/>
      <c r="P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x14ac:dyDescent="0.25">
      <c r="A23" s="88"/>
      <c r="D23" s="168"/>
      <c r="E23" s="169"/>
      <c r="F23" s="168"/>
      <c r="G23" s="168"/>
      <c r="H23" s="168"/>
      <c r="I23" s="168"/>
      <c r="J23" s="169"/>
      <c r="K23" s="168"/>
      <c r="L23" s="93"/>
      <c r="M23" s="93"/>
      <c r="N23" s="93"/>
      <c r="O23" s="93"/>
      <c r="P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x14ac:dyDescent="0.25">
      <c r="A24" s="88"/>
      <c r="C24" s="185" t="s">
        <v>416</v>
      </c>
      <c r="D24" s="483" t="s">
        <v>252</v>
      </c>
      <c r="E24" s="169"/>
      <c r="F24" s="168"/>
      <c r="G24" s="168"/>
      <c r="H24" s="168"/>
      <c r="I24" s="168"/>
      <c r="J24" s="169"/>
      <c r="K24" s="168"/>
      <c r="L24" s="93"/>
      <c r="M24" s="93"/>
      <c r="N24" s="93"/>
      <c r="O24" s="93"/>
      <c r="P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x14ac:dyDescent="0.25">
      <c r="A25" s="88">
        <v>10</v>
      </c>
      <c r="C25" s="278" t="s">
        <v>414</v>
      </c>
      <c r="D25" s="478" t="s">
        <v>194</v>
      </c>
      <c r="E25" s="479">
        <f>'OATT Input Data'!$E$216-'OATT Input Data'!$E$222</f>
        <v>27007270.18</v>
      </c>
      <c r="F25" s="168"/>
      <c r="G25" s="168" t="s">
        <v>9</v>
      </c>
      <c r="H25" s="488">
        <f>'NITS Pg 4 of 5'!$J$24</f>
        <v>0.96060000000000001</v>
      </c>
      <c r="I25" s="168"/>
      <c r="J25" s="479">
        <f t="shared" ref="J25" si="1">ROUND(H25*E25,0)</f>
        <v>25943184</v>
      </c>
      <c r="K25" s="168"/>
      <c r="L25" s="192"/>
      <c r="M25" s="93"/>
      <c r="N25" s="93"/>
      <c r="O25" s="191"/>
      <c r="P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x14ac:dyDescent="0.25">
      <c r="A26" s="88">
        <v>11</v>
      </c>
      <c r="C26" s="278" t="s">
        <v>399</v>
      </c>
      <c r="D26" s="478" t="s">
        <v>195</v>
      </c>
      <c r="E26" s="169">
        <f>'OATT Input Data'!$E$219</f>
        <v>29029501.279999997</v>
      </c>
      <c r="F26" s="168"/>
      <c r="G26" s="168" t="s">
        <v>36</v>
      </c>
      <c r="H26" s="488">
        <f>'NITS Pg 4 of 5'!$J$33</f>
        <v>7.0959999999999995E-2</v>
      </c>
      <c r="I26" s="168"/>
      <c r="J26" s="169">
        <f>ROUND(H26*E26,0)</f>
        <v>2059933</v>
      </c>
      <c r="K26" s="168"/>
      <c r="L26" s="192"/>
      <c r="M26" s="93"/>
      <c r="N26" s="186"/>
      <c r="O26" s="191"/>
      <c r="P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25">
      <c r="A27" s="88">
        <v>12</v>
      </c>
      <c r="C27" s="278" t="s">
        <v>415</v>
      </c>
      <c r="D27" s="478" t="s">
        <v>196</v>
      </c>
      <c r="E27" s="499">
        <f>'OATT Input Data'!$E$220</f>
        <v>20213028.579999998</v>
      </c>
      <c r="F27" s="168"/>
      <c r="G27" s="168" t="s">
        <v>38</v>
      </c>
      <c r="H27" s="488">
        <f>'NITS Pg 4 of 5'!$J$41</f>
        <v>6.5170000000000006E-2</v>
      </c>
      <c r="I27" s="168"/>
      <c r="J27" s="499">
        <f t="shared" ref="J27" si="2">ROUND(H27*E27,0)</f>
        <v>1317283</v>
      </c>
      <c r="K27" s="168"/>
      <c r="L27" s="192"/>
      <c r="M27" s="93"/>
      <c r="N27" s="186"/>
      <c r="O27" s="191"/>
      <c r="P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25">
      <c r="A28" s="88">
        <v>13</v>
      </c>
      <c r="C28" s="185" t="s">
        <v>201</v>
      </c>
      <c r="D28" s="478" t="s">
        <v>336</v>
      </c>
      <c r="E28" s="479">
        <f>ROUND(SUM(E25:E27),0)</f>
        <v>76249800</v>
      </c>
      <c r="F28" s="168"/>
      <c r="G28" s="168"/>
      <c r="H28" s="168"/>
      <c r="I28" s="168"/>
      <c r="J28" s="479">
        <f>ROUND(SUM(J25:J27),0)</f>
        <v>29320400</v>
      </c>
      <c r="K28" s="168"/>
      <c r="L28" s="93"/>
      <c r="M28" s="93"/>
      <c r="N28" s="93"/>
      <c r="O28" s="93"/>
      <c r="P28" s="91"/>
      <c r="U28" s="229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25">
      <c r="A29" s="88"/>
      <c r="C29" s="91"/>
      <c r="D29" s="168"/>
      <c r="E29" s="169"/>
      <c r="F29" s="168"/>
      <c r="G29" s="168"/>
      <c r="H29" s="168"/>
      <c r="I29" s="168"/>
      <c r="J29" s="169"/>
      <c r="K29" s="168"/>
      <c r="L29" s="93"/>
      <c r="M29" s="93"/>
      <c r="N29" s="93"/>
      <c r="O29" s="93"/>
      <c r="P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x14ac:dyDescent="0.25">
      <c r="A30" s="88" t="s">
        <v>0</v>
      </c>
      <c r="C30" s="185" t="s">
        <v>280</v>
      </c>
      <c r="D30" s="124" t="s">
        <v>303</v>
      </c>
      <c r="E30" s="169"/>
      <c r="F30" s="168"/>
      <c r="G30" s="168"/>
      <c r="H30" s="168"/>
      <c r="I30" s="168"/>
      <c r="J30" s="169"/>
      <c r="K30" s="168"/>
      <c r="L30" s="93"/>
      <c r="M30" s="93"/>
      <c r="N30" s="93"/>
      <c r="O30" s="93"/>
      <c r="P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x14ac:dyDescent="0.25">
      <c r="A31" s="88"/>
      <c r="C31" s="91" t="s">
        <v>57</v>
      </c>
      <c r="D31" s="124"/>
      <c r="E31" s="169"/>
      <c r="F31" s="168"/>
      <c r="G31" s="168"/>
      <c r="H31" s="92"/>
      <c r="I31" s="168"/>
      <c r="J31" s="169"/>
      <c r="K31" s="168"/>
      <c r="L31" s="192"/>
      <c r="M31" s="93"/>
      <c r="N31" s="183"/>
      <c r="O31" s="191"/>
      <c r="P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x14ac:dyDescent="0.25">
      <c r="A32" s="88">
        <v>14</v>
      </c>
      <c r="C32" s="279" t="s">
        <v>59</v>
      </c>
      <c r="D32" s="483" t="s">
        <v>58</v>
      </c>
      <c r="E32" s="479">
        <f>'OATT Input Data'!$E$235</f>
        <v>16568625.17</v>
      </c>
      <c r="F32" s="168"/>
      <c r="G32" s="168" t="s">
        <v>36</v>
      </c>
      <c r="H32" s="488">
        <f>'NITS Pg 4 of 5'!$J$33</f>
        <v>7.0959999999999995E-2</v>
      </c>
      <c r="I32" s="168"/>
      <c r="J32" s="479">
        <f>ROUND(H32*E32,0)</f>
        <v>1175710</v>
      </c>
      <c r="K32" s="168"/>
      <c r="L32" s="192"/>
      <c r="M32" s="93"/>
      <c r="N32" s="183"/>
      <c r="P32" s="191"/>
      <c r="Q32" s="191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25">
      <c r="A33" s="88">
        <v>15</v>
      </c>
      <c r="C33" s="279" t="s">
        <v>390</v>
      </c>
      <c r="D33" s="483" t="s">
        <v>58</v>
      </c>
      <c r="E33" s="410">
        <f>'OATT Input Data'!$E$236</f>
        <v>93638.65</v>
      </c>
      <c r="F33" s="168"/>
      <c r="G33" s="168" t="str">
        <f>+G32</f>
        <v>W/S</v>
      </c>
      <c r="H33" s="488">
        <f>'NITS Pg 4 of 5'!$J$33</f>
        <v>7.0959999999999995E-2</v>
      </c>
      <c r="I33" s="168"/>
      <c r="J33" s="410">
        <f>ROUND(H33*E33,0)</f>
        <v>6645</v>
      </c>
      <c r="K33" s="168"/>
      <c r="L33" s="192"/>
      <c r="M33" s="93"/>
      <c r="N33" s="183"/>
      <c r="P33" s="168"/>
      <c r="Q33" s="168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25">
      <c r="A34" s="88">
        <v>16</v>
      </c>
      <c r="C34" s="91" t="s">
        <v>60</v>
      </c>
      <c r="D34" s="483" t="s">
        <v>0</v>
      </c>
      <c r="E34" s="169"/>
      <c r="F34" s="168"/>
      <c r="G34" s="168"/>
      <c r="H34" s="92"/>
      <c r="I34" s="168"/>
      <c r="J34" s="169"/>
      <c r="K34" s="168"/>
      <c r="L34" s="192"/>
      <c r="M34" s="93"/>
      <c r="N34" s="183"/>
      <c r="P34" s="168"/>
      <c r="Q34" s="168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25">
      <c r="A35" s="88">
        <v>17</v>
      </c>
      <c r="C35" s="279" t="s">
        <v>61</v>
      </c>
      <c r="D35" s="483" t="s">
        <v>58</v>
      </c>
      <c r="E35" s="169">
        <f>'OATT Input Data'!$E$238</f>
        <v>55603271</v>
      </c>
      <c r="F35" s="168"/>
      <c r="G35" s="168" t="s">
        <v>54</v>
      </c>
      <c r="H35" s="508">
        <f>'NITS Pg 2 of 5'!$H$19</f>
        <v>9.6829999999999999E-2</v>
      </c>
      <c r="I35" s="168"/>
      <c r="J35" s="169">
        <f>ROUND(H35*E35,0)</f>
        <v>5384065</v>
      </c>
      <c r="K35" s="168"/>
      <c r="L35" s="192"/>
      <c r="M35" s="93"/>
      <c r="N35" s="183"/>
      <c r="P35" s="168"/>
      <c r="Q35" s="168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25">
      <c r="A36" s="88">
        <v>18</v>
      </c>
      <c r="C36" s="279" t="s">
        <v>41</v>
      </c>
      <c r="D36" s="483" t="s">
        <v>58</v>
      </c>
      <c r="E36" s="169">
        <f>'OATT Input Data'!$E$244</f>
        <v>5522808.1200000001</v>
      </c>
      <c r="F36" s="168"/>
      <c r="G36" s="168" t="str">
        <f>+G35</f>
        <v>GP</v>
      </c>
      <c r="H36" s="508">
        <f>'NITS Pg 2 of 5'!$H$19</f>
        <v>9.6829999999999999E-2</v>
      </c>
      <c r="I36" s="168"/>
      <c r="J36" s="169">
        <f>ROUND(H36*E36,0)</f>
        <v>534774</v>
      </c>
      <c r="K36" s="168"/>
      <c r="L36" s="192"/>
      <c r="M36" s="93"/>
      <c r="P36" s="180"/>
      <c r="Q36" s="180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25">
      <c r="A37" s="88">
        <v>19</v>
      </c>
      <c r="C37" s="279" t="s">
        <v>391</v>
      </c>
      <c r="D37" s="168"/>
      <c r="E37" s="562">
        <v>0</v>
      </c>
      <c r="F37" s="168"/>
      <c r="G37" s="168" t="s">
        <v>54</v>
      </c>
      <c r="H37" s="508">
        <f>'NITS Pg 2 of 5'!$H$19</f>
        <v>9.6829999999999999E-2</v>
      </c>
      <c r="I37" s="168"/>
      <c r="J37" s="562">
        <f>ROUND(H37*E37,0)</f>
        <v>0</v>
      </c>
      <c r="K37" s="168"/>
      <c r="L37" s="192"/>
      <c r="M37" s="93"/>
      <c r="N37" s="183"/>
      <c r="O37" s="183"/>
      <c r="P37" s="168"/>
      <c r="Q37" s="16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25">
      <c r="A38" s="88">
        <v>20</v>
      </c>
      <c r="C38" s="185" t="s">
        <v>202</v>
      </c>
      <c r="D38" s="478" t="s">
        <v>410</v>
      </c>
      <c r="E38" s="479">
        <f>ROUND(SUM(E32:E37),0)</f>
        <v>77788343</v>
      </c>
      <c r="F38" s="168"/>
      <c r="G38" s="168"/>
      <c r="H38" s="508"/>
      <c r="I38" s="168"/>
      <c r="J38" s="479">
        <f>ROUND(SUM(J32:J37),0)</f>
        <v>7101194</v>
      </c>
      <c r="K38" s="168"/>
      <c r="L38" s="93"/>
      <c r="M38" s="93"/>
      <c r="N38" s="173"/>
      <c r="O38" s="201"/>
      <c r="P38" s="168"/>
      <c r="Q38" s="168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x14ac:dyDescent="0.25">
      <c r="A39" s="88"/>
      <c r="C39" s="91"/>
      <c r="D39" s="168"/>
      <c r="E39" s="169"/>
      <c r="F39" s="168"/>
      <c r="G39" s="168"/>
      <c r="H39" s="508"/>
      <c r="I39" s="168"/>
      <c r="J39" s="169"/>
      <c r="K39" s="168"/>
      <c r="L39" s="93"/>
      <c r="M39" s="93"/>
      <c r="N39" s="91"/>
      <c r="P39" s="191"/>
      <c r="Q39" s="1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25">
      <c r="A40" s="88" t="s">
        <v>62</v>
      </c>
      <c r="C40" s="91"/>
      <c r="D40" s="168"/>
      <c r="E40" s="169"/>
      <c r="F40" s="168"/>
      <c r="G40" s="168"/>
      <c r="H40" s="508"/>
      <c r="I40" s="168"/>
      <c r="J40" s="169"/>
      <c r="K40" s="168"/>
      <c r="L40" s="93"/>
      <c r="M40" s="93"/>
      <c r="N40" s="93"/>
      <c r="P40" s="191"/>
      <c r="Q40" s="1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25">
      <c r="A41" s="88" t="s">
        <v>0</v>
      </c>
      <c r="C41" s="185" t="s">
        <v>307</v>
      </c>
      <c r="D41" s="483" t="s">
        <v>305</v>
      </c>
      <c r="E41" s="169"/>
      <c r="F41" s="168"/>
      <c r="G41" s="92"/>
      <c r="H41" s="502"/>
      <c r="I41" s="168"/>
      <c r="J41" s="169"/>
      <c r="K41" s="93"/>
      <c r="M41" s="93"/>
      <c r="N41" s="189"/>
      <c r="P41" s="191"/>
      <c r="Q41" s="1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25">
      <c r="A42" s="88">
        <v>21</v>
      </c>
      <c r="C42" s="267" t="s">
        <v>400</v>
      </c>
      <c r="D42" s="168"/>
      <c r="E42" s="563">
        <f>IF('OATT Input Data'!$B$249&gt;0,1-(((1-'OATT Input Data'!$B$250)*(1-'OATT Input Data'!$B$249))/(1-'OATT Input Data'!$B$250*'OATT Input Data'!$B$249*'OATT Input Data'!$B$251)),0)</f>
        <v>0.24950000000000006</v>
      </c>
      <c r="F42" s="168"/>
      <c r="G42" s="92"/>
      <c r="H42" s="502"/>
      <c r="I42" s="168"/>
      <c r="J42" s="169"/>
      <c r="K42" s="93"/>
      <c r="M42" s="93"/>
      <c r="N42" s="93"/>
      <c r="P42" s="191"/>
      <c r="Q42" s="1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25">
      <c r="A43" s="88">
        <v>22</v>
      </c>
      <c r="C43" s="268" t="s">
        <v>401</v>
      </c>
      <c r="D43" s="168"/>
      <c r="E43" s="563">
        <f>IF('NITS Pg 4 of 5'!$J$56&gt;0,ROUND((E42/(1-E42))*(1-'NITS Pg 4 of 5'!$J$53/'NITS Pg 4 of 5'!$J$56),4),0)</f>
        <v>0.25580000000000003</v>
      </c>
      <c r="F43" s="168"/>
      <c r="G43" s="92"/>
      <c r="H43" s="502"/>
      <c r="I43" s="168"/>
      <c r="J43" s="169"/>
      <c r="K43" s="93"/>
      <c r="M43" s="93"/>
      <c r="N43" s="93"/>
      <c r="O43" s="213"/>
      <c r="P43" s="191"/>
      <c r="Q43" s="1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25">
      <c r="A44" s="88"/>
      <c r="C44" s="266" t="s">
        <v>337</v>
      </c>
      <c r="D44" s="478" t="s">
        <v>333</v>
      </c>
      <c r="E44" s="564">
        <f>'NITS Pg 4 of 5'!J53</f>
        <v>1.7999999999999999E-2</v>
      </c>
      <c r="F44" s="168"/>
      <c r="G44" s="92"/>
      <c r="H44" s="502"/>
      <c r="I44" s="168"/>
      <c r="J44" s="169"/>
      <c r="K44" s="93"/>
      <c r="M44" s="93"/>
      <c r="O44" s="92"/>
      <c r="P44" s="168"/>
      <c r="Q44" s="92"/>
      <c r="R44" s="92"/>
      <c r="S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25">
      <c r="A45" s="88"/>
      <c r="C45" s="266" t="s">
        <v>338</v>
      </c>
      <c r="D45" s="478" t="s">
        <v>334</v>
      </c>
      <c r="E45" s="564">
        <f>'NITS Pg 4 of 5'!J56</f>
        <v>7.8100000010000004E-2</v>
      </c>
      <c r="F45" s="168"/>
      <c r="G45" s="92"/>
      <c r="H45" s="502"/>
      <c r="I45" s="168"/>
      <c r="J45" s="169"/>
      <c r="K45" s="93"/>
      <c r="M45" s="93"/>
      <c r="N45" s="93"/>
      <c r="O45" s="173"/>
      <c r="P45" s="168"/>
      <c r="Q45" s="92"/>
      <c r="R45" s="92"/>
      <c r="S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25">
      <c r="A46" s="88"/>
      <c r="C46" s="266" t="s">
        <v>306</v>
      </c>
      <c r="D46" s="483" t="s">
        <v>305</v>
      </c>
      <c r="E46" s="169"/>
      <c r="F46" s="168"/>
      <c r="G46" s="92"/>
      <c r="H46" s="502"/>
      <c r="I46" s="168"/>
      <c r="J46" s="169"/>
      <c r="K46" s="93"/>
      <c r="M46" s="93"/>
      <c r="N46" s="93"/>
      <c r="O46" s="173"/>
      <c r="P46" s="168"/>
      <c r="Q46" s="92"/>
      <c r="R46" s="92"/>
      <c r="S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25">
      <c r="A47" s="88">
        <v>23</v>
      </c>
      <c r="C47" s="230" t="s">
        <v>308</v>
      </c>
      <c r="D47" s="478" t="s">
        <v>862</v>
      </c>
      <c r="E47" s="565">
        <f>IF(E42&gt;0,ROUND(1/(1-E42),8),0)</f>
        <v>1.3324450400000001</v>
      </c>
      <c r="F47" s="168"/>
      <c r="G47" s="92"/>
      <c r="H47" s="502"/>
      <c r="I47" s="168"/>
      <c r="J47" s="169"/>
      <c r="K47" s="93"/>
      <c r="M47" s="93"/>
      <c r="N47" s="93"/>
      <c r="O47" s="173"/>
      <c r="P47" s="231"/>
      <c r="Q47" s="231"/>
      <c r="R47" s="92"/>
      <c r="S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25">
      <c r="A48" s="88">
        <v>24</v>
      </c>
      <c r="C48" s="185" t="s">
        <v>309</v>
      </c>
      <c r="D48" s="478" t="s">
        <v>392</v>
      </c>
      <c r="E48" s="410">
        <v>0</v>
      </c>
      <c r="F48" s="168"/>
      <c r="G48" s="92"/>
      <c r="H48" s="502"/>
      <c r="I48" s="168"/>
      <c r="J48" s="169"/>
      <c r="K48" s="93"/>
      <c r="M48" s="93"/>
      <c r="N48" s="93"/>
      <c r="O48" s="173"/>
      <c r="P48" s="168"/>
      <c r="Q48" s="168"/>
      <c r="R48" s="92"/>
      <c r="S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50" x14ac:dyDescent="0.25">
      <c r="A49" s="88"/>
      <c r="C49" s="91"/>
      <c r="D49" s="168"/>
      <c r="E49" s="169"/>
      <c r="F49" s="168"/>
      <c r="G49" s="92"/>
      <c r="H49" s="502"/>
      <c r="I49" s="168"/>
      <c r="J49" s="169"/>
      <c r="K49" s="93"/>
      <c r="M49" s="93"/>
      <c r="N49" s="93"/>
      <c r="O49" s="173"/>
      <c r="P49" s="173"/>
      <c r="Q49" s="92"/>
      <c r="R49" s="92"/>
      <c r="S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50" x14ac:dyDescent="0.25">
      <c r="A50" s="88">
        <v>25</v>
      </c>
      <c r="C50" s="230" t="s">
        <v>311</v>
      </c>
      <c r="D50" s="566" t="s">
        <v>411</v>
      </c>
      <c r="E50" s="479">
        <f>ROUND(E43*E54,0)</f>
        <v>151787052</v>
      </c>
      <c r="F50" s="168"/>
      <c r="G50" s="168"/>
      <c r="H50" s="508"/>
      <c r="I50" s="168"/>
      <c r="J50" s="479">
        <f>ROUND(E43*J54,0)</f>
        <v>15073622</v>
      </c>
      <c r="K50" s="93"/>
      <c r="L50" s="232" t="s">
        <v>0</v>
      </c>
      <c r="M50" s="93"/>
      <c r="N50" s="93"/>
      <c r="O50" s="173"/>
      <c r="P50" s="173"/>
      <c r="Q50" s="92"/>
      <c r="R50" s="92"/>
      <c r="S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50" ht="18" x14ac:dyDescent="0.4">
      <c r="A51" s="88">
        <v>26</v>
      </c>
      <c r="C51" s="204" t="s">
        <v>312</v>
      </c>
      <c r="D51" s="566" t="s">
        <v>412</v>
      </c>
      <c r="E51" s="482">
        <f>ROUND(E47*E48,0)</f>
        <v>0</v>
      </c>
      <c r="F51" s="168"/>
      <c r="G51" s="92" t="s">
        <v>46</v>
      </c>
      <c r="H51" s="508">
        <f>'NITS Pg 2 of 5'!$H$35</f>
        <v>9.9760000000000001E-2</v>
      </c>
      <c r="I51" s="168"/>
      <c r="J51" s="482">
        <f>ROUND(H51*E51,0)</f>
        <v>0</v>
      </c>
      <c r="K51" s="93"/>
      <c r="L51" s="232"/>
      <c r="M51" s="93"/>
      <c r="N51" s="93"/>
      <c r="O51" s="173"/>
      <c r="P51" s="173"/>
      <c r="Q51" s="92"/>
      <c r="R51" s="92"/>
      <c r="S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50" x14ac:dyDescent="0.25">
      <c r="A52" s="88">
        <v>27</v>
      </c>
      <c r="C52" s="233" t="s">
        <v>63</v>
      </c>
      <c r="D52" s="481" t="s">
        <v>413</v>
      </c>
      <c r="E52" s="567">
        <f>E50+E51</f>
        <v>151787052</v>
      </c>
      <c r="F52" s="168"/>
      <c r="G52" s="168" t="s">
        <v>0</v>
      </c>
      <c r="H52" s="508" t="s">
        <v>0</v>
      </c>
      <c r="I52" s="168"/>
      <c r="J52" s="567">
        <f>J50+J51</f>
        <v>15073622</v>
      </c>
      <c r="K52" s="93"/>
      <c r="L52" s="93"/>
      <c r="M52" s="93"/>
      <c r="N52" s="93"/>
      <c r="O52" s="93"/>
      <c r="P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50" x14ac:dyDescent="0.25">
      <c r="A53" s="88" t="s">
        <v>0</v>
      </c>
      <c r="D53" s="568"/>
      <c r="E53" s="169"/>
      <c r="F53" s="168"/>
      <c r="G53" s="168"/>
      <c r="H53" s="508"/>
      <c r="I53" s="168"/>
      <c r="J53" s="169"/>
      <c r="K53" s="93"/>
      <c r="L53" s="93"/>
      <c r="M53" s="93"/>
      <c r="N53" s="93"/>
      <c r="O53" s="93"/>
      <c r="P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50" ht="18" x14ac:dyDescent="0.4">
      <c r="A54" s="88">
        <v>28</v>
      </c>
      <c r="C54" s="185" t="s">
        <v>310</v>
      </c>
      <c r="D54" s="481" t="s">
        <v>339</v>
      </c>
      <c r="E54" s="569">
        <f>ROUND('NITS Pg 4 of 5'!$J$56*'NITS Pg 2 of 5'!$E$57,0)</f>
        <v>593381751</v>
      </c>
      <c r="F54" s="168"/>
      <c r="G54" s="168"/>
      <c r="H54" s="502"/>
      <c r="I54" s="168"/>
      <c r="J54" s="569">
        <f>ROUND('NITS Pg 4 of 5'!$J$56*'NITS Pg 2 of 5'!$J$57,0)</f>
        <v>58927373</v>
      </c>
      <c r="K54" s="93"/>
      <c r="M54" s="93"/>
      <c r="N54" s="93"/>
      <c r="O54" s="191"/>
      <c r="P54" s="93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50" x14ac:dyDescent="0.25">
      <c r="A55" s="88"/>
      <c r="C55" s="91"/>
      <c r="D55" s="92"/>
      <c r="E55" s="169"/>
      <c r="F55" s="168"/>
      <c r="G55" s="168"/>
      <c r="H55" s="502"/>
      <c r="I55" s="168"/>
      <c r="J55" s="169"/>
      <c r="K55" s="93"/>
      <c r="L55" s="192"/>
      <c r="M55" s="93"/>
      <c r="N55" s="93"/>
      <c r="O55" s="191"/>
      <c r="P55" s="93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50" ht="18" x14ac:dyDescent="0.4">
      <c r="A56" s="88">
        <v>29</v>
      </c>
      <c r="C56" s="185" t="s">
        <v>203</v>
      </c>
      <c r="D56" s="478" t="s">
        <v>408</v>
      </c>
      <c r="E56" s="570">
        <f>ROUND(E54+E52+E38+E28+E22,0)</f>
        <v>1145767993</v>
      </c>
      <c r="F56" s="168"/>
      <c r="G56" s="168"/>
      <c r="H56" s="168"/>
      <c r="I56" s="168"/>
      <c r="J56" s="570">
        <f>ROUND(J54+J52+J38+J28+J22,0)</f>
        <v>173432935</v>
      </c>
      <c r="K56" s="90"/>
      <c r="L56" s="90"/>
      <c r="M56" s="90"/>
      <c r="N56" s="90"/>
      <c r="O56" s="90"/>
      <c r="P56" s="91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50" x14ac:dyDescent="0.25">
      <c r="Q57" s="122"/>
      <c r="R57" s="122"/>
      <c r="S57" s="12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</row>
    <row r="58" spans="1:50" x14ac:dyDescent="0.25">
      <c r="Q58" s="122"/>
      <c r="R58" s="122"/>
      <c r="S58" s="12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</row>
    <row r="59" spans="1:50" x14ac:dyDescent="0.25">
      <c r="Q59" s="122"/>
      <c r="R59" s="122"/>
      <c r="S59" s="12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</row>
    <row r="60" spans="1:50" x14ac:dyDescent="0.25">
      <c r="Q60" s="122"/>
      <c r="R60" s="122"/>
      <c r="S60" s="12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x14ac:dyDescent="0.25">
      <c r="P61" s="84" t="s">
        <v>0</v>
      </c>
      <c r="Q61" s="122"/>
      <c r="R61" s="122"/>
      <c r="S61" s="12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</row>
    <row r="62" spans="1:50" x14ac:dyDescent="0.25">
      <c r="Q62" s="122"/>
      <c r="R62" s="122"/>
      <c r="S62" s="12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</row>
    <row r="63" spans="1:50" x14ac:dyDescent="0.25">
      <c r="Q63" s="122"/>
      <c r="R63" s="122"/>
      <c r="S63" s="12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</row>
    <row r="64" spans="1:50" x14ac:dyDescent="0.25">
      <c r="Q64" s="122"/>
      <c r="R64" s="122"/>
      <c r="S64" s="12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</row>
    <row r="65" spans="17:50" x14ac:dyDescent="0.25">
      <c r="Q65" s="122"/>
      <c r="R65" s="122"/>
      <c r="S65" s="12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</row>
    <row r="66" spans="17:50" x14ac:dyDescent="0.25">
      <c r="Q66" s="122"/>
      <c r="R66" s="122"/>
      <c r="S66" s="12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</row>
    <row r="67" spans="17:50" x14ac:dyDescent="0.25">
      <c r="Q67" s="122"/>
      <c r="R67" s="122"/>
      <c r="S67" s="12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</row>
    <row r="68" spans="17:50" x14ac:dyDescent="0.25">
      <c r="Q68" s="122"/>
      <c r="R68" s="122"/>
      <c r="S68" s="12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</row>
    <row r="69" spans="17:50" x14ac:dyDescent="0.25">
      <c r="Q69" s="122"/>
      <c r="R69" s="122"/>
      <c r="S69" s="12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7:50" x14ac:dyDescent="0.25">
      <c r="Q70" s="122"/>
      <c r="R70" s="122"/>
      <c r="S70" s="12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</row>
    <row r="71" spans="17:50" x14ac:dyDescent="0.25">
      <c r="Q71" s="122"/>
      <c r="R71" s="122"/>
      <c r="S71" s="12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</row>
    <row r="72" spans="17:50" x14ac:dyDescent="0.25">
      <c r="Q72" s="122"/>
      <c r="R72" s="122"/>
      <c r="S72" s="12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</row>
    <row r="73" spans="17:50" x14ac:dyDescent="0.25">
      <c r="Q73" s="122"/>
      <c r="R73" s="122"/>
      <c r="S73" s="12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7:50" x14ac:dyDescent="0.25">
      <c r="Q74" s="122"/>
      <c r="R74" s="122"/>
      <c r="S74" s="12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</row>
    <row r="75" spans="17:50" x14ac:dyDescent="0.25">
      <c r="Q75" s="122"/>
      <c r="R75" s="122"/>
      <c r="S75" s="12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</row>
    <row r="76" spans="17:50" x14ac:dyDescent="0.25">
      <c r="Q76" s="122"/>
      <c r="R76" s="122"/>
      <c r="S76" s="12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</row>
    <row r="77" spans="17:50" x14ac:dyDescent="0.25">
      <c r="Q77" s="122"/>
      <c r="R77" s="122"/>
      <c r="S77" s="12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7:50" x14ac:dyDescent="0.25">
      <c r="Q78" s="122"/>
      <c r="R78" s="122"/>
      <c r="S78" s="12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</row>
    <row r="79" spans="17:50" x14ac:dyDescent="0.25">
      <c r="Q79" s="122"/>
      <c r="R79" s="122"/>
      <c r="S79" s="12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</row>
    <row r="80" spans="17:50" x14ac:dyDescent="0.25">
      <c r="Q80" s="122"/>
      <c r="R80" s="122"/>
      <c r="S80" s="12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</row>
    <row r="81" spans="17:50" x14ac:dyDescent="0.25">
      <c r="Q81" s="122"/>
      <c r="R81" s="122"/>
      <c r="S81" s="12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</row>
    <row r="82" spans="17:50" x14ac:dyDescent="0.25">
      <c r="Q82" s="122"/>
      <c r="R82" s="122"/>
      <c r="S82" s="12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</row>
    <row r="83" spans="17:50" x14ac:dyDescent="0.25">
      <c r="Q83" s="122"/>
      <c r="R83" s="122"/>
      <c r="S83" s="12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</row>
    <row r="84" spans="17:50" x14ac:dyDescent="0.25">
      <c r="Q84" s="122"/>
      <c r="R84" s="122"/>
      <c r="S84" s="12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</row>
    <row r="85" spans="17:50" x14ac:dyDescent="0.25">
      <c r="Q85" s="122"/>
      <c r="R85" s="122"/>
      <c r="S85" s="12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</row>
    <row r="86" spans="17:50" x14ac:dyDescent="0.25">
      <c r="Q86" s="122"/>
      <c r="R86" s="122"/>
      <c r="S86" s="12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</row>
    <row r="87" spans="17:50" x14ac:dyDescent="0.25">
      <c r="Q87" s="122"/>
      <c r="R87" s="122"/>
      <c r="S87" s="12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7:50" x14ac:dyDescent="0.25">
      <c r="Q88" s="122"/>
      <c r="R88" s="122"/>
      <c r="S88" s="12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</row>
    <row r="89" spans="17:50" x14ac:dyDescent="0.25">
      <c r="Q89" s="122"/>
      <c r="R89" s="122"/>
      <c r="S89" s="12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</row>
    <row r="90" spans="17:50" x14ac:dyDescent="0.25">
      <c r="Q90" s="122"/>
      <c r="R90" s="122"/>
      <c r="S90" s="12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</row>
    <row r="91" spans="17:50" x14ac:dyDescent="0.25">
      <c r="Q91" s="122"/>
      <c r="R91" s="122"/>
      <c r="S91" s="12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</row>
    <row r="92" spans="17:50" x14ac:dyDescent="0.25">
      <c r="Q92" s="122"/>
      <c r="R92" s="122"/>
      <c r="S92" s="12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</row>
    <row r="93" spans="17:50" x14ac:dyDescent="0.25">
      <c r="Q93" s="122"/>
      <c r="R93" s="122"/>
      <c r="S93" s="12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</row>
    <row r="94" spans="17:50" x14ac:dyDescent="0.25">
      <c r="Q94" s="122"/>
      <c r="R94" s="122"/>
      <c r="S94" s="12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</row>
    <row r="95" spans="17:50" x14ac:dyDescent="0.25">
      <c r="Q95" s="122"/>
      <c r="R95" s="122"/>
      <c r="S95" s="12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</row>
    <row r="96" spans="17:50" x14ac:dyDescent="0.25">
      <c r="Q96" s="122"/>
      <c r="R96" s="122"/>
      <c r="S96" s="12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</row>
    <row r="97" spans="17:50" x14ac:dyDescent="0.25">
      <c r="Q97" s="122"/>
      <c r="R97" s="122"/>
      <c r="S97" s="12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</row>
    <row r="98" spans="17:50" x14ac:dyDescent="0.25">
      <c r="Q98" s="122"/>
      <c r="R98" s="122"/>
      <c r="S98" s="12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</row>
    <row r="99" spans="17:50" x14ac:dyDescent="0.25">
      <c r="Q99" s="122"/>
      <c r="R99" s="122"/>
      <c r="S99" s="12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</row>
    <row r="100" spans="17:50" x14ac:dyDescent="0.25">
      <c r="Q100" s="122"/>
      <c r="R100" s="122"/>
      <c r="S100" s="12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</row>
    <row r="101" spans="17:50" x14ac:dyDescent="0.25">
      <c r="Q101" s="122"/>
      <c r="R101" s="122"/>
      <c r="S101" s="12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</row>
    <row r="102" spans="17:50" x14ac:dyDescent="0.25">
      <c r="Q102" s="122"/>
      <c r="R102" s="122"/>
      <c r="S102" s="12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</row>
    <row r="103" spans="17:50" x14ac:dyDescent="0.25">
      <c r="Q103" s="122"/>
      <c r="R103" s="122"/>
      <c r="S103" s="12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</row>
    <row r="104" spans="17:50" x14ac:dyDescent="0.25">
      <c r="Q104" s="122"/>
      <c r="R104" s="122"/>
      <c r="S104" s="12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</row>
    <row r="105" spans="17:50" x14ac:dyDescent="0.25">
      <c r="Q105" s="122"/>
      <c r="R105" s="122"/>
      <c r="S105" s="12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</row>
    <row r="106" spans="17:50" x14ac:dyDescent="0.25">
      <c r="Q106" s="122"/>
      <c r="R106" s="122"/>
      <c r="S106" s="12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</row>
    <row r="107" spans="17:50" x14ac:dyDescent="0.25">
      <c r="Q107" s="122"/>
      <c r="R107" s="122"/>
      <c r="S107" s="12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</row>
    <row r="108" spans="17:50" x14ac:dyDescent="0.25">
      <c r="Q108" s="122"/>
      <c r="R108" s="122"/>
      <c r="S108" s="12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</row>
    <row r="109" spans="17:50" x14ac:dyDescent="0.25">
      <c r="Q109" s="122"/>
      <c r="R109" s="122"/>
      <c r="S109" s="12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</row>
    <row r="110" spans="17:50" x14ac:dyDescent="0.25">
      <c r="Q110" s="122"/>
      <c r="R110" s="122"/>
      <c r="S110" s="12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</row>
    <row r="111" spans="17:50" x14ac:dyDescent="0.25">
      <c r="Q111" s="122"/>
      <c r="R111" s="122"/>
      <c r="S111" s="12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</row>
    <row r="112" spans="17:50" x14ac:dyDescent="0.25">
      <c r="Q112" s="122"/>
      <c r="R112" s="122"/>
      <c r="S112" s="12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</row>
    <row r="113" spans="17:50" x14ac:dyDescent="0.25">
      <c r="Q113" s="122"/>
      <c r="R113" s="122"/>
      <c r="S113" s="12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</row>
    <row r="114" spans="17:50" x14ac:dyDescent="0.25">
      <c r="Q114" s="122"/>
      <c r="R114" s="122"/>
      <c r="S114" s="12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</row>
    <row r="115" spans="17:50" x14ac:dyDescent="0.25">
      <c r="Q115" s="122"/>
      <c r="R115" s="122"/>
      <c r="S115" s="12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</row>
    <row r="116" spans="17:50" x14ac:dyDescent="0.25">
      <c r="Q116" s="122"/>
      <c r="R116" s="122"/>
      <c r="S116" s="12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</row>
    <row r="117" spans="17:50" x14ac:dyDescent="0.25">
      <c r="Q117" s="122"/>
      <c r="R117" s="122"/>
      <c r="S117" s="12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</row>
    <row r="118" spans="17:50" x14ac:dyDescent="0.25">
      <c r="Q118" s="122"/>
      <c r="R118" s="122"/>
      <c r="S118" s="12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</row>
    <row r="119" spans="17:50" x14ac:dyDescent="0.25">
      <c r="Q119" s="122"/>
      <c r="R119" s="122"/>
      <c r="S119" s="12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</row>
    <row r="120" spans="17:50" x14ac:dyDescent="0.25">
      <c r="Q120" s="122"/>
      <c r="R120" s="122"/>
      <c r="S120" s="12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</row>
    <row r="121" spans="17:50" x14ac:dyDescent="0.25">
      <c r="Q121" s="122"/>
      <c r="R121" s="122"/>
      <c r="S121" s="12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</row>
    <row r="122" spans="17:50" x14ac:dyDescent="0.25">
      <c r="Q122" s="122"/>
      <c r="R122" s="122"/>
      <c r="S122" s="12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</row>
    <row r="123" spans="17:50" x14ac:dyDescent="0.25">
      <c r="Q123" s="122"/>
      <c r="R123" s="122"/>
      <c r="S123" s="12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</row>
    <row r="124" spans="17:50" x14ac:dyDescent="0.25">
      <c r="Q124" s="122"/>
      <c r="R124" s="122"/>
      <c r="S124" s="12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</row>
    <row r="125" spans="17:50" x14ac:dyDescent="0.25">
      <c r="Q125" s="122"/>
      <c r="R125" s="122"/>
      <c r="S125" s="12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</row>
    <row r="126" spans="17:50" x14ac:dyDescent="0.25">
      <c r="Q126" s="122"/>
      <c r="R126" s="122"/>
      <c r="S126" s="12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</row>
    <row r="127" spans="17:50" x14ac:dyDescent="0.25">
      <c r="Q127" s="122"/>
      <c r="R127" s="122"/>
      <c r="S127" s="12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</row>
    <row r="128" spans="17:50" x14ac:dyDescent="0.25">
      <c r="Q128" s="122"/>
      <c r="R128" s="122"/>
      <c r="S128" s="12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</row>
    <row r="129" spans="17:50" x14ac:dyDescent="0.25">
      <c r="Q129" s="122"/>
      <c r="R129" s="122"/>
      <c r="S129" s="12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</row>
    <row r="130" spans="17:50" x14ac:dyDescent="0.25">
      <c r="Q130" s="122"/>
      <c r="R130" s="122"/>
      <c r="S130" s="12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</row>
    <row r="131" spans="17:50" x14ac:dyDescent="0.25">
      <c r="Q131" s="122"/>
      <c r="R131" s="122"/>
      <c r="S131" s="12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</row>
    <row r="132" spans="17:50" x14ac:dyDescent="0.25">
      <c r="Q132" s="122"/>
      <c r="R132" s="122"/>
      <c r="S132" s="12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</row>
    <row r="133" spans="17:50" x14ac:dyDescent="0.25">
      <c r="Q133" s="122"/>
      <c r="R133" s="122"/>
      <c r="S133" s="12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</row>
    <row r="134" spans="17:50" x14ac:dyDescent="0.25">
      <c r="Q134" s="122"/>
      <c r="R134" s="122"/>
      <c r="S134" s="12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</row>
    <row r="135" spans="17:50" x14ac:dyDescent="0.25">
      <c r="Q135" s="122"/>
      <c r="R135" s="122"/>
      <c r="S135" s="12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</row>
    <row r="136" spans="17:50" x14ac:dyDescent="0.25">
      <c r="Q136" s="122"/>
      <c r="R136" s="122"/>
      <c r="S136" s="12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</row>
    <row r="137" spans="17:50" x14ac:dyDescent="0.25">
      <c r="Q137" s="122"/>
      <c r="R137" s="122"/>
      <c r="S137" s="12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</row>
    <row r="138" spans="17:50" x14ac:dyDescent="0.25">
      <c r="Q138" s="122"/>
      <c r="R138" s="122"/>
      <c r="S138" s="12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</row>
    <row r="139" spans="17:50" x14ac:dyDescent="0.25">
      <c r="Q139" s="122"/>
      <c r="R139" s="122"/>
      <c r="S139" s="12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</row>
    <row r="140" spans="17:50" x14ac:dyDescent="0.25">
      <c r="Q140" s="122"/>
      <c r="R140" s="122"/>
      <c r="S140" s="12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</row>
    <row r="141" spans="17:50" x14ac:dyDescent="0.25">
      <c r="Q141" s="122"/>
      <c r="R141" s="122"/>
      <c r="S141" s="12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</row>
    <row r="142" spans="17:50" x14ac:dyDescent="0.25">
      <c r="Q142" s="122"/>
      <c r="R142" s="122"/>
      <c r="S142" s="12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</row>
    <row r="143" spans="17:50" x14ac:dyDescent="0.25">
      <c r="Q143" s="122"/>
      <c r="R143" s="122"/>
      <c r="S143" s="12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</row>
    <row r="144" spans="17:50" x14ac:dyDescent="0.25">
      <c r="Q144" s="122"/>
      <c r="R144" s="122"/>
      <c r="S144" s="12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</row>
    <row r="145" spans="17:50" x14ac:dyDescent="0.25">
      <c r="Q145" s="122"/>
      <c r="R145" s="122"/>
      <c r="S145" s="12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</row>
    <row r="146" spans="17:50" x14ac:dyDescent="0.25">
      <c r="Q146" s="122"/>
      <c r="R146" s="122"/>
      <c r="S146" s="12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</row>
    <row r="147" spans="17:50" x14ac:dyDescent="0.25">
      <c r="Q147" s="122"/>
      <c r="R147" s="122"/>
      <c r="S147" s="12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</row>
    <row r="148" spans="17:50" x14ac:dyDescent="0.25">
      <c r="Q148" s="122"/>
      <c r="R148" s="122"/>
      <c r="S148" s="12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</row>
    <row r="149" spans="17:50" x14ac:dyDescent="0.25">
      <c r="Q149" s="122"/>
      <c r="R149" s="122"/>
      <c r="S149" s="12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</row>
    <row r="150" spans="17:50" x14ac:dyDescent="0.25">
      <c r="Q150" s="122"/>
      <c r="R150" s="122"/>
      <c r="S150" s="12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</row>
    <row r="151" spans="17:50" x14ac:dyDescent="0.25">
      <c r="Q151" s="122"/>
      <c r="R151" s="122"/>
      <c r="S151" s="12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</row>
    <row r="152" spans="17:50" x14ac:dyDescent="0.25">
      <c r="Q152" s="122"/>
      <c r="R152" s="122"/>
      <c r="S152" s="12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</row>
    <row r="153" spans="17:50" x14ac:dyDescent="0.25">
      <c r="Q153" s="122"/>
      <c r="R153" s="122"/>
      <c r="S153" s="12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</row>
    <row r="154" spans="17:50" x14ac:dyDescent="0.25">
      <c r="Q154" s="122"/>
      <c r="R154" s="122"/>
      <c r="S154" s="12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</row>
    <row r="155" spans="17:50" x14ac:dyDescent="0.25">
      <c r="Q155" s="122"/>
      <c r="R155" s="122"/>
      <c r="S155" s="12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</row>
    <row r="156" spans="17:50" x14ac:dyDescent="0.25">
      <c r="Q156" s="122"/>
      <c r="R156" s="122"/>
      <c r="S156" s="12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</row>
    <row r="157" spans="17:50" x14ac:dyDescent="0.25">
      <c r="Q157" s="122"/>
      <c r="R157" s="122"/>
      <c r="S157" s="12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</row>
    <row r="158" spans="17:50" x14ac:dyDescent="0.25">
      <c r="Q158" s="122"/>
      <c r="R158" s="122"/>
      <c r="S158" s="12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</row>
    <row r="159" spans="17:50" x14ac:dyDescent="0.25">
      <c r="Q159" s="122"/>
      <c r="R159" s="122"/>
      <c r="S159" s="12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</row>
    <row r="160" spans="17:50" x14ac:dyDescent="0.25">
      <c r="Q160" s="122"/>
      <c r="R160" s="122"/>
      <c r="S160" s="12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</row>
    <row r="161" spans="17:50" x14ac:dyDescent="0.25">
      <c r="Q161" s="122"/>
      <c r="R161" s="122"/>
      <c r="S161" s="12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</row>
    <row r="162" spans="17:50" x14ac:dyDescent="0.25">
      <c r="Q162" s="122"/>
      <c r="R162" s="122"/>
      <c r="S162" s="12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</row>
    <row r="163" spans="17:50" x14ac:dyDescent="0.25">
      <c r="Q163" s="122"/>
      <c r="R163" s="122"/>
      <c r="S163" s="12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</row>
    <row r="164" spans="17:50" x14ac:dyDescent="0.25">
      <c r="Q164" s="122"/>
      <c r="R164" s="122"/>
      <c r="S164" s="12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</row>
    <row r="165" spans="17:50" x14ac:dyDescent="0.25">
      <c r="Q165" s="122"/>
      <c r="R165" s="122"/>
      <c r="S165" s="12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</row>
    <row r="166" spans="17:50" x14ac:dyDescent="0.25">
      <c r="Q166" s="122"/>
      <c r="R166" s="122"/>
      <c r="S166" s="12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</row>
    <row r="167" spans="17:50" x14ac:dyDescent="0.25">
      <c r="Q167" s="122"/>
      <c r="R167" s="122"/>
      <c r="S167" s="12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</row>
    <row r="168" spans="17:50" x14ac:dyDescent="0.25">
      <c r="Q168" s="122"/>
      <c r="R168" s="122"/>
      <c r="S168" s="12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</row>
    <row r="169" spans="17:50" x14ac:dyDescent="0.25">
      <c r="Q169" s="122"/>
      <c r="R169" s="122"/>
      <c r="S169" s="12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</row>
    <row r="170" spans="17:50" x14ac:dyDescent="0.25">
      <c r="Q170" s="122"/>
      <c r="R170" s="122"/>
      <c r="S170" s="12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</row>
    <row r="171" spans="17:50" x14ac:dyDescent="0.25">
      <c r="Q171" s="122"/>
      <c r="R171" s="122"/>
      <c r="S171" s="12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</row>
    <row r="172" spans="17:50" x14ac:dyDescent="0.25">
      <c r="Q172" s="122"/>
      <c r="R172" s="122"/>
      <c r="S172" s="12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</row>
    <row r="173" spans="17:50" x14ac:dyDescent="0.25">
      <c r="Q173" s="122"/>
      <c r="R173" s="122"/>
      <c r="S173" s="12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</row>
    <row r="174" spans="17:50" x14ac:dyDescent="0.25">
      <c r="Q174" s="122"/>
      <c r="R174" s="122"/>
      <c r="S174" s="12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</row>
    <row r="175" spans="17:50" x14ac:dyDescent="0.25">
      <c r="Q175" s="122"/>
      <c r="R175" s="122"/>
      <c r="S175" s="12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</row>
    <row r="176" spans="17:50" x14ac:dyDescent="0.25">
      <c r="Q176" s="122"/>
      <c r="R176" s="122"/>
      <c r="S176" s="12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</row>
    <row r="177" spans="1:50" x14ac:dyDescent="0.25">
      <c r="Q177" s="122"/>
      <c r="R177" s="122"/>
      <c r="S177" s="12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</row>
    <row r="178" spans="1:50" x14ac:dyDescent="0.25">
      <c r="Q178" s="122"/>
      <c r="R178" s="122"/>
      <c r="S178" s="12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</row>
    <row r="179" spans="1:50" x14ac:dyDescent="0.25">
      <c r="A179" s="92"/>
      <c r="B179" s="92"/>
      <c r="Q179" s="122"/>
      <c r="R179" s="122"/>
      <c r="S179" s="12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</row>
    <row r="180" spans="1:50" x14ac:dyDescent="0.25">
      <c r="A180" s="92"/>
      <c r="B180" s="92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Q180" s="124"/>
      <c r="R180" s="124"/>
      <c r="S180" s="124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</row>
    <row r="181" spans="1:50" x14ac:dyDescent="0.25">
      <c r="A181" s="92"/>
      <c r="B181" s="92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</row>
    <row r="182" spans="1:50" x14ac:dyDescent="0.25">
      <c r="A182" s="92"/>
      <c r="B182" s="92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</row>
    <row r="183" spans="1:50" x14ac:dyDescent="0.25">
      <c r="A183" s="92"/>
      <c r="B183" s="92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</row>
    <row r="184" spans="1:50" x14ac:dyDescent="0.25">
      <c r="A184" s="92"/>
      <c r="B184" s="92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</row>
    <row r="185" spans="1:50" x14ac:dyDescent="0.25">
      <c r="A185" s="92"/>
      <c r="B185" s="92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</row>
    <row r="186" spans="1:50" x14ac:dyDescent="0.25">
      <c r="A186" s="92"/>
      <c r="B186" s="92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</row>
    <row r="187" spans="1:50" x14ac:dyDescent="0.25">
      <c r="A187" s="92"/>
      <c r="B187" s="92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</row>
    <row r="188" spans="1:50" x14ac:dyDescent="0.25">
      <c r="A188" s="92"/>
      <c r="B188" s="92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</row>
    <row r="189" spans="1:50" x14ac:dyDescent="0.25">
      <c r="A189" s="92"/>
      <c r="B189" s="92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</row>
    <row r="190" spans="1:50" x14ac:dyDescent="0.25">
      <c r="A190" s="92"/>
      <c r="B190" s="92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</row>
    <row r="191" spans="1:50" x14ac:dyDescent="0.25">
      <c r="A191" s="92"/>
      <c r="B191" s="92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</row>
    <row r="192" spans="1:50" x14ac:dyDescent="0.25">
      <c r="A192" s="92"/>
      <c r="B192" s="92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</row>
    <row r="193" spans="1:50" x14ac:dyDescent="0.25">
      <c r="A193" s="92"/>
      <c r="B193" s="92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</row>
    <row r="194" spans="1:50" x14ac:dyDescent="0.25">
      <c r="A194" s="92"/>
      <c r="B194" s="92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</row>
    <row r="195" spans="1:50" x14ac:dyDescent="0.25">
      <c r="A195" s="92"/>
      <c r="B195" s="92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</row>
    <row r="196" spans="1:50" x14ac:dyDescent="0.25">
      <c r="A196" s="92"/>
      <c r="B196" s="92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</row>
    <row r="197" spans="1:50" x14ac:dyDescent="0.25">
      <c r="A197" s="92"/>
      <c r="B197" s="92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</row>
    <row r="198" spans="1:50" x14ac:dyDescent="0.25">
      <c r="A198" s="92"/>
      <c r="B198" s="92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</row>
    <row r="199" spans="1:50" x14ac:dyDescent="0.25">
      <c r="A199" s="92"/>
      <c r="B199" s="92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</row>
    <row r="200" spans="1:50" x14ac:dyDescent="0.25">
      <c r="A200" s="92"/>
      <c r="B200" s="92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</row>
    <row r="201" spans="1:50" x14ac:dyDescent="0.25">
      <c r="A201" s="92"/>
      <c r="B201" s="92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</row>
    <row r="202" spans="1:50" x14ac:dyDescent="0.25">
      <c r="A202" s="92"/>
      <c r="B202" s="92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</row>
    <row r="203" spans="1:50" x14ac:dyDescent="0.25">
      <c r="A203" s="92"/>
      <c r="B203" s="92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</row>
    <row r="204" spans="1:50" x14ac:dyDescent="0.25">
      <c r="A204" s="92"/>
      <c r="B204" s="92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</row>
    <row r="205" spans="1:50" x14ac:dyDescent="0.25">
      <c r="A205" s="92"/>
      <c r="B205" s="9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</row>
    <row r="206" spans="1:50" x14ac:dyDescent="0.25">
      <c r="A206" s="92"/>
      <c r="B206" s="92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</row>
    <row r="207" spans="1:50" x14ac:dyDescent="0.25">
      <c r="A207" s="92"/>
      <c r="B207" s="92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</row>
    <row r="208" spans="1:50" x14ac:dyDescent="0.25">
      <c r="A208" s="92"/>
      <c r="B208" s="92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</row>
    <row r="209" spans="1:50" x14ac:dyDescent="0.25">
      <c r="A209" s="92"/>
      <c r="B209" s="92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</row>
    <row r="210" spans="1:50" x14ac:dyDescent="0.25">
      <c r="A210" s="92"/>
      <c r="B210" s="92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</row>
    <row r="211" spans="1:50" x14ac:dyDescent="0.25">
      <c r="A211" s="92"/>
      <c r="B211" s="92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</row>
    <row r="212" spans="1:50" x14ac:dyDescent="0.25">
      <c r="A212" s="92"/>
      <c r="B212" s="92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</row>
    <row r="213" spans="1:50" x14ac:dyDescent="0.25">
      <c r="A213" s="92"/>
      <c r="B213" s="92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</row>
    <row r="214" spans="1:50" x14ac:dyDescent="0.25">
      <c r="A214" s="92"/>
      <c r="B214" s="92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</row>
    <row r="215" spans="1:50" x14ac:dyDescent="0.25">
      <c r="A215" s="92"/>
      <c r="B215" s="92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</row>
    <row r="216" spans="1:50" x14ac:dyDescent="0.25">
      <c r="A216" s="92"/>
      <c r="B216" s="92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</row>
    <row r="217" spans="1:50" x14ac:dyDescent="0.25">
      <c r="A217" s="92"/>
      <c r="B217" s="92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</row>
    <row r="218" spans="1:50" x14ac:dyDescent="0.25">
      <c r="A218" s="92"/>
      <c r="B218" s="92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</row>
    <row r="219" spans="1:50" x14ac:dyDescent="0.25">
      <c r="A219" s="92"/>
      <c r="B219" s="92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</row>
    <row r="220" spans="1:50" x14ac:dyDescent="0.25">
      <c r="A220" s="92"/>
      <c r="B220" s="92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</row>
    <row r="221" spans="1:50" x14ac:dyDescent="0.25">
      <c r="A221" s="92"/>
      <c r="B221" s="92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</row>
    <row r="222" spans="1:50" x14ac:dyDescent="0.25">
      <c r="A222" s="92"/>
      <c r="B222" s="92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</row>
    <row r="223" spans="1:50" x14ac:dyDescent="0.25">
      <c r="A223" s="92"/>
      <c r="B223" s="92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</row>
    <row r="224" spans="1:50" x14ac:dyDescent="0.25">
      <c r="A224" s="92"/>
      <c r="B224" s="92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</row>
    <row r="225" spans="1:50" x14ac:dyDescent="0.25">
      <c r="A225" s="92"/>
      <c r="B225" s="92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</row>
    <row r="226" spans="1:50" x14ac:dyDescent="0.25">
      <c r="A226" s="92"/>
      <c r="B226" s="92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</row>
    <row r="227" spans="1:50" x14ac:dyDescent="0.25">
      <c r="A227" s="92"/>
      <c r="B227" s="92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</row>
    <row r="228" spans="1:50" x14ac:dyDescent="0.25">
      <c r="A228" s="92"/>
      <c r="B228" s="92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</row>
    <row r="229" spans="1:50" x14ac:dyDescent="0.25">
      <c r="A229" s="92"/>
      <c r="B229" s="92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</row>
    <row r="230" spans="1:50" x14ac:dyDescent="0.25">
      <c r="A230" s="92"/>
      <c r="B230" s="92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</row>
    <row r="231" spans="1:50" x14ac:dyDescent="0.25">
      <c r="A231" s="92"/>
      <c r="B231" s="92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</row>
    <row r="232" spans="1:50" x14ac:dyDescent="0.25">
      <c r="A232" s="92"/>
      <c r="B232" s="92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</row>
    <row r="233" spans="1:50" x14ac:dyDescent="0.25">
      <c r="A233" s="92"/>
      <c r="B233" s="92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</row>
    <row r="234" spans="1:50" x14ac:dyDescent="0.25">
      <c r="A234" s="92"/>
      <c r="B234" s="92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</row>
    <row r="235" spans="1:50" x14ac:dyDescent="0.25">
      <c r="A235" s="92"/>
      <c r="B235" s="92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</row>
    <row r="236" spans="1:50" x14ac:dyDescent="0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124"/>
      <c r="Q236" s="124"/>
      <c r="R236" s="124"/>
      <c r="S236" s="124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</row>
    <row r="237" spans="1:50" x14ac:dyDescent="0.2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</row>
    <row r="238" spans="1:50" x14ac:dyDescent="0.2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</row>
    <row r="239" spans="1:50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</row>
    <row r="240" spans="1:50" x14ac:dyDescent="0.2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</row>
    <row r="241" spans="1:50" x14ac:dyDescent="0.2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</row>
    <row r="242" spans="1:50" x14ac:dyDescent="0.2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</row>
    <row r="243" spans="1:50" x14ac:dyDescent="0.2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</row>
    <row r="244" spans="1:50" x14ac:dyDescent="0.2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</row>
    <row r="245" spans="1:50" x14ac:dyDescent="0.2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</row>
    <row r="246" spans="1:50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</row>
    <row r="247" spans="1:50" x14ac:dyDescent="0.2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</row>
    <row r="248" spans="1:50" x14ac:dyDescent="0.2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</row>
    <row r="249" spans="1:50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</row>
    <row r="250" spans="1:50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</row>
    <row r="251" spans="1:50" x14ac:dyDescent="0.2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</row>
    <row r="252" spans="1:50" x14ac:dyDescent="0.2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</row>
    <row r="253" spans="1:50" x14ac:dyDescent="0.2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</row>
    <row r="254" spans="1:50" x14ac:dyDescent="0.2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</row>
    <row r="255" spans="1:50" x14ac:dyDescent="0.2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</row>
    <row r="256" spans="1:50" x14ac:dyDescent="0.2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</row>
    <row r="257" spans="1:50" x14ac:dyDescent="0.2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</row>
    <row r="258" spans="1:50" x14ac:dyDescent="0.2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</row>
    <row r="259" spans="1:50" x14ac:dyDescent="0.2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</row>
    <row r="260" spans="1:50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</row>
    <row r="261" spans="1:50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</row>
    <row r="262" spans="1:50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</row>
    <row r="263" spans="1:50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</row>
    <row r="264" spans="1:50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</row>
    <row r="265" spans="1:50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</row>
    <row r="266" spans="1:50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</row>
    <row r="267" spans="1:50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</row>
    <row r="268" spans="1:50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</row>
    <row r="269" spans="1:50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</row>
    <row r="270" spans="1:50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</row>
    <row r="271" spans="1:50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</row>
    <row r="272" spans="1:50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</row>
    <row r="273" spans="1:50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</row>
    <row r="274" spans="1:50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</row>
    <row r="275" spans="1:50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</row>
    <row r="276" spans="1:50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</row>
    <row r="277" spans="1:50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</row>
    <row r="278" spans="1:50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</row>
    <row r="279" spans="1:50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</row>
    <row r="280" spans="1:50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</row>
    <row r="281" spans="1:50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</row>
    <row r="282" spans="1:50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</row>
    <row r="283" spans="1:50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</row>
    <row r="284" spans="1:50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</row>
    <row r="285" spans="1:50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</row>
    <row r="286" spans="1:50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</row>
    <row r="287" spans="1:50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</row>
    <row r="288" spans="1:50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</row>
    <row r="289" spans="1:50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</row>
    <row r="290" spans="1:50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</row>
    <row r="291" spans="1:50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</row>
    <row r="292" spans="1:50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</row>
    <row r="293" spans="1:50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</row>
    <row r="294" spans="1:50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</row>
    <row r="295" spans="1:50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</row>
    <row r="296" spans="1:50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</row>
    <row r="297" spans="1:50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</row>
    <row r="298" spans="1:50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</row>
    <row r="299" spans="1:50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</row>
    <row r="300" spans="1:50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</row>
    <row r="301" spans="1:50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</row>
    <row r="302" spans="1:50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</row>
    <row r="303" spans="1:50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</row>
    <row r="304" spans="1:50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</row>
    <row r="305" spans="1:50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</row>
    <row r="306" spans="1:50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</row>
    <row r="307" spans="1:50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</row>
    <row r="308" spans="1:50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</row>
    <row r="309" spans="1:50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</row>
    <row r="310" spans="1:50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</row>
    <row r="311" spans="1:50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</row>
    <row r="312" spans="1:50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</row>
    <row r="313" spans="1:50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</row>
    <row r="314" spans="1:50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</row>
    <row r="315" spans="1:50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</row>
    <row r="316" spans="1:50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</row>
    <row r="317" spans="1:50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</row>
    <row r="318" spans="1:50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</row>
    <row r="319" spans="1:50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</row>
    <row r="320" spans="1:50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</row>
    <row r="321" spans="1:50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</row>
    <row r="322" spans="1:50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</row>
    <row r="323" spans="1:50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</row>
    <row r="324" spans="1:50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</row>
    <row r="325" spans="1:50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</row>
    <row r="326" spans="1:50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</row>
    <row r="327" spans="1:50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</row>
    <row r="328" spans="1:50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</row>
    <row r="329" spans="1:50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</row>
    <row r="330" spans="1:50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</row>
    <row r="331" spans="1:50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</row>
    <row r="332" spans="1:50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</row>
    <row r="333" spans="1:50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</row>
    <row r="334" spans="1:50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</row>
    <row r="335" spans="1:50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</row>
    <row r="336" spans="1:50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</row>
    <row r="337" spans="1:50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</row>
    <row r="338" spans="1:50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</row>
    <row r="339" spans="1:50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</row>
    <row r="340" spans="1:50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</row>
    <row r="341" spans="1:50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</row>
    <row r="342" spans="1:50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</row>
    <row r="343" spans="1:50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</row>
    <row r="344" spans="1:50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</row>
    <row r="345" spans="1:50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</row>
    <row r="346" spans="1:50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</row>
    <row r="347" spans="1:50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AB347" s="92"/>
      <c r="AD347" s="92"/>
      <c r="AE347" s="92"/>
    </row>
    <row r="348" spans="1:50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W348" s="92"/>
      <c r="X348" s="92"/>
      <c r="Y348" s="92"/>
    </row>
    <row r="349" spans="1:50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W349" s="92"/>
      <c r="Y349" s="92"/>
    </row>
    <row r="350" spans="1:50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Y350" s="92"/>
    </row>
    <row r="351" spans="1:50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50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</row>
    <row r="353" spans="1:14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</row>
    <row r="354" spans="1:14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</row>
    <row r="355" spans="1:14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</row>
    <row r="356" spans="1:14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</row>
    <row r="357" spans="1:14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</row>
    <row r="358" spans="1:14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</row>
    <row r="359" spans="1:14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</row>
    <row r="360" spans="1:14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</row>
    <row r="361" spans="1:14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</row>
    <row r="362" spans="1:14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</row>
    <row r="363" spans="1:14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</row>
    <row r="364" spans="1:14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</row>
    <row r="365" spans="1:14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</row>
    <row r="366" spans="1:14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</row>
    <row r="368" spans="1:14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</row>
    <row r="369" spans="1:14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</row>
    <row r="370" spans="1:14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</row>
    <row r="371" spans="1:14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</row>
    <row r="372" spans="1:14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</row>
    <row r="373" spans="1:14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</row>
    <row r="374" spans="1:14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</row>
    <row r="375" spans="1:14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</row>
    <row r="376" spans="1:14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</row>
    <row r="377" spans="1:14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</row>
    <row r="378" spans="1:14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</row>
    <row r="379" spans="1:14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</row>
    <row r="380" spans="1:14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</row>
    <row r="381" spans="1:14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</row>
    <row r="385" spans="1:14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</row>
    <row r="386" spans="1:14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</row>
    <row r="387" spans="1:14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</row>
    <row r="388" spans="1:14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</row>
    <row r="389" spans="1:14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</row>
    <row r="390" spans="1:14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spans="1:14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</row>
    <row r="392" spans="1:14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</row>
    <row r="393" spans="1:14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</row>
    <row r="394" spans="1:14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</row>
    <row r="395" spans="1:14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</row>
    <row r="400" spans="1:14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</row>
    <row r="401" spans="1:14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</row>
    <row r="403" spans="1:14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</row>
    <row r="404" spans="1:14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</row>
    <row r="405" spans="1:14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</row>
    <row r="406" spans="1:14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</row>
    <row r="407" spans="1:14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</row>
    <row r="408" spans="1:14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</row>
    <row r="409" spans="1:14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</row>
    <row r="410" spans="1:14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</row>
    <row r="411" spans="1:14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</row>
    <row r="412" spans="1:14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</row>
    <row r="413" spans="1:14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</row>
    <row r="414" spans="1:14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</row>
    <row r="415" spans="1:14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</row>
    <row r="416" spans="1:14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</row>
    <row r="417" spans="1:14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</row>
    <row r="418" spans="1:14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</row>
    <row r="419" spans="1:14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</row>
    <row r="422" spans="1:14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</row>
    <row r="425" spans="1:14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</row>
    <row r="426" spans="1:14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</row>
    <row r="427" spans="1:14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</row>
    <row r="428" spans="1:14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</row>
    <row r="429" spans="1:14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</row>
    <row r="430" spans="1:14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</row>
    <row r="431" spans="1:14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</row>
    <row r="432" spans="1:14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</row>
    <row r="433" spans="1:14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</row>
    <row r="434" spans="1:14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</row>
    <row r="435" spans="1:14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</row>
    <row r="436" spans="1:14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</row>
    <row r="439" spans="1:14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</row>
    <row r="440" spans="1:14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</row>
    <row r="441" spans="1:14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</row>
    <row r="442" spans="1:14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</row>
    <row r="443" spans="1:14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</row>
    <row r="444" spans="1:14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</row>
    <row r="445" spans="1:14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</row>
    <row r="446" spans="1:14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</row>
    <row r="449" spans="1:14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</row>
    <row r="450" spans="1:14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</row>
    <row r="451" spans="1:14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</row>
    <row r="452" spans="1:14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</row>
    <row r="455" spans="1:14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</row>
    <row r="456" spans="1:14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</row>
    <row r="457" spans="1:14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</row>
    <row r="458" spans="1:14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</row>
    <row r="459" spans="1:14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</row>
    <row r="460" spans="1:14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</row>
    <row r="461" spans="1:14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</row>
    <row r="462" spans="1:14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</row>
    <row r="465" spans="1:14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</row>
    <row r="466" spans="1:14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</row>
    <row r="467" spans="1:14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</row>
    <row r="468" spans="1:14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</row>
    <row r="469" spans="1:14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</row>
    <row r="470" spans="1:14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</row>
    <row r="472" spans="1:14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</row>
    <row r="473" spans="1:14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</row>
    <row r="474" spans="1:14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</row>
    <row r="475" spans="1:14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</row>
    <row r="476" spans="1:14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</row>
    <row r="477" spans="1:14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</row>
    <row r="478" spans="1:14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</row>
    <row r="479" spans="1:14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</row>
    <row r="480" spans="1:14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</row>
    <row r="481" spans="1:14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</row>
    <row r="482" spans="1:14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</row>
    <row r="484" spans="1:14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</row>
    <row r="485" spans="1:14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</row>
    <row r="488" spans="1:14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</row>
    <row r="489" spans="1:14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</row>
    <row r="490" spans="1:14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</row>
    <row r="491" spans="1:14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</row>
    <row r="492" spans="1:14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</row>
    <row r="493" spans="1:14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</row>
    <row r="494" spans="1:14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</row>
    <row r="495" spans="1:14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</row>
    <row r="496" spans="1:14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</row>
    <row r="497" spans="1:14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</row>
    <row r="498" spans="1:14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</row>
    <row r="499" spans="1:14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</row>
    <row r="500" spans="1:14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</row>
    <row r="503" spans="1:14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</row>
    <row r="504" spans="1:14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</row>
    <row r="505" spans="1:14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</row>
    <row r="506" spans="1:14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</row>
    <row r="507" spans="1:14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</row>
    <row r="508" spans="1:14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</row>
    <row r="509" spans="1:14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</row>
    <row r="510" spans="1:14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</row>
    <row r="511" spans="1:14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</row>
    <row r="512" spans="1:14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</row>
    <row r="513" spans="1:14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</row>
    <row r="514" spans="1:14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</row>
    <row r="515" spans="1:14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</row>
    <row r="516" spans="1:14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</row>
    <row r="517" spans="1:14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</row>
    <row r="518" spans="1:14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</row>
    <row r="519" spans="1:14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</row>
    <row r="520" spans="1:14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</row>
    <row r="521" spans="1:14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</row>
    <row r="522" spans="1:14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</row>
    <row r="523" spans="1:14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</row>
    <row r="524" spans="1:14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</row>
    <row r="525" spans="1:14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</row>
    <row r="526" spans="1:14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</row>
    <row r="527" spans="1:14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</row>
    <row r="528" spans="1:14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</row>
    <row r="529" spans="1:14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</row>
    <row r="530" spans="1:14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</row>
    <row r="531" spans="1:14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</row>
    <row r="532" spans="1:14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</row>
    <row r="535" spans="1:14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</row>
    <row r="536" spans="1:14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</row>
    <row r="539" spans="1:14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</row>
    <row r="540" spans="1:14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</row>
    <row r="541" spans="1:14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</row>
    <row r="542" spans="1:14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</row>
    <row r="543" spans="1:14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</row>
    <row r="544" spans="1:14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</row>
    <row r="545" spans="1:14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</row>
    <row r="546" spans="1:14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</row>
    <row r="547" spans="1:14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</row>
    <row r="548" spans="1:14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</row>
    <row r="549" spans="1:14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</row>
    <row r="550" spans="1:14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</row>
    <row r="551" spans="1:14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</row>
    <row r="552" spans="1:14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</row>
    <row r="553" spans="1:14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</row>
    <row r="554" spans="1:14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</row>
    <row r="555" spans="1:14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</row>
    <row r="556" spans="1:14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</row>
    <row r="557" spans="1:14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</row>
    <row r="558" spans="1:14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</row>
    <row r="559" spans="1:14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</row>
    <row r="560" spans="1:14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</row>
    <row r="561" spans="1:14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</row>
    <row r="562" spans="1:14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</row>
    <row r="563" spans="1:14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</row>
    <row r="564" spans="1:14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</row>
    <row r="565" spans="1:14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</row>
    <row r="566" spans="1:14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</row>
    <row r="567" spans="1:14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</row>
    <row r="568" spans="1:14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</row>
    <row r="569" spans="1:14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</row>
    <row r="570" spans="1:14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</row>
    <row r="571" spans="1:14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</row>
    <row r="572" spans="1:14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</row>
  </sheetData>
  <sheetProtection sheet="1" objects="1" scenarios="1"/>
  <printOptions horizontalCentered="1"/>
  <pageMargins left="0.75" right="0.75" top="0.53" bottom="0.51" header="0.5" footer="0.5"/>
  <pageSetup scale="61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V260"/>
  <sheetViews>
    <sheetView topLeftCell="A43" workbookViewId="0">
      <selection activeCell="J33" sqref="J33"/>
    </sheetView>
  </sheetViews>
  <sheetFormatPr defaultColWidth="9.33203125" defaultRowHeight="15.75" x14ac:dyDescent="0.25"/>
  <cols>
    <col min="1" max="1" width="9" style="92" customWidth="1"/>
    <col min="2" max="2" width="2.1640625" style="92" customWidth="1"/>
    <col min="3" max="3" width="44.6640625" style="92" customWidth="1"/>
    <col min="4" max="4" width="31.1640625" style="92" customWidth="1"/>
    <col min="5" max="5" width="26.33203125" style="92" customWidth="1"/>
    <col min="6" max="6" width="15" style="92" customWidth="1"/>
    <col min="7" max="7" width="20.6640625" style="92" customWidth="1"/>
    <col min="8" max="8" width="18.5" style="92" customWidth="1"/>
    <col min="9" max="9" width="8.6640625" style="92" customWidth="1"/>
    <col min="10" max="10" width="23" style="92" customWidth="1"/>
    <col min="11" max="11" width="12.1640625" style="92" customWidth="1"/>
    <col min="12" max="12" width="11.6640625" style="92" customWidth="1"/>
    <col min="13" max="13" width="2.83203125" style="92" customWidth="1"/>
    <col min="14" max="14" width="41" style="92" customWidth="1"/>
    <col min="15" max="15" width="48.83203125" style="92" customWidth="1"/>
    <col min="16" max="16" width="23.5" style="92" customWidth="1"/>
    <col min="17" max="17" width="20.5" style="92" customWidth="1"/>
    <col min="18" max="18" width="20.83203125" style="92" customWidth="1"/>
    <col min="19" max="19" width="23.6640625" style="92" bestFit="1" customWidth="1"/>
    <col min="20" max="20" width="22.1640625" style="92" bestFit="1" customWidth="1"/>
    <col min="21" max="21" width="23" style="92" bestFit="1" customWidth="1"/>
    <col min="22" max="22" width="19.83203125" style="92" customWidth="1"/>
    <col min="23" max="23" width="20.33203125" style="92" customWidth="1"/>
    <col min="24" max="24" width="23.5" style="92" bestFit="1" customWidth="1"/>
    <col min="25" max="25" width="21.6640625" style="92" bestFit="1" customWidth="1"/>
    <col min="26" max="26" width="16.1640625" style="92" customWidth="1"/>
    <col min="27" max="28" width="23.5" style="92" bestFit="1" customWidth="1"/>
    <col min="29" max="29" width="21.33203125" style="92" bestFit="1" customWidth="1"/>
    <col min="30" max="30" width="23.5" style="92" bestFit="1" customWidth="1"/>
    <col min="31" max="31" width="21.33203125" style="92" bestFit="1" customWidth="1"/>
    <col min="32" max="32" width="20.6640625" style="92" bestFit="1" customWidth="1"/>
    <col min="33" max="16384" width="9.33203125" style="92"/>
  </cols>
  <sheetData>
    <row r="1" spans="1:16" s="1" customFormat="1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"/>
      <c r="M1" s="235"/>
      <c r="N1" s="4"/>
      <c r="O1" s="4"/>
      <c r="P1" s="4"/>
    </row>
    <row r="2" spans="1:16" s="1" customFormat="1" x14ac:dyDescent="0.25">
      <c r="A2" s="249" t="s">
        <v>427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"/>
      <c r="M2" s="247"/>
      <c r="N2" s="4"/>
      <c r="O2" s="4"/>
      <c r="P2" s="4"/>
    </row>
    <row r="3" spans="1:16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271" t="str">
        <f>"For the 12 months ended "&amp;TEXT('OATT Input Data'!B4,"MM/DD/YYYY")</f>
        <v>For the 12 months ended 12/31/2018</v>
      </c>
      <c r="L4" s="4"/>
      <c r="M4" s="4"/>
      <c r="N4" s="4"/>
      <c r="O4" s="5"/>
      <c r="P4" s="4"/>
    </row>
    <row r="5" spans="1:16" s="1" customFormat="1" x14ac:dyDescent="0.25">
      <c r="A5" s="272" t="s">
        <v>187</v>
      </c>
      <c r="C5" s="2"/>
      <c r="D5" s="9"/>
      <c r="F5" s="9"/>
      <c r="G5" s="9"/>
      <c r="H5" s="9"/>
      <c r="I5" s="2"/>
      <c r="J5" s="2"/>
      <c r="K5" s="271" t="s">
        <v>125</v>
      </c>
      <c r="L5" s="251"/>
      <c r="M5" s="4"/>
      <c r="N5" s="4"/>
      <c r="O5" s="4"/>
      <c r="P5" s="4"/>
    </row>
    <row r="6" spans="1:16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x14ac:dyDescent="0.25">
      <c r="A7" s="275" t="s">
        <v>130</v>
      </c>
      <c r="B7" s="249"/>
      <c r="C7" s="276"/>
      <c r="D7" s="276"/>
      <c r="E7" s="249"/>
      <c r="F7" s="276"/>
      <c r="G7" s="276"/>
      <c r="H7" s="276"/>
      <c r="I7" s="276"/>
      <c r="J7" s="276"/>
      <c r="K7" s="276"/>
      <c r="L7" s="2"/>
      <c r="M7" s="4"/>
      <c r="N7" s="4"/>
      <c r="O7" s="4"/>
      <c r="P7" s="4"/>
    </row>
    <row r="8" spans="1:16" x14ac:dyDescent="0.25">
      <c r="A8" s="472" t="s">
        <v>389</v>
      </c>
      <c r="B8" s="473"/>
      <c r="C8" s="473"/>
      <c r="D8" s="473"/>
      <c r="E8" s="473"/>
      <c r="F8" s="474"/>
      <c r="G8" s="474"/>
      <c r="H8" s="474"/>
      <c r="I8" s="474"/>
      <c r="J8" s="474"/>
      <c r="K8" s="475"/>
      <c r="L8" s="168"/>
      <c r="M8" s="168"/>
      <c r="N8" s="109"/>
      <c r="O8" s="168"/>
      <c r="P8" s="178"/>
    </row>
    <row r="9" spans="1:16" x14ac:dyDescent="0.25">
      <c r="A9" s="87" t="s">
        <v>1</v>
      </c>
      <c r="C9" s="476"/>
      <c r="D9" s="109"/>
      <c r="E9" s="109"/>
      <c r="F9" s="109"/>
      <c r="G9" s="109"/>
      <c r="H9" s="109"/>
      <c r="I9" s="109"/>
      <c r="J9" s="109"/>
      <c r="K9" s="168"/>
      <c r="L9" s="168"/>
      <c r="M9" s="168"/>
      <c r="N9" s="109"/>
      <c r="O9" s="168"/>
      <c r="P9" s="178"/>
    </row>
    <row r="10" spans="1:16" ht="16.5" thickBot="1" x14ac:dyDescent="0.3">
      <c r="A10" s="477" t="s">
        <v>3</v>
      </c>
      <c r="C10" s="165" t="s">
        <v>204</v>
      </c>
      <c r="D10" s="109"/>
      <c r="E10" s="109"/>
      <c r="F10" s="109"/>
      <c r="G10" s="109"/>
      <c r="H10" s="109"/>
      <c r="K10" s="168"/>
      <c r="L10" s="168"/>
      <c r="M10" s="168"/>
      <c r="N10" s="109"/>
      <c r="O10" s="168"/>
      <c r="P10" s="178"/>
    </row>
    <row r="11" spans="1:16" x14ac:dyDescent="0.25">
      <c r="A11" s="87">
        <v>1</v>
      </c>
      <c r="C11" s="165" t="s">
        <v>205</v>
      </c>
      <c r="D11" s="109"/>
      <c r="E11" s="168"/>
      <c r="F11" s="168"/>
      <c r="G11" s="478" t="s">
        <v>331</v>
      </c>
      <c r="H11" s="168"/>
      <c r="I11" s="168"/>
      <c r="J11" s="479">
        <f>'NITS Pg 2 of 5'!E15</f>
        <v>1502513484</v>
      </c>
      <c r="K11" s="168"/>
      <c r="L11" s="168"/>
      <c r="M11" s="168"/>
      <c r="N11" s="109"/>
      <c r="O11" s="168"/>
      <c r="P11" s="178"/>
    </row>
    <row r="12" spans="1:16" x14ac:dyDescent="0.25">
      <c r="A12" s="87">
        <v>2</v>
      </c>
      <c r="C12" s="165" t="s">
        <v>207</v>
      </c>
      <c r="G12" s="124" t="s">
        <v>206</v>
      </c>
      <c r="J12" s="169">
        <f>ROUND('VA Transmission'!$G$60,0)</f>
        <v>59194394</v>
      </c>
      <c r="K12" s="168"/>
      <c r="L12" s="168"/>
      <c r="M12" s="168"/>
      <c r="N12" s="109"/>
      <c r="O12" s="168"/>
      <c r="P12" s="480"/>
    </row>
    <row r="13" spans="1:16" ht="18.75" thickBot="1" x14ac:dyDescent="0.45">
      <c r="A13" s="87">
        <v>3</v>
      </c>
      <c r="C13" s="255" t="s">
        <v>209</v>
      </c>
      <c r="D13" s="171"/>
      <c r="E13" s="172"/>
      <c r="F13" s="168"/>
      <c r="G13" s="481" t="s">
        <v>208</v>
      </c>
      <c r="H13" s="173"/>
      <c r="I13" s="168"/>
      <c r="J13" s="482">
        <v>0</v>
      </c>
      <c r="K13" s="168"/>
      <c r="L13" s="168"/>
      <c r="M13" s="168"/>
      <c r="N13" s="109"/>
      <c r="O13" s="168"/>
      <c r="P13" s="480"/>
    </row>
    <row r="14" spans="1:16" x14ac:dyDescent="0.25">
      <c r="A14" s="87">
        <v>4</v>
      </c>
      <c r="C14" s="165" t="s">
        <v>340</v>
      </c>
      <c r="D14" s="109"/>
      <c r="E14" s="168"/>
      <c r="F14" s="168"/>
      <c r="G14" s="483" t="s">
        <v>210</v>
      </c>
      <c r="H14" s="173"/>
      <c r="I14" s="168"/>
      <c r="J14" s="479">
        <f>ROUND(J11-J12-J13,0)</f>
        <v>1443319090</v>
      </c>
      <c r="K14" s="168"/>
      <c r="L14" s="168"/>
      <c r="M14" s="168"/>
      <c r="N14" s="109"/>
      <c r="O14" s="168"/>
      <c r="P14" s="178"/>
    </row>
    <row r="15" spans="1:16" x14ac:dyDescent="0.25">
      <c r="A15" s="87"/>
      <c r="D15" s="109"/>
      <c r="E15" s="168"/>
      <c r="F15" s="168"/>
      <c r="G15" s="168"/>
      <c r="H15" s="173"/>
      <c r="I15" s="168"/>
      <c r="J15" s="169"/>
      <c r="K15" s="168"/>
      <c r="L15" s="168"/>
      <c r="M15" s="168"/>
      <c r="N15" s="109"/>
    </row>
    <row r="16" spans="1:16" x14ac:dyDescent="0.25">
      <c r="A16" s="87">
        <v>5</v>
      </c>
      <c r="C16" s="165" t="s">
        <v>341</v>
      </c>
      <c r="D16" s="174"/>
      <c r="E16" s="175"/>
      <c r="F16" s="175"/>
      <c r="G16" s="484" t="s">
        <v>211</v>
      </c>
      <c r="H16" s="176"/>
      <c r="I16" s="168" t="s">
        <v>64</v>
      </c>
      <c r="J16" s="485">
        <f>IF(J11&gt;0,ROUND(J14/J11,5),0)</f>
        <v>0.96060000000000001</v>
      </c>
      <c r="K16" s="168"/>
      <c r="L16" s="168"/>
      <c r="M16" s="168"/>
      <c r="N16" s="109"/>
    </row>
    <row r="17" spans="1:22" x14ac:dyDescent="0.25">
      <c r="A17" s="87"/>
      <c r="J17" s="169"/>
      <c r="K17" s="168"/>
      <c r="L17" s="168"/>
      <c r="M17" s="168"/>
      <c r="N17" s="109"/>
      <c r="R17" s="177"/>
      <c r="S17" s="177"/>
      <c r="T17" s="177"/>
      <c r="U17" s="177"/>
      <c r="V17" s="177"/>
    </row>
    <row r="18" spans="1:22" x14ac:dyDescent="0.25">
      <c r="A18" s="87"/>
      <c r="C18" s="178" t="s">
        <v>65</v>
      </c>
      <c r="J18" s="169"/>
      <c r="K18" s="168"/>
      <c r="L18" s="168"/>
      <c r="M18" s="168"/>
      <c r="N18" s="109"/>
      <c r="R18" s="177"/>
      <c r="S18" s="177"/>
      <c r="T18" s="177"/>
      <c r="U18" s="177"/>
      <c r="V18" s="177"/>
    </row>
    <row r="19" spans="1:22" x14ac:dyDescent="0.25">
      <c r="A19" s="87">
        <v>6</v>
      </c>
      <c r="C19" s="200" t="s">
        <v>216</v>
      </c>
      <c r="E19" s="109"/>
      <c r="F19" s="109"/>
      <c r="G19" s="478" t="s">
        <v>332</v>
      </c>
      <c r="H19" s="179"/>
      <c r="I19" s="109"/>
      <c r="J19" s="479">
        <f>'NITS Pg 3 of 5'!E14</f>
        <v>62384215.790000007</v>
      </c>
      <c r="K19" s="168"/>
      <c r="L19" s="168"/>
      <c r="M19" s="168"/>
      <c r="N19" s="168"/>
      <c r="R19" s="180"/>
      <c r="S19" s="181"/>
      <c r="T19" s="177"/>
      <c r="U19" s="177"/>
      <c r="V19" s="177"/>
    </row>
    <row r="20" spans="1:22" ht="18.75" thickBot="1" x14ac:dyDescent="0.45">
      <c r="A20" s="87">
        <v>7</v>
      </c>
      <c r="C20" s="255" t="s">
        <v>215</v>
      </c>
      <c r="D20" s="171"/>
      <c r="E20" s="172"/>
      <c r="F20" s="180"/>
      <c r="G20" s="481" t="s">
        <v>212</v>
      </c>
      <c r="H20" s="168"/>
      <c r="I20" s="168"/>
      <c r="J20" s="486">
        <f>'Sch 1'!$D$21</f>
        <v>6342693</v>
      </c>
      <c r="K20" s="168"/>
      <c r="L20" s="168"/>
      <c r="M20" s="168"/>
      <c r="N20" s="180"/>
      <c r="R20" s="180"/>
      <c r="S20" s="181"/>
      <c r="T20" s="177"/>
      <c r="U20" s="177"/>
      <c r="V20" s="177"/>
    </row>
    <row r="21" spans="1:22" x14ac:dyDescent="0.25">
      <c r="A21" s="87">
        <v>8</v>
      </c>
      <c r="C21" s="165" t="s">
        <v>214</v>
      </c>
      <c r="D21" s="174"/>
      <c r="E21" s="175"/>
      <c r="F21" s="175"/>
      <c r="G21" s="478" t="s">
        <v>213</v>
      </c>
      <c r="H21" s="176"/>
      <c r="I21" s="175"/>
      <c r="J21" s="479">
        <f>ROUND(J19-J20,0)</f>
        <v>56041523</v>
      </c>
      <c r="M21" s="168"/>
      <c r="N21" s="168"/>
      <c r="S21" s="177"/>
      <c r="T21" s="177"/>
      <c r="U21" s="177"/>
      <c r="V21" s="177"/>
    </row>
    <row r="22" spans="1:22" x14ac:dyDescent="0.25">
      <c r="A22" s="87"/>
      <c r="C22" s="113"/>
      <c r="D22" s="109"/>
      <c r="E22" s="168"/>
      <c r="F22" s="168"/>
      <c r="G22" s="168"/>
      <c r="H22" s="168"/>
      <c r="M22" s="168"/>
      <c r="N22" s="168"/>
      <c r="S22" s="177"/>
      <c r="T22" s="177"/>
      <c r="U22" s="177"/>
      <c r="V22" s="177"/>
    </row>
    <row r="23" spans="1:22" x14ac:dyDescent="0.25">
      <c r="A23" s="87">
        <v>9</v>
      </c>
      <c r="C23" s="165" t="s">
        <v>220</v>
      </c>
      <c r="D23" s="109"/>
      <c r="E23" s="168"/>
      <c r="F23" s="168"/>
      <c r="G23" s="487" t="s">
        <v>217</v>
      </c>
      <c r="H23" s="168"/>
      <c r="I23" s="168"/>
      <c r="J23" s="488">
        <f>ROUND(J21/J19,5)</f>
        <v>0.89832999999999996</v>
      </c>
      <c r="M23" s="168"/>
      <c r="N23" s="168"/>
      <c r="S23" s="182"/>
      <c r="T23" s="177"/>
      <c r="U23" s="177"/>
      <c r="V23" s="177"/>
    </row>
    <row r="24" spans="1:22" x14ac:dyDescent="0.25">
      <c r="A24" s="87">
        <v>10</v>
      </c>
      <c r="C24" s="165" t="s">
        <v>341</v>
      </c>
      <c r="D24" s="109"/>
      <c r="E24" s="168"/>
      <c r="F24" s="168"/>
      <c r="G24" s="481" t="s">
        <v>218</v>
      </c>
      <c r="H24" s="168"/>
      <c r="I24" s="109" t="s">
        <v>9</v>
      </c>
      <c r="J24" s="489">
        <f>J16</f>
        <v>0.96060000000000001</v>
      </c>
      <c r="M24" s="168"/>
      <c r="N24" s="168"/>
      <c r="S24" s="182"/>
      <c r="T24" s="177"/>
      <c r="U24" s="177"/>
      <c r="V24" s="177"/>
    </row>
    <row r="25" spans="1:22" x14ac:dyDescent="0.25">
      <c r="A25" s="87">
        <v>11</v>
      </c>
      <c r="C25" s="165" t="s">
        <v>342</v>
      </c>
      <c r="D25" s="109"/>
      <c r="E25" s="109"/>
      <c r="F25" s="109"/>
      <c r="G25" s="481" t="s">
        <v>219</v>
      </c>
      <c r="H25" s="109"/>
      <c r="I25" s="109" t="s">
        <v>66</v>
      </c>
      <c r="J25" s="490">
        <f>ROUND(J24*J23,5)</f>
        <v>0.86294000000000004</v>
      </c>
      <c r="M25" s="168"/>
      <c r="N25" s="168"/>
      <c r="S25" s="182"/>
      <c r="T25" s="177"/>
      <c r="U25" s="177"/>
      <c r="V25" s="177"/>
    </row>
    <row r="26" spans="1:22" x14ac:dyDescent="0.25">
      <c r="A26" s="87"/>
      <c r="D26" s="109"/>
      <c r="E26" s="168"/>
      <c r="F26" s="168"/>
      <c r="G26" s="168"/>
      <c r="H26" s="173"/>
      <c r="I26" s="168"/>
      <c r="M26" s="168"/>
      <c r="N26" s="168"/>
      <c r="S26" s="184"/>
      <c r="T26" s="177"/>
      <c r="U26" s="177"/>
      <c r="V26" s="177"/>
    </row>
    <row r="27" spans="1:22" x14ac:dyDescent="0.25">
      <c r="A27" s="87" t="s">
        <v>0</v>
      </c>
      <c r="C27" s="254" t="s">
        <v>167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S27" s="181"/>
      <c r="T27" s="177"/>
      <c r="U27" s="177"/>
      <c r="V27" s="177"/>
    </row>
    <row r="28" spans="1:22" x14ac:dyDescent="0.25">
      <c r="A28" s="87" t="s">
        <v>0</v>
      </c>
      <c r="C28" s="178"/>
      <c r="D28" s="491" t="s">
        <v>67</v>
      </c>
      <c r="E28" s="492" t="s">
        <v>230</v>
      </c>
      <c r="F28" s="492" t="s">
        <v>9</v>
      </c>
      <c r="G28" s="168"/>
      <c r="H28" s="492" t="s">
        <v>229</v>
      </c>
      <c r="I28" s="168"/>
      <c r="J28" s="168"/>
      <c r="K28" s="168"/>
      <c r="L28" s="168"/>
      <c r="M28" s="168"/>
      <c r="N28" s="168"/>
      <c r="S28" s="181"/>
      <c r="T28" s="177"/>
      <c r="U28" s="177"/>
      <c r="V28" s="177"/>
    </row>
    <row r="29" spans="1:22" x14ac:dyDescent="0.25">
      <c r="A29" s="87">
        <v>12</v>
      </c>
      <c r="C29" s="178" t="s">
        <v>31</v>
      </c>
      <c r="D29" s="478" t="s">
        <v>174</v>
      </c>
      <c r="E29" s="493">
        <f>'OATT Input Data'!$E$278</f>
        <v>67496084</v>
      </c>
      <c r="F29" s="494">
        <v>0</v>
      </c>
      <c r="G29" s="494"/>
      <c r="H29" s="495">
        <f>ROUND(E29*F29,0)</f>
        <v>0</v>
      </c>
      <c r="I29" s="168"/>
      <c r="J29" s="168"/>
      <c r="K29" s="168"/>
      <c r="L29" s="168"/>
      <c r="M29" s="168"/>
      <c r="N29" s="197"/>
      <c r="S29" s="177"/>
      <c r="T29" s="177"/>
      <c r="U29" s="177"/>
      <c r="V29" s="177"/>
    </row>
    <row r="30" spans="1:22" x14ac:dyDescent="0.25">
      <c r="A30" s="87">
        <v>13</v>
      </c>
      <c r="C30" s="178" t="s">
        <v>33</v>
      </c>
      <c r="D30" s="478" t="s">
        <v>221</v>
      </c>
      <c r="E30" s="187">
        <f>'OATT Input Data'!$E$279</f>
        <v>9273951</v>
      </c>
      <c r="F30" s="488">
        <f>+J16</f>
        <v>0.96060000000000001</v>
      </c>
      <c r="G30" s="494"/>
      <c r="H30" s="187">
        <f t="shared" ref="H30:H32" si="0">ROUND(E30*F30,0)</f>
        <v>8908557</v>
      </c>
      <c r="I30" s="168"/>
      <c r="J30" s="168"/>
      <c r="K30" s="168"/>
      <c r="L30" s="168"/>
      <c r="M30" s="109"/>
      <c r="N30" s="496"/>
    </row>
    <row r="31" spans="1:22" x14ac:dyDescent="0.25">
      <c r="A31" s="87">
        <v>14</v>
      </c>
      <c r="C31" s="178" t="s">
        <v>34</v>
      </c>
      <c r="D31" s="478" t="s">
        <v>222</v>
      </c>
      <c r="E31" s="187">
        <f>'OATT Input Data'!$E$280</f>
        <v>29064167</v>
      </c>
      <c r="F31" s="494">
        <v>0</v>
      </c>
      <c r="G31" s="494"/>
      <c r="H31" s="497">
        <f t="shared" si="0"/>
        <v>0</v>
      </c>
      <c r="I31" s="168"/>
      <c r="J31" s="498" t="s">
        <v>68</v>
      </c>
      <c r="K31" s="168"/>
      <c r="L31" s="168"/>
      <c r="M31" s="168"/>
      <c r="N31" s="496"/>
    </row>
    <row r="32" spans="1:22" ht="22.5" customHeight="1" x14ac:dyDescent="0.4">
      <c r="A32" s="87">
        <v>15</v>
      </c>
      <c r="C32" s="178" t="s">
        <v>69</v>
      </c>
      <c r="D32" s="478" t="s">
        <v>849</v>
      </c>
      <c r="E32" s="499">
        <f>'OATT Input Data'!$E$285</f>
        <v>19701769</v>
      </c>
      <c r="F32" s="494">
        <v>0</v>
      </c>
      <c r="G32" s="494"/>
      <c r="H32" s="482">
        <f t="shared" si="0"/>
        <v>0</v>
      </c>
      <c r="I32" s="168"/>
      <c r="J32" s="500" t="s">
        <v>393</v>
      </c>
      <c r="K32" s="168"/>
      <c r="L32" s="168"/>
      <c r="M32" s="168"/>
      <c r="N32" s="496"/>
    </row>
    <row r="33" spans="1:22" x14ac:dyDescent="0.25">
      <c r="A33" s="87">
        <v>16</v>
      </c>
      <c r="C33" s="254" t="s">
        <v>223</v>
      </c>
      <c r="D33" s="483" t="s">
        <v>224</v>
      </c>
      <c r="E33" s="493">
        <f>ROUND(SUM(E29:E32),0)</f>
        <v>125535971</v>
      </c>
      <c r="F33" s="168"/>
      <c r="G33" s="168"/>
      <c r="H33" s="493">
        <f>ROUND(SUM(H29:H32),0)</f>
        <v>8908557</v>
      </c>
      <c r="I33" s="179" t="s">
        <v>70</v>
      </c>
      <c r="J33" s="488">
        <f>IF(H33&gt;0,ROUND(H33/E33,5),0)</f>
        <v>7.0959999999999995E-2</v>
      </c>
      <c r="K33" s="591" t="s">
        <v>323</v>
      </c>
      <c r="L33" s="168"/>
      <c r="M33" s="168"/>
      <c r="N33" s="168"/>
      <c r="O33" s="168"/>
      <c r="P33" s="178"/>
    </row>
    <row r="34" spans="1:22" x14ac:dyDescent="0.25">
      <c r="A34" s="87"/>
      <c r="C34" s="178"/>
      <c r="D34" s="483"/>
      <c r="E34" s="187"/>
      <c r="F34" s="168"/>
      <c r="G34" s="168"/>
      <c r="H34" s="168"/>
      <c r="I34" s="168"/>
      <c r="J34" s="168"/>
      <c r="K34" s="168"/>
      <c r="L34" s="168"/>
      <c r="M34" s="168" t="s">
        <v>0</v>
      </c>
      <c r="N34" s="168"/>
      <c r="O34" s="168"/>
      <c r="P34" s="178"/>
    </row>
    <row r="35" spans="1:22" x14ac:dyDescent="0.25">
      <c r="A35" s="87"/>
      <c r="C35" s="254" t="s">
        <v>225</v>
      </c>
      <c r="D35" s="483" t="s">
        <v>226</v>
      </c>
      <c r="E35" s="18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78"/>
    </row>
    <row r="36" spans="1:22" x14ac:dyDescent="0.25">
      <c r="A36" s="87"/>
      <c r="C36" s="178"/>
      <c r="D36" s="483"/>
      <c r="E36" s="501" t="s">
        <v>231</v>
      </c>
      <c r="F36" s="168"/>
      <c r="G36" s="168"/>
      <c r="H36" s="173"/>
      <c r="I36" s="502" t="s">
        <v>0</v>
      </c>
      <c r="J36" s="503"/>
      <c r="M36" s="168"/>
      <c r="N36" s="168"/>
      <c r="O36" s="168"/>
      <c r="P36" s="180"/>
      <c r="Q36" s="193"/>
    </row>
    <row r="37" spans="1:22" x14ac:dyDescent="0.25">
      <c r="A37" s="87">
        <v>17</v>
      </c>
      <c r="C37" s="178" t="s">
        <v>71</v>
      </c>
      <c r="D37" s="483" t="s">
        <v>72</v>
      </c>
      <c r="E37" s="493">
        <f>ROUND('OATT Input Data'!E290,0)</f>
        <v>13520553253</v>
      </c>
      <c r="F37" s="168"/>
      <c r="H37" s="504"/>
      <c r="I37" s="505"/>
      <c r="J37" s="87"/>
      <c r="K37" s="168"/>
      <c r="L37" s="179"/>
      <c r="M37" s="168"/>
      <c r="N37" s="168"/>
      <c r="O37" s="168"/>
      <c r="P37" s="168"/>
      <c r="Q37" s="168"/>
      <c r="R37" s="194"/>
      <c r="S37" s="187"/>
      <c r="T37" s="194"/>
      <c r="U37" s="194"/>
    </row>
    <row r="38" spans="1:22" x14ac:dyDescent="0.25">
      <c r="A38" s="87">
        <v>18</v>
      </c>
      <c r="C38" s="178" t="s">
        <v>73</v>
      </c>
      <c r="D38" s="483" t="s">
        <v>74</v>
      </c>
      <c r="E38" s="187">
        <f>ROUND('OATT Input Data'!E291,0)</f>
        <v>1201022730</v>
      </c>
      <c r="F38" s="168"/>
      <c r="I38" s="173"/>
      <c r="K38" s="502"/>
      <c r="M38" s="168"/>
      <c r="N38" s="168"/>
      <c r="O38" s="168"/>
      <c r="P38" s="178"/>
      <c r="Q38" s="168"/>
      <c r="R38" s="187"/>
      <c r="S38" s="187"/>
      <c r="T38" s="194"/>
      <c r="U38" s="194"/>
    </row>
    <row r="39" spans="1:22" ht="18" x14ac:dyDescent="0.4">
      <c r="A39" s="87">
        <v>19</v>
      </c>
      <c r="C39" s="181" t="s">
        <v>75</v>
      </c>
      <c r="D39" s="506" t="s">
        <v>76</v>
      </c>
      <c r="E39" s="482">
        <f>ROUND('OATT Input Data'!E292,0)</f>
        <v>0</v>
      </c>
      <c r="F39" s="168"/>
      <c r="G39" s="168"/>
      <c r="H39" s="168" t="s">
        <v>0</v>
      </c>
      <c r="I39" s="168"/>
      <c r="J39" s="168"/>
      <c r="K39" s="168"/>
      <c r="L39" s="168"/>
      <c r="M39" s="168"/>
      <c r="N39" s="168"/>
      <c r="O39" s="168"/>
      <c r="P39" s="178"/>
      <c r="R39" s="187"/>
      <c r="S39" s="187"/>
      <c r="T39" s="187"/>
      <c r="U39" s="187"/>
    </row>
    <row r="40" spans="1:22" x14ac:dyDescent="0.25">
      <c r="A40" s="87">
        <v>20</v>
      </c>
      <c r="C40" s="254" t="s">
        <v>228</v>
      </c>
      <c r="D40" s="483" t="s">
        <v>227</v>
      </c>
      <c r="E40" s="493">
        <f>ROUND(SUM(E37:E39),0)</f>
        <v>14721575983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78"/>
      <c r="R40" s="187"/>
      <c r="S40" s="187"/>
      <c r="T40" s="187"/>
      <c r="U40" s="187"/>
    </row>
    <row r="41" spans="1:22" x14ac:dyDescent="0.25">
      <c r="A41" s="87">
        <v>21</v>
      </c>
      <c r="C41" s="507" t="s">
        <v>313</v>
      </c>
      <c r="D41" s="483" t="s">
        <v>314</v>
      </c>
      <c r="F41" s="508">
        <f>IF(E40&gt;0,ROUND(E37/E40,5),0)</f>
        <v>0.91842000000000001</v>
      </c>
      <c r="G41" s="509" t="s">
        <v>324</v>
      </c>
      <c r="H41" s="508">
        <f>J33</f>
        <v>7.0959999999999995E-2</v>
      </c>
      <c r="I41" s="168"/>
      <c r="J41" s="508">
        <f>ROUND(H41*F41,5)</f>
        <v>6.5170000000000006E-2</v>
      </c>
      <c r="K41" s="510" t="s">
        <v>315</v>
      </c>
      <c r="L41" s="168"/>
      <c r="M41" s="168"/>
      <c r="N41" s="168"/>
      <c r="O41" s="168"/>
      <c r="P41" s="178"/>
      <c r="R41" s="187"/>
      <c r="S41" s="187"/>
      <c r="T41" s="187"/>
      <c r="U41" s="187"/>
    </row>
    <row r="42" spans="1:22" x14ac:dyDescent="0.25">
      <c r="A42" s="87"/>
      <c r="C42" s="507"/>
      <c r="D42" s="483"/>
      <c r="F42" s="508"/>
      <c r="G42" s="511"/>
      <c r="H42" s="508"/>
      <c r="I42" s="168"/>
      <c r="J42" s="508"/>
      <c r="K42" s="510"/>
      <c r="L42" s="168"/>
      <c r="M42" s="168"/>
      <c r="N42" s="168"/>
      <c r="O42" s="168"/>
      <c r="P42" s="178"/>
      <c r="R42" s="187"/>
      <c r="S42" s="187"/>
      <c r="T42" s="187"/>
      <c r="U42" s="187"/>
    </row>
    <row r="43" spans="1:22" x14ac:dyDescent="0.25">
      <c r="A43" s="87"/>
      <c r="B43" s="113"/>
      <c r="C43" s="165" t="s">
        <v>316</v>
      </c>
      <c r="D43" s="168"/>
      <c r="E43" s="512" t="s">
        <v>232</v>
      </c>
      <c r="F43" s="168"/>
      <c r="G43" s="168"/>
      <c r="H43" s="168"/>
      <c r="I43" s="168"/>
      <c r="K43" s="168"/>
      <c r="L43" s="168"/>
      <c r="M43" s="168"/>
      <c r="N43" s="168"/>
      <c r="O43" s="168"/>
      <c r="P43" s="179"/>
      <c r="Q43" s="196"/>
      <c r="R43" s="187"/>
      <c r="S43" s="187"/>
      <c r="T43" s="187"/>
      <c r="U43" s="187"/>
    </row>
    <row r="44" spans="1:22" x14ac:dyDescent="0.25">
      <c r="A44" s="87">
        <v>22</v>
      </c>
      <c r="B44" s="113"/>
      <c r="C44" s="513" t="s">
        <v>77</v>
      </c>
      <c r="D44" s="478" t="s">
        <v>343</v>
      </c>
      <c r="E44" s="493">
        <f>'OATT Input Data'!$E$307</f>
        <v>167245301</v>
      </c>
      <c r="F44" s="168"/>
      <c r="H44" s="168"/>
      <c r="I44" s="168"/>
      <c r="K44" s="168"/>
      <c r="L44" s="168"/>
      <c r="M44" s="168"/>
      <c r="N44" s="168"/>
      <c r="O44" s="197"/>
      <c r="P44" s="168"/>
      <c r="Q44" s="168"/>
      <c r="R44" s="194"/>
      <c r="S44" s="194"/>
      <c r="T44" s="194"/>
      <c r="U44" s="194"/>
    </row>
    <row r="45" spans="1:22" x14ac:dyDescent="0.25">
      <c r="A45" s="87">
        <v>23</v>
      </c>
      <c r="B45" s="113"/>
      <c r="C45" s="513" t="s">
        <v>126</v>
      </c>
      <c r="D45" s="478" t="s">
        <v>233</v>
      </c>
      <c r="E45" s="497">
        <v>0</v>
      </c>
      <c r="F45" s="168"/>
      <c r="H45" s="168"/>
      <c r="I45" s="168"/>
      <c r="K45" s="168"/>
      <c r="L45" s="168"/>
      <c r="M45" s="168"/>
      <c r="N45" s="168"/>
      <c r="O45" s="168"/>
      <c r="P45" s="198"/>
      <c r="Q45" s="198"/>
      <c r="R45" s="187"/>
      <c r="S45" s="187"/>
      <c r="T45" s="187"/>
      <c r="U45" s="187"/>
    </row>
    <row r="46" spans="1:22" x14ac:dyDescent="0.25">
      <c r="A46" s="87"/>
      <c r="B46" s="113"/>
      <c r="C46" s="165" t="s">
        <v>129</v>
      </c>
      <c r="D46" s="168"/>
      <c r="E46" s="168"/>
      <c r="F46" s="168"/>
      <c r="G46" s="168"/>
      <c r="H46" s="168"/>
      <c r="I46" s="168"/>
      <c r="K46" s="168"/>
      <c r="L46" s="168"/>
      <c r="M46" s="168"/>
      <c r="N46" s="168"/>
      <c r="O46" s="168"/>
      <c r="P46" s="198"/>
      <c r="Q46" s="198"/>
      <c r="R46" s="194"/>
      <c r="S46" s="194"/>
      <c r="T46" s="194"/>
      <c r="U46" s="194"/>
      <c r="V46" s="200"/>
    </row>
    <row r="47" spans="1:22" x14ac:dyDescent="0.25">
      <c r="A47" s="87">
        <v>24</v>
      </c>
      <c r="B47" s="113"/>
      <c r="C47" s="513" t="s">
        <v>78</v>
      </c>
      <c r="D47" s="478" t="s">
        <v>344</v>
      </c>
      <c r="E47" s="493">
        <f>'OATT Input Data'!$E$323</f>
        <v>5133136681</v>
      </c>
      <c r="F47" s="168"/>
      <c r="H47" s="168"/>
      <c r="I47" s="168"/>
      <c r="K47" s="168"/>
      <c r="L47" s="168"/>
      <c r="M47" s="168"/>
      <c r="N47" s="168"/>
      <c r="O47" s="168"/>
      <c r="P47" s="168"/>
      <c r="Q47" s="168"/>
      <c r="R47" s="194"/>
      <c r="S47" s="194"/>
      <c r="T47" s="194"/>
      <c r="U47" s="194"/>
      <c r="V47" s="200"/>
    </row>
    <row r="48" spans="1:22" x14ac:dyDescent="0.25">
      <c r="A48" s="87">
        <v>25</v>
      </c>
      <c r="B48" s="113"/>
      <c r="C48" s="513" t="s">
        <v>318</v>
      </c>
      <c r="D48" s="478" t="s">
        <v>345</v>
      </c>
      <c r="E48" s="514">
        <f>-E54</f>
        <v>0</v>
      </c>
      <c r="F48" s="168"/>
      <c r="H48" s="168"/>
      <c r="I48" s="168"/>
      <c r="K48" s="168"/>
      <c r="L48" s="168"/>
      <c r="M48" s="168"/>
      <c r="N48" s="168"/>
      <c r="O48" s="168"/>
      <c r="P48" s="201"/>
      <c r="Q48" s="173"/>
      <c r="R48" s="194"/>
      <c r="S48" s="194"/>
      <c r="T48" s="194"/>
      <c r="U48" s="194"/>
    </row>
    <row r="49" spans="1:21" ht="18" x14ac:dyDescent="0.4">
      <c r="A49" s="87">
        <v>26</v>
      </c>
      <c r="B49" s="113"/>
      <c r="C49" s="513" t="s">
        <v>234</v>
      </c>
      <c r="D49" s="483" t="s">
        <v>235</v>
      </c>
      <c r="E49" s="486">
        <f>'OATT Input Data'!$E$334</f>
        <v>0</v>
      </c>
      <c r="F49" s="168"/>
      <c r="H49" s="168"/>
      <c r="I49" s="168"/>
      <c r="K49" s="168"/>
      <c r="L49" s="168"/>
      <c r="M49" s="168"/>
      <c r="N49" s="168"/>
      <c r="O49" s="168"/>
      <c r="P49" s="179"/>
      <c r="Q49" s="196"/>
      <c r="R49" s="194"/>
      <c r="S49" s="194"/>
      <c r="T49" s="194"/>
      <c r="U49" s="194"/>
    </row>
    <row r="50" spans="1:21" x14ac:dyDescent="0.25">
      <c r="A50" s="87">
        <v>27</v>
      </c>
      <c r="B50" s="113"/>
      <c r="C50" s="515" t="s">
        <v>346</v>
      </c>
      <c r="D50" s="516" t="s">
        <v>325</v>
      </c>
      <c r="E50" s="493">
        <f>ROUND(SUM(E47:E49),0)</f>
        <v>5133136681</v>
      </c>
      <c r="F50" s="113"/>
      <c r="H50" s="517"/>
      <c r="I50" s="113"/>
      <c r="K50" s="168"/>
      <c r="L50" s="168"/>
      <c r="M50" s="168"/>
      <c r="N50" s="168"/>
      <c r="O50" s="168"/>
      <c r="P50" s="168"/>
      <c r="Q50" s="168"/>
      <c r="R50" s="194"/>
      <c r="S50" s="194"/>
      <c r="T50" s="187"/>
      <c r="U50" s="187"/>
    </row>
    <row r="51" spans="1:21" x14ac:dyDescent="0.25">
      <c r="A51" s="87"/>
      <c r="B51" s="113"/>
      <c r="C51" s="113"/>
      <c r="D51" s="168"/>
      <c r="E51" s="113"/>
      <c r="F51" s="113"/>
      <c r="G51" s="518"/>
      <c r="H51" s="87" t="s">
        <v>237</v>
      </c>
      <c r="I51" s="113"/>
      <c r="J51" s="493"/>
      <c r="K51" s="168"/>
      <c r="L51" s="168"/>
      <c r="M51" s="168"/>
      <c r="N51" s="168"/>
      <c r="O51" s="168"/>
      <c r="P51" s="168"/>
      <c r="Q51" s="168"/>
      <c r="R51" s="194"/>
      <c r="S51" s="194"/>
      <c r="T51" s="187"/>
      <c r="U51" s="187"/>
    </row>
    <row r="52" spans="1:21" x14ac:dyDescent="0.25">
      <c r="A52" s="87"/>
      <c r="C52" s="178" t="s">
        <v>347</v>
      </c>
      <c r="D52" s="168"/>
      <c r="E52" s="519" t="s">
        <v>327</v>
      </c>
      <c r="F52" s="520" t="s">
        <v>79</v>
      </c>
      <c r="G52" s="168"/>
      <c r="H52" s="519" t="s">
        <v>138</v>
      </c>
      <c r="I52" s="168"/>
      <c r="J52" s="520" t="s">
        <v>80</v>
      </c>
      <c r="K52" s="168"/>
      <c r="L52" s="168"/>
      <c r="M52" s="168"/>
      <c r="N52" s="168"/>
      <c r="O52" s="168"/>
      <c r="P52" s="179"/>
      <c r="Q52" s="196"/>
      <c r="R52" s="187"/>
      <c r="S52" s="187"/>
      <c r="T52" s="187"/>
      <c r="U52" s="187"/>
    </row>
    <row r="53" spans="1:21" x14ac:dyDescent="0.25">
      <c r="A53" s="87">
        <v>28</v>
      </c>
      <c r="C53" s="165" t="s">
        <v>282</v>
      </c>
      <c r="D53" s="481" t="s">
        <v>402</v>
      </c>
      <c r="E53" s="493">
        <f>'OATT Input Data'!$E$342</f>
        <v>4153999344</v>
      </c>
      <c r="F53" s="521">
        <f>ROUND(E53/E56,4)</f>
        <v>0.44729999999999998</v>
      </c>
      <c r="G53" s="522"/>
      <c r="H53" s="522">
        <f>IF(E53&gt;0.01,ROUND(E44/E53,4),0)</f>
        <v>4.0300000000000002E-2</v>
      </c>
      <c r="J53" s="523">
        <f>ROUND(F53*H53,4)</f>
        <v>1.7999999999999999E-2</v>
      </c>
      <c r="K53" s="591" t="s">
        <v>326</v>
      </c>
      <c r="M53" s="168"/>
      <c r="N53" s="168"/>
      <c r="O53" s="168"/>
      <c r="P53" s="179"/>
      <c r="Q53" s="196"/>
      <c r="R53" s="187"/>
      <c r="S53" s="187"/>
      <c r="T53" s="187"/>
      <c r="U53" s="187"/>
    </row>
    <row r="54" spans="1:21" x14ac:dyDescent="0.25">
      <c r="A54" s="87">
        <v>29</v>
      </c>
      <c r="C54" s="165" t="s">
        <v>283</v>
      </c>
      <c r="D54" s="124" t="s">
        <v>236</v>
      </c>
      <c r="E54" s="497">
        <v>0</v>
      </c>
      <c r="F54" s="521">
        <f>ROUND(E54/E56,4)+0.000001</f>
        <v>9.9999999999999995E-7</v>
      </c>
      <c r="G54" s="522"/>
      <c r="H54" s="522">
        <f>IF(E54&gt;0.01,E45/E54,0.00001)</f>
        <v>1.0000000000000001E-5</v>
      </c>
      <c r="J54" s="523">
        <f>F54*H54</f>
        <v>1.0000000000000001E-11</v>
      </c>
      <c r="K54" s="168"/>
      <c r="M54" s="168"/>
      <c r="N54" s="168"/>
      <c r="O54" s="168"/>
      <c r="P54" s="179"/>
      <c r="Q54" s="196"/>
      <c r="R54" s="187"/>
      <c r="S54" s="187"/>
      <c r="T54" s="187"/>
      <c r="U54" s="187"/>
    </row>
    <row r="55" spans="1:21" x14ac:dyDescent="0.25">
      <c r="A55" s="87">
        <v>30</v>
      </c>
      <c r="C55" s="165" t="s">
        <v>284</v>
      </c>
      <c r="D55" s="481" t="s">
        <v>348</v>
      </c>
      <c r="E55" s="524">
        <f>E50</f>
        <v>5133136681</v>
      </c>
      <c r="F55" s="521">
        <f>ROUND(E55/E56,4)</f>
        <v>0.55269999999999997</v>
      </c>
      <c r="G55" s="522"/>
      <c r="H55" s="522">
        <v>0.10879999999999999</v>
      </c>
      <c r="J55" s="525">
        <f t="shared" ref="J55" si="1">ROUND(F55*H55,4)</f>
        <v>6.0100000000000001E-2</v>
      </c>
      <c r="K55" s="168"/>
      <c r="M55" s="168"/>
      <c r="N55" s="168"/>
      <c r="O55" s="197"/>
      <c r="P55" s="198"/>
      <c r="Q55" s="198"/>
      <c r="R55" s="187"/>
      <c r="S55" s="187"/>
      <c r="T55" s="187"/>
      <c r="U55" s="187"/>
    </row>
    <row r="56" spans="1:21" x14ac:dyDescent="0.25">
      <c r="A56" s="87">
        <v>31</v>
      </c>
      <c r="C56" s="254" t="s">
        <v>285</v>
      </c>
      <c r="D56" s="481" t="s">
        <v>328</v>
      </c>
      <c r="E56" s="493">
        <f>ROUND(SUM(E53:E55),0)</f>
        <v>9287136025</v>
      </c>
      <c r="F56" s="168" t="s">
        <v>0</v>
      </c>
      <c r="G56" s="168"/>
      <c r="H56" s="168"/>
      <c r="I56" s="168"/>
      <c r="J56" s="523">
        <f>SUM(J53:J55)</f>
        <v>7.8100000010000004E-2</v>
      </c>
      <c r="K56" s="591" t="s">
        <v>317</v>
      </c>
      <c r="M56" s="168"/>
      <c r="N56" s="168"/>
      <c r="O56" s="197"/>
      <c r="P56" s="198"/>
      <c r="Q56" s="198"/>
      <c r="R56" s="187"/>
      <c r="S56" s="187"/>
      <c r="T56" s="187"/>
      <c r="U56" s="187"/>
    </row>
    <row r="57" spans="1:21" x14ac:dyDescent="0.25">
      <c r="A57" s="87"/>
      <c r="L57" s="168"/>
      <c r="M57" s="168"/>
      <c r="N57" s="168"/>
      <c r="O57" s="197"/>
      <c r="P57" s="168"/>
      <c r="Q57" s="168"/>
      <c r="R57" s="194"/>
      <c r="S57" s="187"/>
      <c r="T57" s="194"/>
      <c r="U57" s="194"/>
    </row>
    <row r="58" spans="1:21" x14ac:dyDescent="0.25">
      <c r="A58" s="87"/>
      <c r="C58" s="526" t="s">
        <v>81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68"/>
      <c r="N58" s="173"/>
      <c r="P58" s="198"/>
      <c r="Q58" s="203"/>
    </row>
    <row r="59" spans="1:21" x14ac:dyDescent="0.25">
      <c r="A59" s="87"/>
      <c r="C59" s="526" t="s">
        <v>83</v>
      </c>
      <c r="D59" s="113"/>
      <c r="G59" s="113"/>
      <c r="I59" s="518"/>
      <c r="J59" s="520" t="s">
        <v>82</v>
      </c>
      <c r="K59" s="1"/>
      <c r="O59" s="168"/>
      <c r="P59" s="201"/>
      <c r="Q59" s="173"/>
    </row>
    <row r="60" spans="1:21" x14ac:dyDescent="0.25">
      <c r="A60" s="87">
        <v>32</v>
      </c>
      <c r="C60" s="200" t="s">
        <v>403</v>
      </c>
      <c r="D60" s="113"/>
      <c r="F60" s="516" t="s">
        <v>319</v>
      </c>
      <c r="G60" s="113"/>
      <c r="J60" s="527">
        <v>0</v>
      </c>
      <c r="K60" s="592"/>
      <c r="O60" s="168"/>
      <c r="P60" s="178"/>
    </row>
    <row r="61" spans="1:21" ht="18" x14ac:dyDescent="0.4">
      <c r="A61" s="87">
        <v>33</v>
      </c>
      <c r="C61" s="528" t="s">
        <v>404</v>
      </c>
      <c r="D61" s="529"/>
      <c r="E61" s="530"/>
      <c r="F61" s="516" t="s">
        <v>330</v>
      </c>
      <c r="G61" s="531"/>
      <c r="I61" s="113"/>
      <c r="J61" s="532">
        <f>+J60</f>
        <v>0</v>
      </c>
      <c r="K61" s="593"/>
      <c r="O61" s="168"/>
      <c r="P61" s="178"/>
    </row>
    <row r="62" spans="1:21" x14ac:dyDescent="0.25">
      <c r="A62" s="87">
        <v>34</v>
      </c>
      <c r="C62" s="200" t="s">
        <v>405</v>
      </c>
      <c r="D62" s="109"/>
      <c r="F62" s="533" t="s">
        <v>329</v>
      </c>
      <c r="G62" s="531"/>
      <c r="I62" s="113"/>
      <c r="J62" s="534">
        <f>+J60-J61</f>
        <v>0</v>
      </c>
      <c r="K62" s="592"/>
      <c r="O62" s="168"/>
      <c r="P62" s="178"/>
    </row>
    <row r="63" spans="1:21" x14ac:dyDescent="0.25">
      <c r="A63" s="87"/>
      <c r="C63" s="200" t="s">
        <v>0</v>
      </c>
      <c r="D63" s="109"/>
      <c r="F63" s="113"/>
      <c r="G63" s="113"/>
      <c r="H63" s="535"/>
      <c r="I63" s="113"/>
      <c r="J63" s="60" t="s">
        <v>0</v>
      </c>
      <c r="K63" s="1"/>
      <c r="L63" s="205"/>
      <c r="M63" s="168"/>
      <c r="N63" s="173"/>
      <c r="O63" s="168"/>
      <c r="P63" s="178"/>
    </row>
    <row r="64" spans="1:21" x14ac:dyDescent="0.25">
      <c r="A64" s="87">
        <v>35</v>
      </c>
      <c r="C64" s="165" t="s">
        <v>241</v>
      </c>
      <c r="D64" s="109"/>
      <c r="F64" s="516" t="s">
        <v>239</v>
      </c>
      <c r="G64" s="113"/>
      <c r="H64" s="536"/>
      <c r="I64" s="113"/>
      <c r="J64" s="537">
        <v>0</v>
      </c>
      <c r="K64" s="1"/>
      <c r="L64" s="205"/>
      <c r="M64" s="168"/>
      <c r="N64" s="173"/>
      <c r="O64" s="168"/>
      <c r="P64" s="178"/>
    </row>
    <row r="65" spans="1:19" x14ac:dyDescent="0.25">
      <c r="C65" s="165" t="s">
        <v>240</v>
      </c>
      <c r="D65" s="113"/>
      <c r="E65" s="518" t="s">
        <v>84</v>
      </c>
      <c r="F65" s="516" t="s">
        <v>406</v>
      </c>
      <c r="G65" s="113"/>
      <c r="H65" s="113"/>
      <c r="I65" s="113"/>
      <c r="L65" s="206"/>
      <c r="M65" s="168"/>
      <c r="N65" s="173"/>
      <c r="O65" s="109"/>
      <c r="P65" s="173"/>
    </row>
    <row r="66" spans="1:19" x14ac:dyDescent="0.25">
      <c r="A66" s="87">
        <v>36</v>
      </c>
      <c r="C66" s="526" t="s">
        <v>85</v>
      </c>
      <c r="D66" s="168"/>
      <c r="E66" s="168"/>
      <c r="F66" s="168"/>
      <c r="G66" s="168"/>
      <c r="H66" s="168"/>
      <c r="I66" s="168"/>
      <c r="J66" s="538">
        <f>'OATT Input Data'!$E$350</f>
        <v>39591884</v>
      </c>
      <c r="K66" s="9"/>
      <c r="L66" s="206"/>
      <c r="M66" s="168"/>
      <c r="N66" s="173"/>
      <c r="O66" s="109"/>
      <c r="P66" s="539"/>
      <c r="Q66" s="539"/>
    </row>
    <row r="67" spans="1:19" ht="18" x14ac:dyDescent="0.4">
      <c r="A67" s="87">
        <v>37</v>
      </c>
      <c r="C67" s="540" t="s">
        <v>86</v>
      </c>
      <c r="D67" s="541"/>
      <c r="E67" s="541"/>
      <c r="F67" s="531"/>
      <c r="G67" s="531"/>
      <c r="H67" s="113"/>
      <c r="I67" s="113"/>
      <c r="J67" s="542">
        <f>'OATT Input Data'!$E$400</f>
        <v>33588129</v>
      </c>
      <c r="L67" s="208"/>
      <c r="M67" s="113"/>
      <c r="N67" s="87"/>
      <c r="O67" s="109"/>
      <c r="P67" s="543"/>
    </row>
    <row r="68" spans="1:19" x14ac:dyDescent="0.25">
      <c r="A68" s="87">
        <v>38</v>
      </c>
      <c r="C68" s="200" t="s">
        <v>238</v>
      </c>
      <c r="D68" s="87"/>
      <c r="E68" s="168"/>
      <c r="F68" s="533" t="s">
        <v>349</v>
      </c>
      <c r="G68" s="168"/>
      <c r="H68" s="168"/>
      <c r="I68" s="113"/>
      <c r="J68" s="145">
        <f>+J66-J67</f>
        <v>6003755</v>
      </c>
      <c r="K68" s="9"/>
      <c r="L68" s="9"/>
      <c r="M68" s="113"/>
      <c r="N68" s="87"/>
      <c r="O68" s="109"/>
      <c r="P68" s="543"/>
    </row>
    <row r="69" spans="1:19" x14ac:dyDescent="0.25">
      <c r="C69" s="200"/>
      <c r="Q69" s="124"/>
      <c r="R69" s="124"/>
      <c r="S69" s="124"/>
    </row>
    <row r="70" spans="1:19" x14ac:dyDescent="0.25">
      <c r="Q70" s="124"/>
      <c r="R70" s="124"/>
      <c r="S70" s="124"/>
    </row>
    <row r="71" spans="1:19" x14ac:dyDescent="0.25">
      <c r="Q71" s="124"/>
      <c r="R71" s="124"/>
      <c r="S71" s="124"/>
    </row>
    <row r="72" spans="1:19" x14ac:dyDescent="0.25">
      <c r="Q72" s="124"/>
      <c r="R72" s="124"/>
      <c r="S72" s="124"/>
    </row>
    <row r="73" spans="1:19" x14ac:dyDescent="0.25">
      <c r="Q73" s="124"/>
      <c r="R73" s="124"/>
      <c r="S73" s="124"/>
    </row>
    <row r="74" spans="1:19" x14ac:dyDescent="0.25">
      <c r="Q74" s="124"/>
      <c r="R74" s="124"/>
      <c r="S74" s="124"/>
    </row>
    <row r="75" spans="1:19" x14ac:dyDescent="0.25">
      <c r="Q75" s="124"/>
      <c r="R75" s="124"/>
      <c r="S75" s="124"/>
    </row>
    <row r="76" spans="1:19" x14ac:dyDescent="0.25">
      <c r="Q76" s="124"/>
      <c r="R76" s="124"/>
      <c r="S76" s="124"/>
    </row>
    <row r="77" spans="1:19" x14ac:dyDescent="0.25">
      <c r="Q77" s="124"/>
      <c r="R77" s="124"/>
      <c r="S77" s="124"/>
    </row>
    <row r="78" spans="1:19" x14ac:dyDescent="0.25">
      <c r="Q78" s="124"/>
      <c r="R78" s="124"/>
      <c r="S78" s="124"/>
    </row>
    <row r="79" spans="1:19" x14ac:dyDescent="0.25">
      <c r="Q79" s="124"/>
      <c r="R79" s="124"/>
      <c r="S79" s="124"/>
    </row>
    <row r="80" spans="1:19" x14ac:dyDescent="0.25">
      <c r="Q80" s="124"/>
      <c r="R80" s="124"/>
      <c r="S80" s="124"/>
    </row>
    <row r="81" spans="17:19" x14ac:dyDescent="0.25">
      <c r="Q81" s="124"/>
      <c r="R81" s="124"/>
      <c r="S81" s="124"/>
    </row>
    <row r="82" spans="17:19" x14ac:dyDescent="0.25">
      <c r="Q82" s="124"/>
      <c r="R82" s="124"/>
      <c r="S82" s="124"/>
    </row>
    <row r="83" spans="17:19" x14ac:dyDescent="0.25">
      <c r="Q83" s="124"/>
      <c r="R83" s="124"/>
      <c r="S83" s="124"/>
    </row>
    <row r="84" spans="17:19" x14ac:dyDescent="0.25">
      <c r="Q84" s="124"/>
      <c r="R84" s="124"/>
      <c r="S84" s="124"/>
    </row>
    <row r="85" spans="17:19" x14ac:dyDescent="0.25">
      <c r="Q85" s="124"/>
      <c r="R85" s="124"/>
      <c r="S85" s="124"/>
    </row>
    <row r="86" spans="17:19" x14ac:dyDescent="0.25">
      <c r="Q86" s="124"/>
      <c r="R86" s="124"/>
      <c r="S86" s="124"/>
    </row>
    <row r="87" spans="17:19" x14ac:dyDescent="0.25">
      <c r="Q87" s="124"/>
      <c r="R87" s="124"/>
      <c r="S87" s="124"/>
    </row>
    <row r="88" spans="17:19" x14ac:dyDescent="0.25">
      <c r="Q88" s="124"/>
      <c r="R88" s="124"/>
      <c r="S88" s="124"/>
    </row>
    <row r="89" spans="17:19" x14ac:dyDescent="0.25">
      <c r="Q89" s="124"/>
      <c r="R89" s="124"/>
      <c r="S89" s="124"/>
    </row>
    <row r="90" spans="17:19" x14ac:dyDescent="0.25">
      <c r="Q90" s="124"/>
      <c r="R90" s="124"/>
      <c r="S90" s="124"/>
    </row>
    <row r="91" spans="17:19" x14ac:dyDescent="0.25">
      <c r="Q91" s="124"/>
      <c r="R91" s="124"/>
      <c r="S91" s="124"/>
    </row>
    <row r="92" spans="17:19" x14ac:dyDescent="0.25">
      <c r="Q92" s="124"/>
      <c r="R92" s="124"/>
      <c r="S92" s="124"/>
    </row>
    <row r="93" spans="17:19" x14ac:dyDescent="0.25">
      <c r="Q93" s="124"/>
      <c r="R93" s="124"/>
      <c r="S93" s="124"/>
    </row>
    <row r="94" spans="17:19" x14ac:dyDescent="0.25">
      <c r="Q94" s="124"/>
      <c r="R94" s="124"/>
      <c r="S94" s="124"/>
    </row>
    <row r="95" spans="17:19" x14ac:dyDescent="0.25">
      <c r="Q95" s="124"/>
      <c r="R95" s="124"/>
      <c r="S95" s="124"/>
    </row>
    <row r="96" spans="17:19" x14ac:dyDescent="0.25">
      <c r="Q96" s="124"/>
      <c r="R96" s="124"/>
      <c r="S96" s="124"/>
    </row>
    <row r="97" spans="17:19" x14ac:dyDescent="0.25">
      <c r="Q97" s="124"/>
      <c r="R97" s="124"/>
      <c r="S97" s="124"/>
    </row>
    <row r="98" spans="17:19" x14ac:dyDescent="0.25">
      <c r="Q98" s="124"/>
      <c r="R98" s="124"/>
      <c r="S98" s="124"/>
    </row>
    <row r="99" spans="17:19" x14ac:dyDescent="0.25">
      <c r="Q99" s="124"/>
      <c r="R99" s="124"/>
      <c r="S99" s="124"/>
    </row>
    <row r="100" spans="17:19" x14ac:dyDescent="0.25">
      <c r="Q100" s="124"/>
      <c r="R100" s="124"/>
      <c r="S100" s="124"/>
    </row>
    <row r="101" spans="17:19" x14ac:dyDescent="0.25">
      <c r="Q101" s="124"/>
      <c r="R101" s="124"/>
      <c r="S101" s="124"/>
    </row>
    <row r="102" spans="17:19" x14ac:dyDescent="0.25">
      <c r="Q102" s="124"/>
      <c r="R102" s="124"/>
      <c r="S102" s="124"/>
    </row>
    <row r="103" spans="17:19" x14ac:dyDescent="0.25">
      <c r="Q103" s="124"/>
      <c r="R103" s="124"/>
      <c r="S103" s="124"/>
    </row>
    <row r="104" spans="17:19" x14ac:dyDescent="0.25">
      <c r="Q104" s="124"/>
      <c r="R104" s="124"/>
      <c r="S104" s="124"/>
    </row>
    <row r="105" spans="17:19" x14ac:dyDescent="0.25">
      <c r="Q105" s="124"/>
      <c r="R105" s="124"/>
      <c r="S105" s="124"/>
    </row>
    <row r="106" spans="17:19" x14ac:dyDescent="0.25">
      <c r="Q106" s="124"/>
      <c r="R106" s="124"/>
      <c r="S106" s="124"/>
    </row>
    <row r="107" spans="17:19" x14ac:dyDescent="0.25">
      <c r="Q107" s="124"/>
      <c r="R107" s="124"/>
      <c r="S107" s="124"/>
    </row>
    <row r="108" spans="17:19" x14ac:dyDescent="0.25">
      <c r="Q108" s="124"/>
      <c r="R108" s="124"/>
      <c r="S108" s="124"/>
    </row>
    <row r="109" spans="17:19" x14ac:dyDescent="0.25">
      <c r="Q109" s="124"/>
      <c r="R109" s="124"/>
      <c r="S109" s="124"/>
    </row>
    <row r="110" spans="17:19" x14ac:dyDescent="0.25">
      <c r="Q110" s="124"/>
      <c r="R110" s="124"/>
      <c r="S110" s="124"/>
    </row>
    <row r="111" spans="17:19" x14ac:dyDescent="0.25">
      <c r="Q111" s="124"/>
      <c r="R111" s="124"/>
      <c r="S111" s="124"/>
    </row>
    <row r="112" spans="17:19" x14ac:dyDescent="0.25">
      <c r="Q112" s="124"/>
      <c r="R112" s="124"/>
      <c r="S112" s="124"/>
    </row>
    <row r="113" spans="17:19" x14ac:dyDescent="0.25">
      <c r="Q113" s="124"/>
      <c r="R113" s="124"/>
      <c r="S113" s="124"/>
    </row>
    <row r="114" spans="17:19" x14ac:dyDescent="0.25">
      <c r="Q114" s="124"/>
      <c r="R114" s="124"/>
      <c r="S114" s="124"/>
    </row>
    <row r="115" spans="17:19" x14ac:dyDescent="0.25">
      <c r="Q115" s="124"/>
      <c r="R115" s="124"/>
      <c r="S115" s="124"/>
    </row>
    <row r="116" spans="17:19" x14ac:dyDescent="0.25">
      <c r="Q116" s="124"/>
      <c r="R116" s="124"/>
      <c r="S116" s="124"/>
    </row>
    <row r="117" spans="17:19" x14ac:dyDescent="0.25">
      <c r="Q117" s="124"/>
      <c r="R117" s="124"/>
      <c r="S117" s="124"/>
    </row>
    <row r="118" spans="17:19" x14ac:dyDescent="0.25">
      <c r="Q118" s="124"/>
      <c r="R118" s="124"/>
      <c r="S118" s="124"/>
    </row>
    <row r="119" spans="17:19" x14ac:dyDescent="0.25">
      <c r="Q119" s="124"/>
      <c r="R119" s="124"/>
      <c r="S119" s="124"/>
    </row>
    <row r="120" spans="17:19" x14ac:dyDescent="0.25">
      <c r="Q120" s="124"/>
      <c r="R120" s="124"/>
      <c r="S120" s="124"/>
    </row>
    <row r="121" spans="17:19" x14ac:dyDescent="0.25">
      <c r="Q121" s="124"/>
      <c r="R121" s="124"/>
      <c r="S121" s="124"/>
    </row>
    <row r="122" spans="17:19" x14ac:dyDescent="0.25">
      <c r="Q122" s="124"/>
      <c r="R122" s="124"/>
      <c r="S122" s="124"/>
    </row>
    <row r="123" spans="17:19" x14ac:dyDescent="0.25">
      <c r="Q123" s="124"/>
      <c r="R123" s="124"/>
      <c r="S123" s="124"/>
    </row>
    <row r="124" spans="17:19" x14ac:dyDescent="0.25">
      <c r="Q124" s="124"/>
      <c r="R124" s="124"/>
      <c r="S124" s="124"/>
    </row>
    <row r="125" spans="17:19" x14ac:dyDescent="0.25">
      <c r="Q125" s="124"/>
      <c r="R125" s="124"/>
      <c r="S125" s="124"/>
    </row>
    <row r="126" spans="17:19" x14ac:dyDescent="0.25">
      <c r="Q126" s="124"/>
      <c r="R126" s="124"/>
      <c r="S126" s="124"/>
    </row>
    <row r="127" spans="17:19" x14ac:dyDescent="0.25">
      <c r="Q127" s="124"/>
      <c r="R127" s="124"/>
      <c r="S127" s="124"/>
    </row>
    <row r="128" spans="17:19" x14ac:dyDescent="0.25">
      <c r="Q128" s="124"/>
      <c r="R128" s="124"/>
      <c r="S128" s="124"/>
    </row>
    <row r="129" spans="17:19" x14ac:dyDescent="0.25">
      <c r="Q129" s="124"/>
      <c r="R129" s="124"/>
      <c r="S129" s="124"/>
    </row>
    <row r="130" spans="17:19" x14ac:dyDescent="0.25">
      <c r="Q130" s="124"/>
      <c r="R130" s="124"/>
      <c r="S130" s="124"/>
    </row>
    <row r="131" spans="17:19" x14ac:dyDescent="0.25">
      <c r="Q131" s="124"/>
      <c r="R131" s="124"/>
      <c r="S131" s="124"/>
    </row>
    <row r="132" spans="17:19" x14ac:dyDescent="0.25">
      <c r="Q132" s="124"/>
      <c r="R132" s="124"/>
      <c r="S132" s="124"/>
    </row>
    <row r="133" spans="17:19" x14ac:dyDescent="0.25">
      <c r="Q133" s="124"/>
      <c r="R133" s="124"/>
      <c r="S133" s="124"/>
    </row>
    <row r="134" spans="17:19" x14ac:dyDescent="0.25">
      <c r="Q134" s="124"/>
      <c r="R134" s="124"/>
      <c r="S134" s="124"/>
    </row>
    <row r="135" spans="17:19" x14ac:dyDescent="0.25">
      <c r="Q135" s="124"/>
      <c r="R135" s="124"/>
      <c r="S135" s="124"/>
    </row>
    <row r="136" spans="17:19" x14ac:dyDescent="0.25">
      <c r="Q136" s="124"/>
      <c r="R136" s="124"/>
      <c r="S136" s="124"/>
    </row>
    <row r="137" spans="17:19" x14ac:dyDescent="0.25">
      <c r="Q137" s="124"/>
      <c r="R137" s="124"/>
      <c r="S137" s="124"/>
    </row>
    <row r="138" spans="17:19" x14ac:dyDescent="0.25">
      <c r="Q138" s="124"/>
      <c r="R138" s="124"/>
      <c r="S138" s="124"/>
    </row>
    <row r="139" spans="17:19" x14ac:dyDescent="0.25">
      <c r="Q139" s="124"/>
      <c r="R139" s="124"/>
      <c r="S139" s="124"/>
    </row>
    <row r="140" spans="17:19" x14ac:dyDescent="0.25">
      <c r="Q140" s="124"/>
      <c r="R140" s="124"/>
      <c r="S140" s="124"/>
    </row>
    <row r="141" spans="17:19" x14ac:dyDescent="0.25">
      <c r="Q141" s="124"/>
      <c r="R141" s="124"/>
      <c r="S141" s="124"/>
    </row>
    <row r="142" spans="17:19" x14ac:dyDescent="0.25">
      <c r="Q142" s="124"/>
      <c r="R142" s="124"/>
      <c r="S142" s="124"/>
    </row>
    <row r="143" spans="17:19" x14ac:dyDescent="0.25">
      <c r="Q143" s="124"/>
      <c r="R143" s="124"/>
      <c r="S143" s="124"/>
    </row>
    <row r="144" spans="17:19" x14ac:dyDescent="0.25">
      <c r="Q144" s="124"/>
      <c r="R144" s="124"/>
      <c r="S144" s="124"/>
    </row>
    <row r="145" spans="17:19" x14ac:dyDescent="0.25">
      <c r="Q145" s="124"/>
      <c r="R145" s="124"/>
      <c r="S145" s="124"/>
    </row>
    <row r="146" spans="17:19" x14ac:dyDescent="0.25">
      <c r="Q146" s="124"/>
      <c r="R146" s="124"/>
      <c r="S146" s="124"/>
    </row>
    <row r="147" spans="17:19" x14ac:dyDescent="0.25">
      <c r="Q147" s="124"/>
      <c r="R147" s="124"/>
      <c r="S147" s="124"/>
    </row>
    <row r="148" spans="17:19" x14ac:dyDescent="0.25">
      <c r="Q148" s="124"/>
      <c r="R148" s="124"/>
      <c r="S148" s="124"/>
    </row>
    <row r="149" spans="17:19" x14ac:dyDescent="0.25">
      <c r="Q149" s="124"/>
      <c r="R149" s="124"/>
      <c r="S149" s="124"/>
    </row>
    <row r="150" spans="17:19" x14ac:dyDescent="0.25">
      <c r="Q150" s="124"/>
      <c r="R150" s="124"/>
      <c r="S150" s="124"/>
    </row>
    <row r="151" spans="17:19" x14ac:dyDescent="0.25">
      <c r="Q151" s="124"/>
      <c r="R151" s="124"/>
      <c r="S151" s="124"/>
    </row>
    <row r="152" spans="17:19" x14ac:dyDescent="0.25">
      <c r="Q152" s="124"/>
      <c r="R152" s="124"/>
      <c r="S152" s="124"/>
    </row>
    <row r="153" spans="17:19" x14ac:dyDescent="0.25">
      <c r="Q153" s="124"/>
      <c r="R153" s="124"/>
      <c r="S153" s="124"/>
    </row>
    <row r="154" spans="17:19" x14ac:dyDescent="0.25">
      <c r="Q154" s="124"/>
      <c r="R154" s="124"/>
      <c r="S154" s="124"/>
    </row>
    <row r="155" spans="17:19" x14ac:dyDescent="0.25">
      <c r="Q155" s="124"/>
      <c r="R155" s="124"/>
      <c r="S155" s="124"/>
    </row>
    <row r="156" spans="17:19" x14ac:dyDescent="0.25">
      <c r="Q156" s="124"/>
      <c r="R156" s="124"/>
      <c r="S156" s="124"/>
    </row>
    <row r="157" spans="17:19" x14ac:dyDescent="0.25">
      <c r="Q157" s="124"/>
      <c r="R157" s="124"/>
      <c r="S157" s="124"/>
    </row>
    <row r="158" spans="17:19" x14ac:dyDescent="0.25">
      <c r="Q158" s="124"/>
      <c r="R158" s="124"/>
      <c r="S158" s="124"/>
    </row>
    <row r="159" spans="17:19" x14ac:dyDescent="0.25">
      <c r="Q159" s="124"/>
      <c r="R159" s="124"/>
      <c r="S159" s="124"/>
    </row>
    <row r="160" spans="17:19" x14ac:dyDescent="0.25">
      <c r="Q160" s="124"/>
      <c r="R160" s="124"/>
      <c r="S160" s="124"/>
    </row>
    <row r="161" spans="17:19" x14ac:dyDescent="0.25">
      <c r="Q161" s="124"/>
      <c r="R161" s="124"/>
      <c r="S161" s="124"/>
    </row>
    <row r="162" spans="17:19" x14ac:dyDescent="0.25">
      <c r="Q162" s="124"/>
      <c r="R162" s="124"/>
      <c r="S162" s="124"/>
    </row>
    <row r="163" spans="17:19" x14ac:dyDescent="0.25">
      <c r="Q163" s="124"/>
      <c r="R163" s="124"/>
      <c r="S163" s="124"/>
    </row>
    <row r="164" spans="17:19" x14ac:dyDescent="0.25">
      <c r="Q164" s="124"/>
      <c r="R164" s="124"/>
      <c r="S164" s="124"/>
    </row>
    <row r="165" spans="17:19" x14ac:dyDescent="0.25">
      <c r="Q165" s="124"/>
      <c r="R165" s="124"/>
      <c r="S165" s="124"/>
    </row>
    <row r="166" spans="17:19" x14ac:dyDescent="0.25">
      <c r="Q166" s="124"/>
      <c r="R166" s="124"/>
      <c r="S166" s="124"/>
    </row>
    <row r="167" spans="17:19" x14ac:dyDescent="0.25">
      <c r="Q167" s="124"/>
      <c r="R167" s="124"/>
      <c r="S167" s="124"/>
    </row>
    <row r="168" spans="17:19" x14ac:dyDescent="0.25">
      <c r="Q168" s="124"/>
      <c r="R168" s="124"/>
      <c r="S168" s="124"/>
    </row>
    <row r="169" spans="17:19" x14ac:dyDescent="0.25">
      <c r="Q169" s="124"/>
      <c r="R169" s="124"/>
      <c r="S169" s="124"/>
    </row>
    <row r="170" spans="17:19" x14ac:dyDescent="0.25">
      <c r="Q170" s="124"/>
      <c r="R170" s="124"/>
      <c r="S170" s="124"/>
    </row>
    <row r="171" spans="17:19" x14ac:dyDescent="0.25">
      <c r="Q171" s="124"/>
      <c r="R171" s="124"/>
      <c r="S171" s="124"/>
    </row>
    <row r="172" spans="17:19" x14ac:dyDescent="0.25">
      <c r="Q172" s="124"/>
      <c r="R172" s="124"/>
      <c r="S172" s="124"/>
    </row>
    <row r="173" spans="17:19" x14ac:dyDescent="0.25">
      <c r="Q173" s="124"/>
      <c r="R173" s="124"/>
      <c r="S173" s="124"/>
    </row>
    <row r="174" spans="17:19" x14ac:dyDescent="0.25">
      <c r="Q174" s="124"/>
      <c r="R174" s="124"/>
      <c r="S174" s="124"/>
    </row>
    <row r="175" spans="17:19" x14ac:dyDescent="0.25">
      <c r="Q175" s="124"/>
      <c r="R175" s="124"/>
      <c r="S175" s="124"/>
    </row>
    <row r="176" spans="17:19" x14ac:dyDescent="0.25">
      <c r="Q176" s="124"/>
      <c r="R176" s="124"/>
      <c r="S176" s="124"/>
    </row>
    <row r="177" spans="17:19" x14ac:dyDescent="0.25">
      <c r="Q177" s="124"/>
      <c r="R177" s="124"/>
      <c r="S177" s="124"/>
    </row>
    <row r="178" spans="17:19" x14ac:dyDescent="0.25">
      <c r="Q178" s="124"/>
      <c r="R178" s="124"/>
      <c r="S178" s="124"/>
    </row>
    <row r="179" spans="17:19" x14ac:dyDescent="0.25">
      <c r="Q179" s="124"/>
      <c r="R179" s="124"/>
      <c r="S179" s="124"/>
    </row>
    <row r="180" spans="17:19" x14ac:dyDescent="0.25">
      <c r="Q180" s="124"/>
      <c r="R180" s="124"/>
      <c r="S180" s="124"/>
    </row>
    <row r="181" spans="17:19" x14ac:dyDescent="0.25">
      <c r="Q181" s="124"/>
      <c r="R181" s="124"/>
      <c r="S181" s="124"/>
    </row>
    <row r="182" spans="17:19" x14ac:dyDescent="0.25">
      <c r="Q182" s="124"/>
      <c r="R182" s="124"/>
      <c r="S182" s="124"/>
    </row>
    <row r="183" spans="17:19" x14ac:dyDescent="0.25">
      <c r="Q183" s="124"/>
      <c r="R183" s="124"/>
      <c r="S183" s="124"/>
    </row>
    <row r="184" spans="17:19" x14ac:dyDescent="0.25">
      <c r="Q184" s="124"/>
      <c r="R184" s="124"/>
      <c r="S184" s="124"/>
    </row>
    <row r="185" spans="17:19" x14ac:dyDescent="0.25">
      <c r="Q185" s="124"/>
      <c r="R185" s="124"/>
      <c r="S185" s="124"/>
    </row>
    <row r="186" spans="17:19" x14ac:dyDescent="0.25">
      <c r="Q186" s="124"/>
      <c r="R186" s="124"/>
      <c r="S186" s="124"/>
    </row>
    <row r="187" spans="17:19" x14ac:dyDescent="0.25">
      <c r="Q187" s="124"/>
      <c r="R187" s="124"/>
      <c r="S187" s="124"/>
    </row>
    <row r="188" spans="17:19" x14ac:dyDescent="0.25">
      <c r="Q188" s="124"/>
      <c r="R188" s="124"/>
      <c r="S188" s="124"/>
    </row>
    <row r="189" spans="17:19" x14ac:dyDescent="0.25">
      <c r="Q189" s="124"/>
      <c r="R189" s="124"/>
      <c r="S189" s="124"/>
    </row>
    <row r="190" spans="17:19" x14ac:dyDescent="0.25">
      <c r="Q190" s="124"/>
      <c r="R190" s="124"/>
      <c r="S190" s="124"/>
    </row>
    <row r="191" spans="17:19" x14ac:dyDescent="0.25">
      <c r="Q191" s="124"/>
      <c r="R191" s="124"/>
      <c r="S191" s="124"/>
    </row>
    <row r="192" spans="17:19" x14ac:dyDescent="0.25">
      <c r="Q192" s="124"/>
      <c r="R192" s="124"/>
      <c r="S192" s="124"/>
    </row>
    <row r="193" spans="3:19" x14ac:dyDescent="0.25">
      <c r="Q193" s="124"/>
      <c r="R193" s="124"/>
      <c r="S193" s="124"/>
    </row>
    <row r="194" spans="3:19" x14ac:dyDescent="0.25">
      <c r="Q194" s="124"/>
      <c r="R194" s="124"/>
      <c r="S194" s="124"/>
    </row>
    <row r="195" spans="3:19" x14ac:dyDescent="0.25">
      <c r="Q195" s="124"/>
      <c r="R195" s="124"/>
      <c r="S195" s="124"/>
    </row>
    <row r="196" spans="3:19" x14ac:dyDescent="0.25">
      <c r="Q196" s="124"/>
      <c r="R196" s="124"/>
      <c r="S196" s="124"/>
    </row>
    <row r="197" spans="3:19" x14ac:dyDescent="0.25">
      <c r="Q197" s="124"/>
      <c r="R197" s="124"/>
      <c r="S197" s="124"/>
    </row>
    <row r="198" spans="3:19" x14ac:dyDescent="0.25">
      <c r="Q198" s="124"/>
      <c r="R198" s="124"/>
      <c r="S198" s="124"/>
    </row>
    <row r="199" spans="3:19" x14ac:dyDescent="0.25">
      <c r="Q199" s="124"/>
      <c r="R199" s="124"/>
      <c r="S199" s="124"/>
    </row>
    <row r="200" spans="3:19" x14ac:dyDescent="0.25">
      <c r="Q200" s="124"/>
      <c r="R200" s="124"/>
      <c r="S200" s="124"/>
    </row>
    <row r="201" spans="3:19" x14ac:dyDescent="0.25">
      <c r="Q201" s="124"/>
      <c r="R201" s="124"/>
      <c r="S201" s="124"/>
    </row>
    <row r="202" spans="3:19" x14ac:dyDescent="0.25">
      <c r="Q202" s="124"/>
      <c r="R202" s="124"/>
      <c r="S202" s="124"/>
    </row>
    <row r="203" spans="3:19" x14ac:dyDescent="0.25">
      <c r="Q203" s="124"/>
      <c r="R203" s="124"/>
      <c r="S203" s="124"/>
    </row>
    <row r="204" spans="3:19" x14ac:dyDescent="0.25"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Q204" s="124"/>
      <c r="R204" s="124"/>
      <c r="S204" s="124"/>
    </row>
    <row r="205" spans="3:19" x14ac:dyDescent="0.25"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3:19" x14ac:dyDescent="0.25"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3:19" x14ac:dyDescent="0.25"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3:19" x14ac:dyDescent="0.25"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3:19" x14ac:dyDescent="0.25"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3:19" x14ac:dyDescent="0.25"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3:19" x14ac:dyDescent="0.25"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3:19" x14ac:dyDescent="0.25"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3:19" x14ac:dyDescent="0.25"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3:19" x14ac:dyDescent="0.25"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3:19" x14ac:dyDescent="0.25"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3:19" x14ac:dyDescent="0.25"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3:19" x14ac:dyDescent="0.25"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3:19" x14ac:dyDescent="0.25"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3:19" x14ac:dyDescent="0.25"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3:19" x14ac:dyDescent="0.25"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3:19" x14ac:dyDescent="0.25"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3:19" x14ac:dyDescent="0.25"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3:19" x14ac:dyDescent="0.25"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3:19" x14ac:dyDescent="0.25"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3:19" x14ac:dyDescent="0.25"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3:19" x14ac:dyDescent="0.25"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3:19" x14ac:dyDescent="0.25"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3:19" x14ac:dyDescent="0.25"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3:19" x14ac:dyDescent="0.25"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3:19" x14ac:dyDescent="0.25"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3:19" x14ac:dyDescent="0.25"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3:19" x14ac:dyDescent="0.25"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3:19" x14ac:dyDescent="0.25"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3:19" x14ac:dyDescent="0.25"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3:19" x14ac:dyDescent="0.25"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3:19" x14ac:dyDescent="0.25"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3:19" x14ac:dyDescent="0.25"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3:19" x14ac:dyDescent="0.25"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3:19" x14ac:dyDescent="0.25"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3:19" x14ac:dyDescent="0.25"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3:19" x14ac:dyDescent="0.25"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3:19" x14ac:dyDescent="0.25"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3:19" x14ac:dyDescent="0.25"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3:19" x14ac:dyDescent="0.25"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3:19" x14ac:dyDescent="0.25"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3:19" x14ac:dyDescent="0.25"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3:19" x14ac:dyDescent="0.25"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3:19" x14ac:dyDescent="0.25"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3:19" x14ac:dyDescent="0.25"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3:19" x14ac:dyDescent="0.25"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3:19" x14ac:dyDescent="0.25"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3:19" x14ac:dyDescent="0.25"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3:19" x14ac:dyDescent="0.25"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3:19" x14ac:dyDescent="0.25"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3:19" x14ac:dyDescent="0.25"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3:19" x14ac:dyDescent="0.25"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3:19" x14ac:dyDescent="0.25"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3:19" x14ac:dyDescent="0.25"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3:19" x14ac:dyDescent="0.25"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3:19" x14ac:dyDescent="0.25">
      <c r="P260" s="124"/>
      <c r="Q260" s="124"/>
      <c r="R260" s="124"/>
      <c r="S260" s="124"/>
    </row>
  </sheetData>
  <sheetProtection algorithmName="SHA-512" hashValue="sdkbLAzk/phde4x8wITIIfmBgFr1Ld2l7uPdSJ3YqyaI3GKeY4Yt3jJAUtolOf8Sv+oDYATiqJ/opVOZDwZzJg==" saltValue="gG7oolAwAMa4UbUvX4SxnQ==" spinCount="100000" sheet="1" objects="1" scenarios="1"/>
  <printOptions horizontalCentered="1"/>
  <pageMargins left="0.75" right="0.75" top="0.51" bottom="0.49" header="0.5" footer="0.5"/>
  <pageSetup scale="51" orientation="landscape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topLeftCell="A13" workbookViewId="0">
      <selection activeCell="J23" sqref="J23"/>
    </sheetView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5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15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49" t="s">
        <v>185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47"/>
      <c r="N1" s="4"/>
      <c r="O1" s="4"/>
      <c r="P1" s="4"/>
    </row>
    <row r="2" spans="1:16" x14ac:dyDescent="0.25">
      <c r="A2" s="249" t="s">
        <v>249</v>
      </c>
      <c r="B2" s="250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47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271" t="str">
        <f>"For the 12 months ended "&amp;TEXT('OATT Input Data'!B4,"MM/DD/YYYY")</f>
        <v>For the 12 months ended 12/31/2018</v>
      </c>
      <c r="L4" s="4"/>
      <c r="M4" s="4"/>
      <c r="N4" s="4"/>
      <c r="O4" s="5"/>
      <c r="P4" s="4"/>
    </row>
    <row r="5" spans="1:16" x14ac:dyDescent="0.25">
      <c r="A5" s="272" t="s">
        <v>187</v>
      </c>
      <c r="C5" s="2"/>
      <c r="E5" s="250"/>
      <c r="F5" s="252"/>
      <c r="G5" s="252"/>
      <c r="H5" s="252"/>
      <c r="I5" s="251"/>
      <c r="J5" s="238" t="s">
        <v>382</v>
      </c>
      <c r="L5" s="251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75" t="s">
        <v>130</v>
      </c>
      <c r="B7" s="250"/>
      <c r="C7" s="251"/>
      <c r="D7" s="251"/>
      <c r="E7" s="250"/>
      <c r="F7" s="251"/>
      <c r="G7" s="251"/>
      <c r="H7" s="251"/>
      <c r="I7" s="251"/>
      <c r="J7" s="251"/>
      <c r="K7" s="251"/>
      <c r="L7" s="251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44" t="s">
        <v>409</v>
      </c>
      <c r="E11" s="12"/>
      <c r="F11" s="4"/>
      <c r="G11" s="4"/>
      <c r="H11" s="4"/>
      <c r="I11" s="4"/>
      <c r="J11" s="549">
        <f>'PTP Pg 3 of 5'!J56</f>
        <v>173432935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45" t="s">
        <v>242</v>
      </c>
      <c r="E13" s="11" t="s">
        <v>6</v>
      </c>
      <c r="F13" s="9"/>
      <c r="G13" s="13" t="s">
        <v>7</v>
      </c>
      <c r="H13" s="13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42" t="s">
        <v>378</v>
      </c>
      <c r="E14" s="550">
        <f>'PTP Pg 4 of 5'!$J$64</f>
        <v>0</v>
      </c>
      <c r="F14" s="9"/>
      <c r="G14" s="9" t="s">
        <v>9</v>
      </c>
      <c r="H14" s="14">
        <f>'PTP Pg 4 of 5'!$J$16</f>
        <v>0.96060000000000001</v>
      </c>
      <c r="I14" s="9"/>
      <c r="J14" s="571">
        <f>ROUND(H14*E14,0)</f>
        <v>0</v>
      </c>
      <c r="K14" s="4"/>
      <c r="L14" s="162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42" t="s">
        <v>379</v>
      </c>
      <c r="E15" s="572">
        <f>'PTP Pg 4 of 5'!J68</f>
        <v>6003755</v>
      </c>
      <c r="F15" s="9"/>
      <c r="G15" s="9" t="str">
        <f t="shared" ref="G15:G17" si="0">+G14</f>
        <v>TP</v>
      </c>
      <c r="H15" s="14">
        <f>'PTP Pg 4 of 5'!$J$16</f>
        <v>0.96060000000000001</v>
      </c>
      <c r="I15" s="9"/>
      <c r="J15" s="572">
        <f>ROUND(H15*E15,0)</f>
        <v>5767207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5" t="s">
        <v>11</v>
      </c>
      <c r="D16" s="9"/>
      <c r="E16" s="572">
        <v>0</v>
      </c>
      <c r="F16" s="9"/>
      <c r="G16" s="9" t="str">
        <f t="shared" si="0"/>
        <v>TP</v>
      </c>
      <c r="H16" s="14">
        <f>'PTP Pg 4 of 5'!$J$16</f>
        <v>0.96060000000000001</v>
      </c>
      <c r="I16" s="9"/>
      <c r="J16" s="572">
        <f t="shared" ref="J16:J17" si="1">ROUND(H16*E16,0)</f>
        <v>0</v>
      </c>
      <c r="K16" s="4"/>
      <c r="L16" s="4"/>
      <c r="M16" s="4"/>
      <c r="N16" s="4"/>
      <c r="P16" s="4"/>
    </row>
    <row r="17" spans="1:16" ht="18" customHeight="1" x14ac:dyDescent="0.4">
      <c r="A17" s="5">
        <v>5</v>
      </c>
      <c r="C17" s="675" t="s">
        <v>188</v>
      </c>
      <c r="D17" s="676"/>
      <c r="E17" s="572">
        <v>0</v>
      </c>
      <c r="F17" s="9"/>
      <c r="G17" s="9" t="str">
        <f t="shared" si="0"/>
        <v>TP</v>
      </c>
      <c r="H17" s="14">
        <f>'PTP Pg 4 of 5'!$J$16</f>
        <v>0.96060000000000001</v>
      </c>
      <c r="I17" s="9"/>
      <c r="J17" s="573">
        <f t="shared" si="1"/>
        <v>0</v>
      </c>
      <c r="K17" s="313"/>
      <c r="L17" s="4"/>
      <c r="M17" s="4"/>
      <c r="N17" s="594"/>
      <c r="P17" s="4"/>
    </row>
    <row r="18" spans="1:16" x14ac:dyDescent="0.25">
      <c r="A18" s="5">
        <v>6</v>
      </c>
      <c r="C18" s="8" t="s">
        <v>128</v>
      </c>
      <c r="D18" s="243" t="s">
        <v>243</v>
      </c>
      <c r="E18" s="18" t="s">
        <v>0</v>
      </c>
      <c r="F18" s="9"/>
      <c r="G18" s="9"/>
      <c r="H18" s="14"/>
      <c r="I18" s="9"/>
      <c r="J18" s="574">
        <f>SUM(J14:J17)</f>
        <v>5767207</v>
      </c>
      <c r="K18" s="4"/>
      <c r="L18" s="4"/>
      <c r="M18" s="4"/>
      <c r="N18" s="594"/>
      <c r="P18" s="4"/>
    </row>
    <row r="19" spans="1:16" x14ac:dyDescent="0.25">
      <c r="A19" s="5"/>
      <c r="D19" s="4"/>
      <c r="E19" s="9" t="s">
        <v>0</v>
      </c>
      <c r="F19" s="4"/>
      <c r="G19" s="4"/>
      <c r="H19" s="14"/>
      <c r="I19" s="4"/>
      <c r="K19" s="4"/>
      <c r="L19" s="4"/>
      <c r="M19" s="4"/>
      <c r="N19" s="594"/>
      <c r="P19" s="4"/>
    </row>
    <row r="20" spans="1:16" ht="18" customHeight="1" x14ac:dyDescent="0.4">
      <c r="A20" s="5">
        <v>7</v>
      </c>
      <c r="C20" s="2" t="s">
        <v>12</v>
      </c>
      <c r="D20" s="243" t="s">
        <v>244</v>
      </c>
      <c r="E20" s="18" t="s">
        <v>0</v>
      </c>
      <c r="F20" s="9"/>
      <c r="G20" s="9"/>
      <c r="H20" s="9"/>
      <c r="I20" s="9"/>
      <c r="J20" s="586">
        <f>J11-J18</f>
        <v>167665728</v>
      </c>
      <c r="K20" s="4"/>
      <c r="L20" s="4"/>
      <c r="M20" s="4"/>
      <c r="N20" s="594"/>
      <c r="P20" s="4"/>
    </row>
    <row r="21" spans="1:16" x14ac:dyDescent="0.25">
      <c r="A21" s="5"/>
      <c r="D21" s="4"/>
      <c r="E21" s="18"/>
      <c r="F21" s="9"/>
      <c r="G21" s="9"/>
      <c r="H21" s="9"/>
      <c r="I21" s="9"/>
      <c r="K21" s="4"/>
      <c r="L21" s="4"/>
      <c r="M21" s="4"/>
      <c r="N21" s="59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594"/>
      <c r="P22" s="4"/>
    </row>
    <row r="23" spans="1:16" x14ac:dyDescent="0.25">
      <c r="A23" s="5">
        <v>8</v>
      </c>
      <c r="C23" s="8" t="s">
        <v>133</v>
      </c>
      <c r="E23" s="12"/>
      <c r="F23" s="243" t="s">
        <v>245</v>
      </c>
      <c r="G23" s="4"/>
      <c r="H23" s="4"/>
      <c r="I23" s="4"/>
      <c r="J23" s="575">
        <f>ROUND('OATT Input Data'!$E$25,0)</f>
        <v>5831000</v>
      </c>
      <c r="K23" s="4"/>
      <c r="L23" s="4"/>
      <c r="M23" s="4"/>
    </row>
    <row r="24" spans="1:16" x14ac:dyDescent="0.25">
      <c r="A24" s="5">
        <v>9</v>
      </c>
      <c r="C24" s="8" t="s">
        <v>134</v>
      </c>
      <c r="D24" s="9"/>
      <c r="E24" s="9"/>
      <c r="F24" s="245" t="s">
        <v>246</v>
      </c>
      <c r="G24" s="9"/>
      <c r="H24" s="9"/>
      <c r="I24" s="9"/>
      <c r="J24" s="575">
        <f>ROUND('OATT Input Data'!$E$43,0)</f>
        <v>0</v>
      </c>
      <c r="K24" s="4"/>
      <c r="L24" s="4"/>
      <c r="M24" s="4"/>
      <c r="O24" s="4"/>
      <c r="P24" s="4"/>
    </row>
    <row r="25" spans="1:16" x14ac:dyDescent="0.25">
      <c r="A25" s="5">
        <v>10</v>
      </c>
      <c r="C25" s="83" t="s">
        <v>135</v>
      </c>
      <c r="D25" s="4"/>
      <c r="E25" s="4"/>
      <c r="F25" s="242" t="s">
        <v>247</v>
      </c>
      <c r="H25" s="4"/>
      <c r="I25" s="4"/>
      <c r="J25" s="575">
        <f>ROUND('OATT Input Data'!$F$61,0)</f>
        <v>756000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43" t="s">
        <v>248</v>
      </c>
      <c r="H26" s="4"/>
      <c r="I26" s="4"/>
      <c r="J26" s="575">
        <f>ROUND('OATT Input Data'!$E$79*-1,0)</f>
        <v>0</v>
      </c>
      <c r="K26" s="4"/>
      <c r="L26" s="4"/>
      <c r="M26" s="4"/>
      <c r="P26" s="4"/>
    </row>
    <row r="27" spans="1:16" x14ac:dyDescent="0.25">
      <c r="A27" s="5">
        <v>12</v>
      </c>
      <c r="C27" s="83" t="s">
        <v>137</v>
      </c>
      <c r="D27" s="4"/>
      <c r="E27" s="4"/>
      <c r="F27" s="4"/>
      <c r="G27" s="4"/>
      <c r="H27" s="8"/>
      <c r="I27" s="4"/>
      <c r="J27" s="575">
        <f>ROUND('OATT Input Data'!$E$98,0)</f>
        <v>609000</v>
      </c>
      <c r="K27" s="4"/>
      <c r="L27" s="4"/>
      <c r="M27" s="4"/>
      <c r="P27" s="4"/>
    </row>
    <row r="28" spans="1:16" x14ac:dyDescent="0.25">
      <c r="A28" s="5">
        <v>13</v>
      </c>
      <c r="C28" s="83" t="s">
        <v>388</v>
      </c>
      <c r="D28" s="4"/>
      <c r="E28" s="4"/>
      <c r="F28" s="4"/>
      <c r="G28" s="4"/>
      <c r="H28" s="4"/>
      <c r="I28" s="4"/>
      <c r="J28" s="575">
        <f>ROUND('OATT Input Data'!$E$104,0)</f>
        <v>92167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3" t="s">
        <v>189</v>
      </c>
      <c r="D29" s="4"/>
      <c r="E29" s="4"/>
      <c r="F29" s="4"/>
      <c r="G29" s="4"/>
      <c r="H29" s="4"/>
      <c r="I29" s="4"/>
      <c r="J29" s="576">
        <f>ROUND('OATT Input Data'!$E$105*-1,0)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44" t="s">
        <v>288</v>
      </c>
      <c r="E30" s="4"/>
      <c r="F30" s="4"/>
      <c r="G30" s="4"/>
      <c r="H30" s="4"/>
      <c r="I30" s="4"/>
      <c r="J30" s="575">
        <f>ROUND(SUM(J23:J29),0)</f>
        <v>6861167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0" t="s">
        <v>14</v>
      </c>
      <c r="D32" s="264" t="s">
        <v>295</v>
      </c>
      <c r="E32" s="265">
        <f>ROUND(J20/J30,3)</f>
        <v>24.437000000000001</v>
      </c>
      <c r="F32" s="23"/>
      <c r="G32" s="4"/>
      <c r="H32" s="4"/>
      <c r="I32" s="4"/>
      <c r="K32" s="4"/>
      <c r="L32" s="4"/>
      <c r="M32" s="4"/>
      <c r="N32" s="2"/>
      <c r="O32" s="4"/>
      <c r="P32" s="4"/>
    </row>
    <row r="33" spans="1:16" x14ac:dyDescent="0.25">
      <c r="A33" s="5">
        <v>17</v>
      </c>
      <c r="C33" s="32" t="s">
        <v>302</v>
      </c>
      <c r="D33" s="264" t="s">
        <v>296</v>
      </c>
      <c r="E33" s="265">
        <f>ROUND(E32/12,3)</f>
        <v>2.036</v>
      </c>
      <c r="G33" s="24"/>
      <c r="H33" s="25"/>
      <c r="I33" s="4"/>
      <c r="K33" s="4"/>
      <c r="L33" s="4"/>
      <c r="M33" s="4"/>
      <c r="N33" s="2"/>
      <c r="O33" s="163"/>
      <c r="P33" s="4"/>
    </row>
    <row r="34" spans="1:16" x14ac:dyDescent="0.25">
      <c r="A34" s="5"/>
      <c r="C34" s="20"/>
      <c r="D34" s="28"/>
      <c r="E34" s="26"/>
      <c r="F34" s="4"/>
      <c r="G34" s="4"/>
      <c r="H34" s="4"/>
      <c r="I34" s="4"/>
      <c r="J34" s="27"/>
      <c r="K34" s="4"/>
      <c r="L34" s="4"/>
      <c r="M34" s="4"/>
      <c r="N34" s="4"/>
      <c r="O34" s="4"/>
      <c r="P34" s="4"/>
    </row>
    <row r="35" spans="1:16" x14ac:dyDescent="0.25">
      <c r="A35" s="5"/>
      <c r="C35" s="20"/>
      <c r="D35" s="28"/>
      <c r="E35" s="26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83" t="s">
        <v>291</v>
      </c>
      <c r="D36" s="577" t="s">
        <v>292</v>
      </c>
      <c r="E36" s="265">
        <f>ROUND($E$32/52,3)</f>
        <v>0.47</v>
      </c>
      <c r="F36" s="4"/>
      <c r="G36" s="4"/>
      <c r="H36" s="577" t="s">
        <v>292</v>
      </c>
      <c r="I36" s="4"/>
      <c r="J36" s="265">
        <f>ROUND($E$32/52,3)</f>
        <v>0.47</v>
      </c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83" t="s">
        <v>297</v>
      </c>
      <c r="D37" s="244" t="s">
        <v>293</v>
      </c>
      <c r="E37" s="265">
        <f>ROUND(E36/5,3)</f>
        <v>9.4E-2</v>
      </c>
      <c r="F37" s="3" t="s">
        <v>166</v>
      </c>
      <c r="H37" s="244" t="s">
        <v>299</v>
      </c>
      <c r="I37" s="4"/>
      <c r="J37" s="265">
        <f>ROUND(J36/7,3)</f>
        <v>6.7000000000000004E-2</v>
      </c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83" t="s">
        <v>429</v>
      </c>
      <c r="D38" s="244" t="s">
        <v>294</v>
      </c>
      <c r="E38" s="265">
        <f>ROUND(E37/16*1000,3)</f>
        <v>5.875</v>
      </c>
      <c r="F38" s="8" t="s">
        <v>290</v>
      </c>
      <c r="H38" s="244" t="s">
        <v>300</v>
      </c>
      <c r="I38" s="4"/>
      <c r="J38" s="265">
        <f>ROUND(J37/24*1000,3)</f>
        <v>2.7919999999999998</v>
      </c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577" t="s">
        <v>298</v>
      </c>
      <c r="E40" s="578">
        <v>0</v>
      </c>
      <c r="F40" s="273" t="s">
        <v>16</v>
      </c>
      <c r="G40" s="273"/>
      <c r="H40" s="273"/>
      <c r="I40" s="273"/>
      <c r="J40" s="578">
        <v>0</v>
      </c>
      <c r="K40" s="590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78">
        <v>0</v>
      </c>
      <c r="F41" s="273" t="s">
        <v>17</v>
      </c>
      <c r="G41" s="273"/>
      <c r="H41" s="273"/>
      <c r="I41" s="273"/>
      <c r="J41" s="578">
        <v>0</v>
      </c>
      <c r="K41" s="590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0"/>
      <c r="B43" s="31"/>
      <c r="C43" s="32"/>
      <c r="D43" s="31"/>
      <c r="E43" s="31"/>
      <c r="F43" s="31"/>
      <c r="G43" s="31"/>
      <c r="H43" s="31"/>
      <c r="I43" s="31"/>
      <c r="J43" s="15"/>
      <c r="K43" s="21"/>
      <c r="L43" s="21"/>
      <c r="M43" s="21"/>
      <c r="N43" s="4"/>
      <c r="O43" s="4"/>
      <c r="P43" s="4"/>
    </row>
    <row r="44" spans="1:16" x14ac:dyDescent="0.25">
      <c r="A44" s="30"/>
      <c r="B44" s="31"/>
      <c r="C44" s="32"/>
      <c r="D44" s="21"/>
      <c r="E44" s="21"/>
      <c r="F44" s="21"/>
      <c r="G44" s="21"/>
      <c r="H44" s="21"/>
      <c r="I44" s="21"/>
      <c r="J44" s="33"/>
      <c r="K44" s="21"/>
      <c r="L44" s="21"/>
      <c r="M44" s="21"/>
      <c r="N44" s="4"/>
      <c r="O44" s="4"/>
      <c r="P44" s="4"/>
    </row>
    <row r="45" spans="1:16" x14ac:dyDescent="0.25">
      <c r="A45" s="30"/>
      <c r="B45" s="31"/>
      <c r="C45" s="20"/>
      <c r="D45" s="21"/>
      <c r="E45" s="21"/>
      <c r="F45" s="21"/>
      <c r="G45" s="21"/>
      <c r="H45" s="21"/>
      <c r="I45" s="21"/>
      <c r="J45" s="34"/>
      <c r="K45" s="21"/>
      <c r="L45" s="21"/>
      <c r="M45" s="21"/>
      <c r="N45" s="4"/>
      <c r="O45" s="4"/>
      <c r="P45" s="4"/>
    </row>
    <row r="46" spans="1:16" x14ac:dyDescent="0.25">
      <c r="A46" s="30"/>
      <c r="B46" s="31"/>
      <c r="C46" s="32"/>
      <c r="D46" s="21"/>
      <c r="E46" s="21"/>
      <c r="F46" s="21"/>
      <c r="G46" s="21"/>
      <c r="H46" s="21"/>
      <c r="I46" s="21"/>
      <c r="J46" s="34"/>
      <c r="K46" s="21"/>
      <c r="L46" s="21"/>
      <c r="M46" s="21"/>
      <c r="N46" s="4"/>
      <c r="O46" s="4"/>
      <c r="P46" s="259"/>
    </row>
    <row r="47" spans="1:16" s="31" customFormat="1" x14ac:dyDescent="0.25">
      <c r="A47" s="30"/>
      <c r="C47" s="32"/>
      <c r="D47" s="20"/>
      <c r="E47" s="28"/>
      <c r="F47" s="20"/>
      <c r="G47" s="20"/>
      <c r="H47" s="20"/>
      <c r="I47" s="21"/>
      <c r="J47" s="34"/>
      <c r="K47" s="30"/>
      <c r="L47" s="30"/>
      <c r="M47" s="587"/>
      <c r="N47" s="21"/>
      <c r="O47" s="37"/>
      <c r="P47" s="39"/>
    </row>
    <row r="48" spans="1:16" s="31" customFormat="1" x14ac:dyDescent="0.25">
      <c r="A48" s="30"/>
      <c r="C48" s="32"/>
      <c r="D48" s="21"/>
      <c r="E48" s="21"/>
      <c r="F48" s="21"/>
      <c r="G48" s="21"/>
      <c r="H48" s="21"/>
      <c r="I48" s="21"/>
      <c r="J48" s="34"/>
      <c r="K48" s="587"/>
      <c r="L48" s="587"/>
      <c r="M48" s="587"/>
      <c r="N48" s="21"/>
      <c r="O48" s="21"/>
      <c r="P48" s="39"/>
    </row>
    <row r="49" spans="1:21" s="31" customFormat="1" x14ac:dyDescent="0.25">
      <c r="A49" s="30"/>
      <c r="C49" s="32"/>
      <c r="D49" s="20"/>
      <c r="E49" s="28"/>
      <c r="F49" s="20"/>
      <c r="G49" s="20"/>
      <c r="H49" s="20"/>
      <c r="I49" s="21"/>
      <c r="J49" s="40"/>
      <c r="K49" s="674"/>
      <c r="L49" s="674"/>
      <c r="M49" s="674"/>
      <c r="N49" s="21"/>
      <c r="O49" s="21"/>
      <c r="P49" s="39"/>
    </row>
    <row r="50" spans="1:21" s="31" customFormat="1" x14ac:dyDescent="0.25">
      <c r="A50" s="30"/>
      <c r="C50" s="32"/>
      <c r="D50" s="20"/>
      <c r="E50" s="28"/>
      <c r="F50" s="20"/>
      <c r="G50" s="20"/>
      <c r="H50" s="20"/>
      <c r="I50" s="21"/>
      <c r="J50" s="41"/>
      <c r="K50" s="587"/>
      <c r="L50" s="587"/>
      <c r="M50" s="587"/>
      <c r="N50" s="21"/>
      <c r="O50" s="21"/>
      <c r="P50" s="39"/>
    </row>
    <row r="51" spans="1:21" s="31" customFormat="1" x14ac:dyDescent="0.25">
      <c r="A51" s="30"/>
      <c r="C51" s="32"/>
      <c r="D51" s="20"/>
      <c r="E51" s="28"/>
      <c r="F51" s="20"/>
      <c r="G51" s="20"/>
      <c r="H51" s="20"/>
      <c r="I51" s="21"/>
      <c r="J51" s="34"/>
      <c r="K51" s="587"/>
      <c r="L51" s="587"/>
      <c r="M51" s="587"/>
      <c r="N51" s="21"/>
      <c r="O51" s="21"/>
      <c r="P51" s="39"/>
    </row>
    <row r="52" spans="1:21" s="31" customFormat="1" x14ac:dyDescent="0.25">
      <c r="A52" s="30"/>
      <c r="C52" s="32"/>
      <c r="D52" s="20"/>
      <c r="E52" s="28"/>
      <c r="F52" s="20"/>
      <c r="G52" s="20"/>
      <c r="H52" s="20"/>
      <c r="I52" s="21"/>
      <c r="J52" s="42"/>
      <c r="K52" s="21"/>
      <c r="L52" s="674"/>
      <c r="M52" s="674"/>
      <c r="N52" s="21"/>
      <c r="O52" s="21"/>
      <c r="P52" s="39"/>
    </row>
    <row r="53" spans="1:21" s="31" customFormat="1" x14ac:dyDescent="0.25">
      <c r="C53" s="20"/>
      <c r="D53" s="20"/>
      <c r="E53" s="28"/>
      <c r="F53" s="20"/>
      <c r="G53" s="20"/>
      <c r="H53" s="20"/>
      <c r="I53" s="21"/>
      <c r="J53" s="21"/>
      <c r="K53" s="21"/>
      <c r="L53" s="587"/>
      <c r="M53" s="587"/>
      <c r="N53" s="21"/>
      <c r="O53" s="21"/>
      <c r="P53" s="39"/>
    </row>
    <row r="54" spans="1:21" s="31" customFormat="1" ht="21" x14ac:dyDescent="0.35">
      <c r="A54" s="30"/>
      <c r="C54" s="20"/>
      <c r="D54" s="32"/>
      <c r="E54" s="22"/>
      <c r="F54" s="43"/>
      <c r="G54" s="21"/>
      <c r="H54" s="21"/>
      <c r="I54" s="21"/>
      <c r="K54" s="21"/>
      <c r="L54" s="21"/>
      <c r="M54" s="21"/>
      <c r="N54" s="21"/>
      <c r="O54" s="21"/>
      <c r="P54" s="21"/>
    </row>
    <row r="55" spans="1:21" s="31" customFormat="1" x14ac:dyDescent="0.25">
      <c r="A55" s="30"/>
      <c r="C55" s="20"/>
      <c r="D55" s="32"/>
      <c r="E55" s="22"/>
      <c r="G55" s="44"/>
      <c r="H55" s="22"/>
      <c r="I55" s="21"/>
      <c r="K55" s="45"/>
      <c r="M55" s="46"/>
      <c r="N55" s="46"/>
      <c r="O55" s="46"/>
      <c r="P55" s="30"/>
      <c r="Q55" s="47"/>
      <c r="R55" s="48"/>
      <c r="S55" s="48"/>
      <c r="T55" s="48"/>
      <c r="U55" s="48"/>
    </row>
    <row r="56" spans="1:21" s="31" customFormat="1" x14ac:dyDescent="0.25">
      <c r="A56" s="30"/>
      <c r="C56" s="20"/>
      <c r="D56" s="21"/>
      <c r="E56" s="22"/>
      <c r="F56" s="22"/>
      <c r="G56" s="21"/>
      <c r="H56" s="21"/>
      <c r="I56" s="21"/>
      <c r="K56" s="46"/>
      <c r="M56" s="46"/>
      <c r="N56" s="46"/>
      <c r="O56" s="46"/>
      <c r="P56" s="30"/>
      <c r="Q56" s="47"/>
      <c r="R56" s="48"/>
      <c r="S56" s="48"/>
      <c r="T56" s="48"/>
      <c r="U56" s="48"/>
    </row>
    <row r="57" spans="1:21" s="31" customFormat="1" x14ac:dyDescent="0.25">
      <c r="A57" s="30"/>
      <c r="C57" s="20"/>
      <c r="D57" s="21"/>
      <c r="E57" s="26"/>
      <c r="F57" s="21"/>
      <c r="G57" s="21"/>
      <c r="H57" s="21"/>
      <c r="I57" s="21"/>
      <c r="J57" s="47"/>
      <c r="K57" s="46"/>
      <c r="M57" s="46"/>
      <c r="N57" s="46"/>
      <c r="O57" s="45"/>
      <c r="P57" s="46"/>
      <c r="Q57" s="46"/>
      <c r="R57" s="48"/>
      <c r="S57" s="48"/>
      <c r="T57" s="48"/>
      <c r="U57" s="48"/>
    </row>
    <row r="58" spans="1:21" s="31" customFormat="1" x14ac:dyDescent="0.25">
      <c r="A58" s="30"/>
      <c r="C58" s="20"/>
      <c r="D58" s="21"/>
      <c r="E58" s="22"/>
      <c r="F58" s="21"/>
      <c r="G58" s="21"/>
      <c r="H58" s="21"/>
      <c r="I58" s="21"/>
      <c r="K58" s="45"/>
      <c r="M58" s="46"/>
      <c r="N58" s="46"/>
      <c r="O58" s="45"/>
      <c r="P58" s="46"/>
      <c r="Q58" s="46"/>
      <c r="R58" s="48"/>
      <c r="S58" s="48"/>
      <c r="T58" s="48"/>
      <c r="U58" s="48"/>
    </row>
    <row r="59" spans="1:21" s="31" customFormat="1" x14ac:dyDescent="0.25">
      <c r="A59" s="30"/>
      <c r="C59" s="20"/>
      <c r="D59" s="28"/>
      <c r="E59" s="22"/>
      <c r="F59" s="21"/>
      <c r="G59" s="21"/>
      <c r="H59" s="21"/>
      <c r="I59" s="21"/>
      <c r="J59" s="50"/>
      <c r="M59" s="46"/>
      <c r="N59" s="46"/>
      <c r="O59" s="45"/>
      <c r="P59" s="46"/>
      <c r="Q59" s="46"/>
      <c r="R59" s="48"/>
      <c r="S59" s="48"/>
      <c r="T59" s="48"/>
      <c r="U59" s="48"/>
    </row>
    <row r="60" spans="1:21" s="31" customFormat="1" x14ac:dyDescent="0.25">
      <c r="A60" s="30"/>
      <c r="C60" s="20"/>
      <c r="D60" s="28"/>
      <c r="E60" s="22"/>
      <c r="F60" s="21"/>
      <c r="H60" s="21"/>
      <c r="I60" s="21"/>
      <c r="J60" s="50"/>
      <c r="L60" s="46"/>
      <c r="M60" s="46"/>
      <c r="N60" s="46"/>
      <c r="O60" s="45"/>
      <c r="P60" s="46"/>
      <c r="Q60" s="46"/>
      <c r="R60" s="48"/>
      <c r="S60" s="48"/>
      <c r="T60" s="48"/>
      <c r="U60" s="48"/>
    </row>
    <row r="61" spans="1:21" s="31" customFormat="1" x14ac:dyDescent="0.25">
      <c r="A61" s="30"/>
      <c r="C61" s="20"/>
      <c r="D61" s="28"/>
      <c r="E61" s="22"/>
      <c r="F61" s="21"/>
      <c r="H61" s="21"/>
      <c r="I61" s="21"/>
      <c r="J61" s="50"/>
      <c r="K61" s="21"/>
      <c r="L61" s="21"/>
      <c r="M61" s="46"/>
      <c r="N61" s="52"/>
      <c r="P61" s="46"/>
      <c r="Q61" s="64"/>
    </row>
    <row r="62" spans="1:21" s="31" customFormat="1" x14ac:dyDescent="0.25">
      <c r="A62" s="30"/>
      <c r="C62" s="20"/>
      <c r="D62" s="21"/>
      <c r="E62" s="21"/>
      <c r="F62" s="21"/>
      <c r="H62" s="21"/>
      <c r="I62" s="21"/>
      <c r="K62" s="30"/>
      <c r="O62" s="46"/>
      <c r="P62" s="46"/>
      <c r="Q62" s="46"/>
    </row>
    <row r="63" spans="1:21" s="31" customFormat="1" x14ac:dyDescent="0.25">
      <c r="A63" s="30"/>
      <c r="C63" s="20"/>
      <c r="D63" s="21"/>
      <c r="E63" s="21"/>
      <c r="F63" s="21"/>
      <c r="G63" s="21"/>
      <c r="H63" s="21"/>
      <c r="O63" s="46"/>
      <c r="P63" s="56"/>
      <c r="Q63" s="52"/>
    </row>
    <row r="64" spans="1:21" s="31" customFormat="1" x14ac:dyDescent="0.25">
      <c r="A64" s="30"/>
      <c r="D64" s="21"/>
      <c r="E64" s="21"/>
      <c r="G64" s="21"/>
      <c r="J64" s="57"/>
      <c r="K64" s="58"/>
      <c r="O64" s="46"/>
      <c r="P64" s="20"/>
    </row>
    <row r="65" spans="1:16" s="31" customFormat="1" x14ac:dyDescent="0.25">
      <c r="A65" s="30"/>
      <c r="D65" s="21"/>
      <c r="F65" s="21"/>
      <c r="G65" s="21"/>
      <c r="H65" s="21"/>
      <c r="I65" s="21"/>
      <c r="J65" s="57"/>
      <c r="K65" s="58"/>
      <c r="O65" s="46"/>
      <c r="P65" s="20"/>
    </row>
    <row r="66" spans="1:16" s="31" customFormat="1" x14ac:dyDescent="0.25">
      <c r="A66" s="30"/>
      <c r="D66" s="21"/>
      <c r="F66" s="21"/>
      <c r="G66" s="21"/>
      <c r="H66" s="21"/>
      <c r="I66" s="21"/>
      <c r="J66" s="57"/>
      <c r="K66" s="58"/>
      <c r="O66" s="46"/>
      <c r="P66" s="20"/>
    </row>
    <row r="67" spans="1:16" s="31" customFormat="1" x14ac:dyDescent="0.25">
      <c r="A67" s="30"/>
      <c r="D67" s="21"/>
      <c r="F67" s="21"/>
      <c r="G67" s="21"/>
      <c r="H67" s="59"/>
      <c r="I67" s="21"/>
      <c r="J67" s="60"/>
      <c r="L67" s="61"/>
      <c r="M67" s="46"/>
      <c r="N67" s="52"/>
      <c r="O67" s="46"/>
      <c r="P67" s="20"/>
    </row>
    <row r="68" spans="1:16" s="31" customFormat="1" x14ac:dyDescent="0.25">
      <c r="A68" s="30"/>
      <c r="C68" s="20"/>
      <c r="D68" s="21"/>
      <c r="F68" s="21"/>
      <c r="G68" s="21"/>
      <c r="H68" s="22"/>
      <c r="I68" s="21"/>
      <c r="J68" s="60"/>
      <c r="L68" s="61"/>
      <c r="M68" s="46"/>
      <c r="N68" s="52"/>
      <c r="O68" s="46"/>
      <c r="P68" s="20"/>
    </row>
    <row r="69" spans="1:16" s="31" customFormat="1" x14ac:dyDescent="0.25">
      <c r="A69" s="30"/>
      <c r="D69" s="21"/>
      <c r="E69" s="21"/>
      <c r="F69" s="21"/>
      <c r="G69" s="21"/>
      <c r="H69" s="21"/>
      <c r="I69" s="21"/>
      <c r="J69" s="60"/>
      <c r="L69" s="61"/>
      <c r="M69" s="46"/>
      <c r="N69" s="52"/>
      <c r="O69" s="46"/>
      <c r="P69" s="159"/>
    </row>
    <row r="70" spans="1:16" s="31" customFormat="1" x14ac:dyDescent="0.25">
      <c r="C70" s="20"/>
      <c r="D70" s="21"/>
      <c r="E70" s="21"/>
      <c r="F70" s="21"/>
      <c r="G70" s="21"/>
      <c r="H70" s="21"/>
      <c r="I70" s="21"/>
      <c r="L70" s="63"/>
      <c r="M70" s="46"/>
      <c r="N70" s="52"/>
      <c r="O70" s="21"/>
      <c r="P70" s="52"/>
    </row>
    <row r="71" spans="1:16" s="31" customFormat="1" x14ac:dyDescent="0.25">
      <c r="A71" s="30"/>
      <c r="C71" s="20"/>
      <c r="D71" s="46"/>
      <c r="E71" s="46"/>
      <c r="F71" s="46"/>
      <c r="G71" s="46"/>
      <c r="H71" s="46"/>
      <c r="I71" s="46"/>
      <c r="J71" s="64"/>
      <c r="K71" s="46"/>
      <c r="L71" s="63"/>
      <c r="M71" s="46"/>
      <c r="N71" s="52"/>
      <c r="O71" s="21"/>
    </row>
    <row r="72" spans="1:16" s="31" customFormat="1" x14ac:dyDescent="0.25">
      <c r="A72" s="30"/>
      <c r="C72" s="20"/>
      <c r="D72" s="21"/>
      <c r="E72" s="21"/>
      <c r="F72" s="21"/>
      <c r="G72" s="21"/>
      <c r="H72" s="21"/>
      <c r="I72" s="21"/>
      <c r="J72" s="64"/>
      <c r="L72" s="66"/>
      <c r="M72" s="21"/>
      <c r="N72" s="30"/>
      <c r="O72" s="21"/>
      <c r="P72" s="159"/>
    </row>
    <row r="73" spans="1:16" s="31" customFormat="1" x14ac:dyDescent="0.25">
      <c r="A73" s="30"/>
      <c r="D73" s="30"/>
      <c r="E73" s="46"/>
      <c r="F73" s="46"/>
      <c r="G73" s="46"/>
      <c r="H73" s="46"/>
      <c r="I73" s="21"/>
      <c r="J73" s="64"/>
      <c r="K73" s="46"/>
      <c r="L73" s="46"/>
      <c r="M73" s="21"/>
      <c r="N73" s="30"/>
      <c r="O73" s="21"/>
      <c r="P73" s="159"/>
    </row>
    <row r="74" spans="1:16" s="31" customFormat="1" x14ac:dyDescent="0.25">
      <c r="C74" s="20"/>
      <c r="D74" s="20"/>
      <c r="E74" s="28"/>
      <c r="F74" s="20"/>
      <c r="G74" s="20"/>
      <c r="H74" s="20"/>
      <c r="I74" s="21"/>
      <c r="J74" s="30"/>
      <c r="K74" s="30"/>
      <c r="L74" s="30"/>
      <c r="M74" s="587"/>
      <c r="N74" s="21"/>
      <c r="O74" s="21"/>
      <c r="P74" s="20"/>
    </row>
    <row r="75" spans="1:16" s="31" customFormat="1" x14ac:dyDescent="0.25">
      <c r="C75" s="20"/>
      <c r="D75" s="20"/>
      <c r="E75" s="28"/>
      <c r="F75" s="20"/>
      <c r="G75" s="20"/>
      <c r="H75" s="20"/>
      <c r="I75" s="21"/>
      <c r="J75" s="246"/>
      <c r="K75" s="587"/>
      <c r="L75" s="587"/>
      <c r="M75" s="587"/>
      <c r="N75" s="21"/>
      <c r="O75" s="21"/>
      <c r="P75" s="21"/>
    </row>
    <row r="76" spans="1:16" s="31" customFormat="1" x14ac:dyDescent="0.25">
      <c r="C76" s="20"/>
      <c r="D76" s="20"/>
      <c r="E76" s="28"/>
      <c r="F76" s="20"/>
      <c r="G76" s="20"/>
      <c r="H76" s="20"/>
      <c r="I76" s="21"/>
      <c r="J76" s="21"/>
      <c r="K76" s="674"/>
      <c r="L76" s="674"/>
      <c r="M76" s="674"/>
      <c r="N76" s="21"/>
      <c r="O76" s="21"/>
      <c r="P76" s="21"/>
    </row>
    <row r="77" spans="1:16" s="31" customFormat="1" x14ac:dyDescent="0.25">
      <c r="C77" s="20"/>
      <c r="D77" s="20"/>
      <c r="E77" s="28"/>
      <c r="F77" s="20"/>
      <c r="G77" s="20"/>
      <c r="H77" s="20"/>
      <c r="I77" s="21"/>
      <c r="J77" s="21"/>
      <c r="K77" s="21"/>
      <c r="L77" s="674"/>
      <c r="M77" s="674"/>
      <c r="N77" s="21"/>
      <c r="O77" s="21"/>
      <c r="P77" s="21"/>
    </row>
    <row r="78" spans="1:16" s="31" customFormat="1" x14ac:dyDescent="0.25">
      <c r="C78" s="20"/>
      <c r="D78" s="20"/>
      <c r="E78" s="28"/>
      <c r="F78" s="20"/>
      <c r="G78" s="20"/>
      <c r="H78" s="20"/>
      <c r="I78" s="21"/>
      <c r="J78" s="21"/>
      <c r="K78" s="21"/>
      <c r="L78" s="587"/>
      <c r="M78" s="587"/>
      <c r="N78" s="21"/>
      <c r="O78" s="21"/>
      <c r="P78" s="21"/>
    </row>
    <row r="79" spans="1:16" s="31" customFormat="1" x14ac:dyDescent="0.25">
      <c r="C79" s="20"/>
      <c r="D79" s="20"/>
      <c r="E79" s="28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</row>
    <row r="80" spans="1:16" s="31" customFormat="1" x14ac:dyDescent="0.25">
      <c r="C80" s="20"/>
      <c r="D80" s="46"/>
      <c r="E80" s="46"/>
      <c r="F80" s="46"/>
      <c r="G80" s="46"/>
      <c r="H80" s="46"/>
      <c r="I80" s="21"/>
      <c r="J80" s="21"/>
      <c r="K80" s="21"/>
      <c r="L80" s="21"/>
      <c r="M80" s="21"/>
      <c r="N80" s="21"/>
      <c r="O80" s="21"/>
      <c r="P80" s="21"/>
    </row>
    <row r="81" spans="1:16" s="31" customFormat="1" x14ac:dyDescent="0.25">
      <c r="A81" s="30"/>
      <c r="B81" s="21"/>
      <c r="D81" s="30"/>
      <c r="E81" s="46"/>
      <c r="F81" s="46"/>
      <c r="G81" s="46"/>
      <c r="H81" s="46"/>
      <c r="I81" s="21"/>
      <c r="J81" s="60"/>
      <c r="L81" s="46"/>
      <c r="M81" s="21"/>
      <c r="N81" s="30"/>
      <c r="O81" s="21"/>
      <c r="P81" s="21"/>
    </row>
    <row r="82" spans="1:16" s="31" customFormat="1" x14ac:dyDescent="0.25">
      <c r="A82" s="30"/>
      <c r="B82" s="21"/>
      <c r="D82" s="30"/>
      <c r="E82" s="46"/>
      <c r="F82" s="46"/>
      <c r="G82" s="46"/>
      <c r="H82" s="46"/>
      <c r="I82" s="21"/>
      <c r="J82" s="60"/>
      <c r="L82" s="46"/>
      <c r="M82" s="21"/>
      <c r="N82" s="30"/>
      <c r="O82" s="21"/>
      <c r="P82" s="21"/>
    </row>
    <row r="83" spans="1:16" s="31" customFormat="1" x14ac:dyDescent="0.25">
      <c r="A83" s="30"/>
      <c r="B83" s="21"/>
      <c r="D83" s="30"/>
      <c r="E83" s="46"/>
      <c r="F83" s="46"/>
      <c r="G83" s="46"/>
      <c r="H83" s="46"/>
      <c r="I83" s="21"/>
      <c r="J83" s="60"/>
      <c r="L83" s="46"/>
      <c r="M83" s="21"/>
      <c r="N83" s="30"/>
      <c r="O83" s="21"/>
      <c r="P83" s="21"/>
    </row>
    <row r="84" spans="1:16" s="31" customFormat="1" ht="21" x14ac:dyDescent="0.35">
      <c r="A84" s="67"/>
      <c r="B84" s="68"/>
      <c r="C84" s="69"/>
      <c r="D84" s="67"/>
      <c r="E84" s="70"/>
      <c r="F84" s="70"/>
      <c r="G84" s="70"/>
      <c r="H84" s="70"/>
      <c r="I84" s="68"/>
      <c r="J84" s="70"/>
      <c r="K84" s="71"/>
      <c r="L84" s="72"/>
      <c r="M84" s="71"/>
      <c r="N84" s="67"/>
      <c r="O84" s="21"/>
      <c r="P84" s="21"/>
    </row>
    <row r="85" spans="1:16" s="31" customFormat="1" ht="21" x14ac:dyDescent="0.35">
      <c r="A85" s="67"/>
      <c r="B85" s="68"/>
      <c r="C85" s="69"/>
      <c r="D85" s="67"/>
      <c r="E85" s="70"/>
      <c r="F85" s="70"/>
      <c r="G85" s="70"/>
      <c r="H85" s="70"/>
      <c r="I85" s="68"/>
      <c r="J85" s="70"/>
      <c r="K85" s="71"/>
      <c r="L85" s="72"/>
      <c r="M85" s="71"/>
      <c r="N85" s="67"/>
      <c r="O85" s="21"/>
      <c r="P85" s="21"/>
    </row>
    <row r="86" spans="1:16" s="31" customFormat="1" ht="21" x14ac:dyDescent="0.35">
      <c r="A86" s="67"/>
      <c r="B86" s="68"/>
      <c r="C86" s="69"/>
      <c r="D86" s="68"/>
      <c r="E86" s="70"/>
      <c r="F86" s="70"/>
      <c r="G86" s="70"/>
      <c r="H86" s="70"/>
      <c r="I86" s="68"/>
      <c r="J86" s="70"/>
      <c r="K86" s="71"/>
      <c r="L86" s="72"/>
      <c r="M86" s="71"/>
      <c r="N86" s="67"/>
      <c r="O86" s="21"/>
      <c r="P86" s="21"/>
    </row>
    <row r="87" spans="1:16" s="31" customFormat="1" ht="21" x14ac:dyDescent="0.35">
      <c r="A87" s="67"/>
      <c r="B87" s="68"/>
      <c r="C87" s="69"/>
      <c r="D87" s="68"/>
      <c r="E87" s="70"/>
      <c r="F87" s="70"/>
      <c r="G87" s="70"/>
      <c r="H87" s="70"/>
      <c r="I87" s="68"/>
      <c r="J87" s="70"/>
      <c r="K87" s="71"/>
      <c r="L87" s="72"/>
      <c r="M87" s="71"/>
      <c r="N87" s="67"/>
      <c r="O87" s="21"/>
      <c r="P87" s="21"/>
    </row>
    <row r="88" spans="1:16" s="31" customFormat="1" ht="21" x14ac:dyDescent="0.35">
      <c r="A88" s="67"/>
      <c r="B88" s="68"/>
      <c r="C88" s="69"/>
      <c r="D88" s="68"/>
      <c r="E88" s="70"/>
      <c r="F88" s="70"/>
      <c r="G88" s="70"/>
      <c r="H88" s="70"/>
      <c r="I88" s="68"/>
      <c r="J88" s="70"/>
      <c r="K88" s="71"/>
      <c r="L88" s="72"/>
      <c r="M88" s="71"/>
      <c r="N88" s="67"/>
      <c r="O88" s="21"/>
      <c r="P88" s="21"/>
    </row>
    <row r="89" spans="1:16" s="31" customFormat="1" ht="21" x14ac:dyDescent="0.35">
      <c r="A89" s="67"/>
      <c r="B89" s="68"/>
      <c r="C89" s="69"/>
      <c r="D89" s="68"/>
      <c r="E89" s="70"/>
      <c r="F89" s="70"/>
      <c r="G89" s="70"/>
      <c r="H89" s="70"/>
      <c r="I89" s="68"/>
      <c r="J89" s="70"/>
      <c r="K89" s="71"/>
      <c r="L89" s="72"/>
      <c r="M89" s="71"/>
      <c r="N89" s="67"/>
      <c r="O89" s="21"/>
      <c r="P89" s="21"/>
    </row>
    <row r="90" spans="1:16" s="31" customFormat="1" ht="21" x14ac:dyDescent="0.35">
      <c r="A90" s="67"/>
      <c r="B90" s="68"/>
      <c r="C90" s="69"/>
      <c r="D90" s="68"/>
      <c r="E90" s="68"/>
      <c r="F90" s="68"/>
      <c r="G90" s="68"/>
      <c r="H90" s="68"/>
      <c r="I90" s="68"/>
      <c r="J90" s="70"/>
      <c r="K90" s="71"/>
      <c r="L90" s="71"/>
      <c r="M90" s="71"/>
      <c r="N90" s="73"/>
      <c r="O90" s="21"/>
      <c r="P90" s="21"/>
    </row>
    <row r="91" spans="1:16" s="31" customFormat="1" ht="21" x14ac:dyDescent="0.35">
      <c r="A91" s="67"/>
      <c r="B91" s="68"/>
      <c r="C91" s="69"/>
      <c r="D91" s="68"/>
      <c r="E91" s="68"/>
      <c r="F91" s="68"/>
      <c r="G91" s="68"/>
      <c r="H91" s="68"/>
      <c r="I91" s="68"/>
      <c r="J91" s="70"/>
      <c r="K91" s="71"/>
      <c r="L91" s="71"/>
      <c r="M91" s="71"/>
      <c r="N91" s="73"/>
      <c r="O91" s="21"/>
      <c r="P91" s="21"/>
    </row>
    <row r="92" spans="1:16" s="31" customFormat="1" ht="21" x14ac:dyDescent="0.35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71"/>
      <c r="L92" s="71"/>
      <c r="M92" s="71"/>
      <c r="N92" s="67"/>
      <c r="O92" s="21"/>
      <c r="P92" s="21"/>
    </row>
    <row r="93" spans="1:16" s="31" customFormat="1" ht="21" x14ac:dyDescent="0.3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71"/>
      <c r="L93" s="71"/>
      <c r="M93" s="71"/>
      <c r="N93" s="67"/>
      <c r="O93" s="21"/>
      <c r="P93" s="21"/>
    </row>
    <row r="94" spans="1:16" s="31" customFormat="1" ht="21" x14ac:dyDescent="0.3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71"/>
      <c r="L94" s="71"/>
      <c r="M94" s="71"/>
      <c r="N94" s="67"/>
      <c r="O94" s="21"/>
      <c r="P94" s="21"/>
    </row>
    <row r="95" spans="1:16" s="31" customFormat="1" ht="21" x14ac:dyDescent="0.3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71"/>
      <c r="L95" s="71"/>
      <c r="M95" s="71"/>
      <c r="N95" s="67"/>
      <c r="O95" s="21"/>
      <c r="P95" s="21"/>
    </row>
    <row r="96" spans="1:16" s="31" customFormat="1" ht="21" x14ac:dyDescent="0.3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71"/>
      <c r="L96" s="71"/>
      <c r="M96" s="71"/>
      <c r="N96" s="67"/>
      <c r="O96" s="21"/>
      <c r="P96" s="21"/>
    </row>
    <row r="97" spans="1:17" s="31" customFormat="1" ht="21" x14ac:dyDescent="0.3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71"/>
      <c r="L97" s="71"/>
      <c r="M97" s="71"/>
      <c r="N97" s="67"/>
      <c r="O97" s="21"/>
      <c r="P97" s="21"/>
    </row>
    <row r="98" spans="1:17" s="31" customFormat="1" ht="21" x14ac:dyDescent="0.3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71"/>
      <c r="L98" s="71"/>
      <c r="M98" s="71"/>
      <c r="N98" s="67"/>
      <c r="O98" s="21"/>
      <c r="P98" s="21"/>
    </row>
    <row r="99" spans="1:17" s="31" customFormat="1" ht="21" x14ac:dyDescent="0.3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71"/>
      <c r="L99" s="71"/>
      <c r="M99" s="71"/>
      <c r="N99" s="67"/>
      <c r="O99" s="21"/>
      <c r="P99" s="21"/>
    </row>
    <row r="100" spans="1:17" s="31" customFormat="1" ht="21" x14ac:dyDescent="0.35">
      <c r="A100" s="67"/>
      <c r="B100" s="68"/>
      <c r="C100" s="74"/>
      <c r="D100" s="68"/>
      <c r="E100" s="68"/>
      <c r="F100" s="68"/>
      <c r="G100" s="68"/>
      <c r="H100" s="68"/>
      <c r="I100" s="68"/>
      <c r="J100" s="68"/>
      <c r="K100" s="71"/>
      <c r="L100" s="71"/>
      <c r="M100" s="71"/>
      <c r="N100" s="67"/>
      <c r="P100" s="21"/>
    </row>
    <row r="101" spans="1:17" s="31" customFormat="1" ht="21" x14ac:dyDescent="0.3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71"/>
      <c r="L101" s="71"/>
      <c r="M101" s="71"/>
      <c r="N101" s="67"/>
      <c r="O101" s="21"/>
      <c r="P101" s="21"/>
      <c r="Q101" s="21"/>
    </row>
    <row r="102" spans="1:17" s="31" customFormat="1" ht="21" x14ac:dyDescent="0.3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71"/>
      <c r="L102" s="71"/>
      <c r="M102" s="71"/>
      <c r="N102" s="67"/>
      <c r="O102" s="21"/>
      <c r="P102" s="21"/>
    </row>
    <row r="103" spans="1:17" s="31" customFormat="1" ht="21" x14ac:dyDescent="0.3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71"/>
      <c r="L103" s="71"/>
      <c r="M103" s="71"/>
      <c r="N103" s="67"/>
      <c r="O103" s="21"/>
      <c r="P103" s="21"/>
    </row>
    <row r="104" spans="1:17" s="31" customFormat="1" ht="21" x14ac:dyDescent="0.3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71"/>
      <c r="L104" s="71"/>
      <c r="M104" s="71"/>
      <c r="N104" s="67"/>
      <c r="O104" s="21"/>
      <c r="P104" s="21"/>
    </row>
    <row r="105" spans="1:17" s="31" customFormat="1" ht="21" x14ac:dyDescent="0.3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71"/>
      <c r="L105" s="71"/>
      <c r="M105" s="71"/>
      <c r="N105" s="67"/>
      <c r="O105" s="21"/>
      <c r="P105" s="21"/>
    </row>
    <row r="106" spans="1:17" s="31" customFormat="1" ht="21" x14ac:dyDescent="0.3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71"/>
      <c r="L106" s="71"/>
      <c r="M106" s="71"/>
      <c r="N106" s="67"/>
      <c r="O106" s="21"/>
      <c r="P106" s="21"/>
    </row>
    <row r="107" spans="1:17" s="31" customFormat="1" ht="21" x14ac:dyDescent="0.3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71"/>
      <c r="L107" s="71"/>
      <c r="M107" s="71"/>
      <c r="N107" s="67"/>
      <c r="O107" s="21"/>
      <c r="P107" s="21"/>
    </row>
    <row r="108" spans="1:17" s="31" customFormat="1" ht="21" x14ac:dyDescent="0.3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71"/>
      <c r="L108" s="71"/>
      <c r="M108" s="71"/>
      <c r="N108" s="67"/>
      <c r="O108" s="21"/>
      <c r="P108" s="21"/>
    </row>
    <row r="109" spans="1:17" s="31" customFormat="1" ht="21" x14ac:dyDescent="0.3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71"/>
      <c r="L109" s="71"/>
      <c r="M109" s="71"/>
      <c r="N109" s="67"/>
      <c r="O109" s="21"/>
      <c r="P109" s="21"/>
    </row>
    <row r="110" spans="1:17" s="31" customFormat="1" ht="21" x14ac:dyDescent="0.35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71"/>
      <c r="L110" s="71"/>
      <c r="M110" s="71"/>
      <c r="N110" s="67"/>
      <c r="O110" s="21"/>
      <c r="P110" s="21"/>
    </row>
    <row r="111" spans="1:17" s="31" customFormat="1" ht="21" x14ac:dyDescent="0.35">
      <c r="A111" s="67"/>
      <c r="B111" s="68"/>
      <c r="C111" s="68"/>
      <c r="D111" s="68"/>
      <c r="E111" s="76"/>
      <c r="F111" s="68"/>
      <c r="G111" s="68"/>
      <c r="H111" s="68"/>
      <c r="I111" s="68"/>
      <c r="J111" s="68"/>
      <c r="K111" s="71"/>
      <c r="L111" s="71"/>
      <c r="M111" s="71"/>
      <c r="N111" s="67"/>
      <c r="O111" s="21"/>
      <c r="P111" s="21"/>
    </row>
    <row r="112" spans="1:17" s="31" customFormat="1" ht="21" x14ac:dyDescent="0.35">
      <c r="A112" s="67"/>
      <c r="B112" s="68"/>
      <c r="C112" s="68"/>
      <c r="D112" s="68"/>
      <c r="E112" s="76"/>
      <c r="F112" s="68"/>
      <c r="G112" s="68"/>
      <c r="H112" s="68"/>
      <c r="I112" s="68"/>
      <c r="J112" s="68"/>
      <c r="K112" s="71"/>
      <c r="L112" s="71"/>
      <c r="M112" s="71"/>
      <c r="N112" s="67"/>
      <c r="O112" s="21"/>
      <c r="P112" s="21"/>
    </row>
    <row r="113" spans="1:16" s="31" customFormat="1" ht="21" x14ac:dyDescent="0.35">
      <c r="A113" s="67"/>
      <c r="B113" s="68"/>
      <c r="C113" s="68"/>
      <c r="D113" s="68"/>
      <c r="E113" s="76"/>
      <c r="F113" s="68"/>
      <c r="G113" s="68"/>
      <c r="H113" s="68"/>
      <c r="I113" s="68"/>
      <c r="J113" s="68"/>
      <c r="K113" s="71"/>
      <c r="L113" s="71"/>
      <c r="M113" s="71"/>
      <c r="N113" s="67"/>
      <c r="O113" s="21"/>
      <c r="P113" s="28"/>
    </row>
    <row r="114" spans="1:16" s="31" customFormat="1" ht="21" x14ac:dyDescent="0.3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71"/>
      <c r="L114" s="71"/>
      <c r="M114" s="71"/>
      <c r="N114" s="67"/>
      <c r="O114" s="21"/>
      <c r="P114" s="21"/>
    </row>
    <row r="115" spans="1:16" s="31" customFormat="1" ht="21" x14ac:dyDescent="0.35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71"/>
      <c r="L115" s="71"/>
      <c r="M115" s="71"/>
      <c r="N115" s="67"/>
      <c r="O115" s="21"/>
      <c r="P115" s="21"/>
    </row>
    <row r="116" spans="1:16" s="31" customFormat="1" ht="21" x14ac:dyDescent="0.35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71"/>
      <c r="L116" s="71"/>
      <c r="M116" s="71"/>
      <c r="N116" s="67"/>
      <c r="O116" s="21"/>
      <c r="P116" s="21"/>
    </row>
    <row r="117" spans="1:16" s="31" customFormat="1" ht="21" x14ac:dyDescent="0.35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71"/>
      <c r="L117" s="71"/>
      <c r="M117" s="71"/>
      <c r="N117" s="67"/>
      <c r="O117" s="21"/>
      <c r="P117" s="21"/>
    </row>
    <row r="118" spans="1:16" s="31" customFormat="1" ht="21" x14ac:dyDescent="0.3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71"/>
      <c r="L118" s="71"/>
      <c r="M118" s="71"/>
      <c r="N118" s="67"/>
      <c r="O118" s="21"/>
      <c r="P118" s="21"/>
    </row>
    <row r="119" spans="1:16" s="31" customFormat="1" ht="21" x14ac:dyDescent="0.3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71"/>
      <c r="L119" s="71"/>
      <c r="M119" s="71"/>
      <c r="N119" s="67"/>
      <c r="O119" s="21"/>
      <c r="P119" s="21"/>
    </row>
    <row r="120" spans="1:16" s="31" customFormat="1" ht="21" x14ac:dyDescent="0.35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71"/>
      <c r="L120" s="71"/>
      <c r="M120" s="71"/>
      <c r="N120" s="67"/>
      <c r="O120" s="21"/>
      <c r="P120" s="21"/>
    </row>
    <row r="121" spans="1:16" s="31" customFormat="1" ht="21" x14ac:dyDescent="0.35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71"/>
      <c r="L121" s="71"/>
      <c r="M121" s="71"/>
      <c r="N121" s="67"/>
      <c r="O121" s="21"/>
      <c r="P121" s="21"/>
    </row>
    <row r="122" spans="1:16" s="31" customFormat="1" ht="21" x14ac:dyDescent="0.3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71"/>
      <c r="L122" s="71"/>
      <c r="M122" s="71"/>
      <c r="N122" s="67"/>
      <c r="O122" s="21"/>
      <c r="P122" s="21"/>
    </row>
    <row r="123" spans="1:16" s="31" customFormat="1" ht="21" x14ac:dyDescent="0.3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71"/>
      <c r="L123" s="71"/>
      <c r="M123" s="71"/>
      <c r="N123" s="67"/>
      <c r="O123" s="21"/>
      <c r="P123" s="21"/>
    </row>
    <row r="124" spans="1:16" s="31" customFormat="1" ht="21" x14ac:dyDescent="0.35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71"/>
      <c r="L124" s="71"/>
      <c r="M124" s="71"/>
      <c r="N124" s="67"/>
      <c r="O124" s="21"/>
      <c r="P124" s="21"/>
    </row>
    <row r="125" spans="1:16" s="31" customFormat="1" ht="21" x14ac:dyDescent="0.3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71"/>
      <c r="L125" s="71"/>
      <c r="M125" s="71"/>
      <c r="N125" s="67"/>
      <c r="O125" s="21"/>
      <c r="P125" s="21"/>
    </row>
    <row r="126" spans="1:16" s="31" customFormat="1" ht="21" x14ac:dyDescent="0.3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71"/>
      <c r="L126" s="71"/>
      <c r="M126" s="71"/>
      <c r="N126" s="67"/>
      <c r="O126" s="21"/>
      <c r="P126" s="21"/>
    </row>
    <row r="127" spans="1:16" s="31" customFormat="1" ht="18.75" x14ac:dyDescent="0.3">
      <c r="A127" s="67"/>
      <c r="B127" s="21"/>
      <c r="C127" s="6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30"/>
      <c r="O127" s="21"/>
      <c r="P127" s="21"/>
    </row>
    <row r="128" spans="1:16" s="31" customFormat="1" ht="18.75" x14ac:dyDescent="0.3">
      <c r="B128" s="21"/>
      <c r="C128" s="6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30"/>
      <c r="O128" s="21"/>
      <c r="P128" s="21"/>
    </row>
    <row r="129" spans="1:19" s="31" customFormat="1" ht="18.75" x14ac:dyDescent="0.3">
      <c r="C129" s="6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9" s="31" customFormat="1" ht="18.75" x14ac:dyDescent="0.3">
      <c r="A130" s="78"/>
      <c r="B130" s="74"/>
      <c r="C130" s="6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9" s="31" customFormat="1" ht="18.75" x14ac:dyDescent="0.3">
      <c r="A131" s="74"/>
      <c r="B131" s="74"/>
      <c r="C131" s="68"/>
      <c r="D131" s="44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9" s="31" customFormat="1" ht="18.75" x14ac:dyDescent="0.3">
      <c r="A132" s="74"/>
      <c r="B132" s="74"/>
      <c r="C132" s="6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21"/>
    </row>
    <row r="133" spans="1:19" s="31" customFormat="1" ht="18.75" x14ac:dyDescent="0.3">
      <c r="A133" s="74"/>
      <c r="B133" s="74"/>
      <c r="C133" s="68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1"/>
      <c r="R133" s="81"/>
      <c r="S133" s="81"/>
    </row>
    <row r="134" spans="1:19" s="31" customFormat="1" ht="18.75" x14ac:dyDescent="0.3">
      <c r="A134" s="78"/>
      <c r="B134" s="74"/>
      <c r="C134" s="6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P134" s="79"/>
      <c r="Q134" s="81"/>
      <c r="R134" s="81"/>
      <c r="S134" s="81"/>
    </row>
    <row r="135" spans="1:19" s="31" customFormat="1" ht="18.75" x14ac:dyDescent="0.3">
      <c r="A135" s="78"/>
      <c r="B135" s="74"/>
      <c r="C135" s="6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9" s="31" customFormat="1" ht="18.75" x14ac:dyDescent="0.3">
      <c r="A136" s="74"/>
      <c r="B136" s="74"/>
      <c r="C136" s="6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81"/>
      <c r="R136" s="81"/>
      <c r="S136" s="81"/>
    </row>
    <row r="137" spans="1:19" s="31" customFormat="1" ht="18.75" x14ac:dyDescent="0.3">
      <c r="A137" s="74"/>
      <c r="B137" s="74"/>
      <c r="C137" s="6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1"/>
      <c r="R137" s="81"/>
      <c r="S137" s="81"/>
    </row>
    <row r="138" spans="1:19" s="31" customFormat="1" ht="18.75" x14ac:dyDescent="0.3">
      <c r="A138" s="74"/>
      <c r="B138" s="74"/>
      <c r="C138" s="68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81"/>
      <c r="R138" s="81"/>
      <c r="S138" s="81"/>
    </row>
    <row r="139" spans="1:19" s="31" customFormat="1" ht="18.75" x14ac:dyDescent="0.3">
      <c r="A139" s="74"/>
      <c r="B139" s="74"/>
      <c r="C139" s="7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79"/>
      <c r="Q139" s="81"/>
      <c r="R139" s="81"/>
      <c r="S139" s="81"/>
    </row>
    <row r="140" spans="1:19" s="31" customFormat="1" ht="18.75" x14ac:dyDescent="0.3">
      <c r="A140" s="74"/>
      <c r="B140" s="74"/>
      <c r="C140" s="7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1:19" s="31" customFormat="1" ht="18.75" x14ac:dyDescent="0.3">
      <c r="A141" s="74"/>
      <c r="B141" s="74"/>
      <c r="C141" s="7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1:19" s="31" customFormat="1" ht="18.75" x14ac:dyDescent="0.3">
      <c r="A142" s="74"/>
      <c r="B142" s="74"/>
      <c r="C142" s="7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1:19" s="31" customFormat="1" ht="18.75" x14ac:dyDescent="0.3">
      <c r="A143" s="74"/>
      <c r="B143" s="74"/>
      <c r="C143" s="7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1:19" s="31" customFormat="1" ht="18.75" x14ac:dyDescent="0.3">
      <c r="A144" s="74"/>
      <c r="B144" s="74"/>
      <c r="C144" s="7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s="31" customFormat="1" ht="18.75" x14ac:dyDescent="0.3">
      <c r="A145" s="74"/>
      <c r="B145" s="74"/>
      <c r="P145" s="81"/>
      <c r="Q145" s="81"/>
      <c r="R145" s="81"/>
      <c r="S145" s="81"/>
    </row>
    <row r="146" spans="1:19" s="31" customFormat="1" x14ac:dyDescent="0.25">
      <c r="Q146" s="81"/>
      <c r="R146" s="81"/>
      <c r="S146" s="81"/>
    </row>
    <row r="147" spans="1:19" s="31" customFormat="1" ht="149.25" customHeight="1" x14ac:dyDescent="0.25">
      <c r="Q147" s="81"/>
      <c r="R147" s="81"/>
      <c r="S147" s="81"/>
    </row>
    <row r="148" spans="1:19" s="31" customFormat="1" x14ac:dyDescent="0.25">
      <c r="Q148" s="81"/>
      <c r="R148" s="81"/>
      <c r="S148" s="81"/>
    </row>
    <row r="149" spans="1:19" s="31" customFormat="1" x14ac:dyDescent="0.25">
      <c r="Q149" s="81"/>
      <c r="R149" s="81"/>
      <c r="S149" s="81"/>
    </row>
    <row r="150" spans="1:19" s="31" customFormat="1" x14ac:dyDescent="0.25">
      <c r="Q150" s="81"/>
      <c r="R150" s="81"/>
      <c r="S150" s="81"/>
    </row>
    <row r="151" spans="1:19" s="31" customFormat="1" x14ac:dyDescent="0.25">
      <c r="Q151" s="81"/>
      <c r="R151" s="81"/>
      <c r="S151" s="81"/>
    </row>
    <row r="152" spans="1:19" s="31" customFormat="1" x14ac:dyDescent="0.25">
      <c r="Q152" s="81"/>
      <c r="R152" s="81"/>
      <c r="S152" s="81"/>
    </row>
    <row r="153" spans="1:19" s="31" customFormat="1" x14ac:dyDescent="0.25">
      <c r="Q153" s="81"/>
      <c r="R153" s="81"/>
      <c r="S153" s="81"/>
    </row>
    <row r="154" spans="1:19" s="31" customFormat="1" x14ac:dyDescent="0.25">
      <c r="Q154" s="81"/>
      <c r="R154" s="81"/>
      <c r="S154" s="81"/>
    </row>
    <row r="155" spans="1:19" s="31" customFormat="1" x14ac:dyDescent="0.25">
      <c r="Q155" s="81"/>
      <c r="R155" s="81"/>
      <c r="S155" s="81"/>
    </row>
    <row r="156" spans="1:19" s="31" customFormat="1" x14ac:dyDescent="0.25">
      <c r="Q156" s="81"/>
      <c r="R156" s="81"/>
      <c r="S156" s="81"/>
    </row>
    <row r="157" spans="1:19" s="31" customFormat="1" x14ac:dyDescent="0.25">
      <c r="Q157" s="81"/>
      <c r="R157" s="81"/>
      <c r="S157" s="81"/>
    </row>
    <row r="158" spans="1:19" s="31" customFormat="1" x14ac:dyDescent="0.25">
      <c r="Q158" s="81"/>
      <c r="R158" s="81"/>
      <c r="S158" s="81"/>
    </row>
    <row r="159" spans="1:19" s="31" customFormat="1" x14ac:dyDescent="0.25">
      <c r="Q159" s="81"/>
      <c r="R159" s="81"/>
      <c r="S159" s="81"/>
    </row>
    <row r="160" spans="1:19" s="31" customFormat="1" x14ac:dyDescent="0.25">
      <c r="Q160" s="81"/>
      <c r="R160" s="81"/>
      <c r="S160" s="81"/>
    </row>
    <row r="161" spans="17:19" s="31" customFormat="1" x14ac:dyDescent="0.25">
      <c r="Q161" s="81"/>
      <c r="R161" s="81"/>
      <c r="S161" s="81"/>
    </row>
    <row r="162" spans="17:19" s="31" customFormat="1" x14ac:dyDescent="0.25">
      <c r="Q162" s="81"/>
      <c r="R162" s="81"/>
      <c r="S162" s="81"/>
    </row>
    <row r="163" spans="17:19" s="31" customFormat="1" x14ac:dyDescent="0.25">
      <c r="Q163" s="81"/>
      <c r="R163" s="81"/>
      <c r="S163" s="81"/>
    </row>
    <row r="164" spans="17:19" s="31" customFormat="1" x14ac:dyDescent="0.25">
      <c r="Q164" s="81"/>
      <c r="R164" s="81"/>
      <c r="S164" s="81"/>
    </row>
    <row r="165" spans="17:19" x14ac:dyDescent="0.25">
      <c r="Q165" s="82"/>
      <c r="R165" s="82"/>
      <c r="S165" s="82"/>
    </row>
    <row r="166" spans="17:19" x14ac:dyDescent="0.25">
      <c r="Q166" s="82"/>
      <c r="R166" s="82"/>
      <c r="S166" s="82"/>
    </row>
    <row r="167" spans="17:19" x14ac:dyDescent="0.25">
      <c r="Q167" s="82"/>
      <c r="R167" s="82"/>
      <c r="S167" s="82"/>
    </row>
    <row r="168" spans="17:19" x14ac:dyDescent="0.25">
      <c r="Q168" s="82"/>
      <c r="R168" s="82"/>
      <c r="S168" s="82"/>
    </row>
    <row r="169" spans="17:19" x14ac:dyDescent="0.25">
      <c r="Q169" s="82"/>
      <c r="R169" s="82"/>
      <c r="S169" s="82"/>
    </row>
    <row r="170" spans="17:19" x14ac:dyDescent="0.25">
      <c r="Q170" s="82"/>
      <c r="R170" s="82"/>
      <c r="S170" s="82"/>
    </row>
    <row r="171" spans="17:19" x14ac:dyDescent="0.25">
      <c r="Q171" s="82"/>
      <c r="R171" s="82"/>
      <c r="S171" s="82"/>
    </row>
    <row r="172" spans="17:19" x14ac:dyDescent="0.25">
      <c r="Q172" s="82"/>
      <c r="R172" s="82"/>
      <c r="S172" s="82"/>
    </row>
    <row r="173" spans="17:19" x14ac:dyDescent="0.25">
      <c r="Q173" s="82"/>
      <c r="R173" s="82"/>
      <c r="S173" s="82"/>
    </row>
    <row r="174" spans="17:19" x14ac:dyDescent="0.25">
      <c r="Q174" s="82"/>
      <c r="R174" s="82"/>
      <c r="S174" s="82"/>
    </row>
    <row r="175" spans="17:19" x14ac:dyDescent="0.25">
      <c r="Q175" s="82"/>
      <c r="R175" s="82"/>
      <c r="S175" s="82"/>
    </row>
    <row r="176" spans="17:19" x14ac:dyDescent="0.25">
      <c r="Q176" s="82"/>
      <c r="R176" s="82"/>
      <c r="S176" s="82"/>
    </row>
    <row r="177" spans="17:19" x14ac:dyDescent="0.25">
      <c r="Q177" s="82"/>
      <c r="R177" s="82"/>
      <c r="S177" s="82"/>
    </row>
    <row r="178" spans="17:19" x14ac:dyDescent="0.25">
      <c r="Q178" s="82"/>
      <c r="R178" s="82"/>
      <c r="S178" s="82"/>
    </row>
    <row r="179" spans="17:19" x14ac:dyDescent="0.25">
      <c r="Q179" s="82"/>
      <c r="R179" s="82"/>
      <c r="S179" s="82"/>
    </row>
    <row r="180" spans="17:19" x14ac:dyDescent="0.25">
      <c r="Q180" s="82"/>
      <c r="R180" s="82"/>
      <c r="S180" s="82"/>
    </row>
    <row r="181" spans="17:19" x14ac:dyDescent="0.25">
      <c r="Q181" s="82"/>
      <c r="R181" s="82"/>
      <c r="S181" s="82"/>
    </row>
    <row r="182" spans="17:19" x14ac:dyDescent="0.25">
      <c r="Q182" s="82"/>
      <c r="R182" s="82"/>
      <c r="S182" s="82"/>
    </row>
    <row r="183" spans="17:19" x14ac:dyDescent="0.25">
      <c r="Q183" s="82"/>
      <c r="R183" s="82"/>
      <c r="S183" s="82"/>
    </row>
    <row r="184" spans="17:19" x14ac:dyDescent="0.25">
      <c r="Q184" s="82"/>
      <c r="R184" s="82"/>
      <c r="S184" s="82"/>
    </row>
    <row r="185" spans="17:19" x14ac:dyDescent="0.25">
      <c r="Q185" s="82"/>
      <c r="R185" s="82"/>
      <c r="S185" s="82"/>
    </row>
    <row r="186" spans="17:19" x14ac:dyDescent="0.25">
      <c r="Q186" s="82"/>
      <c r="R186" s="82"/>
      <c r="S186" s="82"/>
    </row>
    <row r="187" spans="17:19" x14ac:dyDescent="0.25">
      <c r="Q187" s="82"/>
      <c r="R187" s="82"/>
      <c r="S187" s="82"/>
    </row>
    <row r="188" spans="17:19" x14ac:dyDescent="0.25">
      <c r="Q188" s="82"/>
      <c r="R188" s="82"/>
      <c r="S188" s="82"/>
    </row>
    <row r="189" spans="17:19" x14ac:dyDescent="0.25">
      <c r="Q189" s="82"/>
      <c r="R189" s="82"/>
      <c r="S189" s="82"/>
    </row>
    <row r="190" spans="17:19" x14ac:dyDescent="0.25">
      <c r="Q190" s="82"/>
      <c r="R190" s="82"/>
      <c r="S190" s="82"/>
    </row>
    <row r="191" spans="17:19" x14ac:dyDescent="0.25">
      <c r="Q191" s="82"/>
      <c r="R191" s="82"/>
      <c r="S191" s="82"/>
    </row>
    <row r="192" spans="17:19" x14ac:dyDescent="0.25">
      <c r="Q192" s="82"/>
      <c r="R192" s="82"/>
      <c r="S192" s="82"/>
    </row>
    <row r="193" spans="17:19" x14ac:dyDescent="0.25">
      <c r="Q193" s="82"/>
      <c r="R193" s="82"/>
      <c r="S193" s="82"/>
    </row>
    <row r="194" spans="17:19" x14ac:dyDescent="0.25">
      <c r="Q194" s="82"/>
      <c r="R194" s="82"/>
      <c r="S194" s="82"/>
    </row>
    <row r="195" spans="17:19" x14ac:dyDescent="0.25">
      <c r="Q195" s="82"/>
      <c r="R195" s="82"/>
      <c r="S195" s="82"/>
    </row>
    <row r="196" spans="17:19" x14ac:dyDescent="0.25">
      <c r="Q196" s="82"/>
      <c r="R196" s="82"/>
      <c r="S196" s="82"/>
    </row>
    <row r="197" spans="17:19" x14ac:dyDescent="0.25">
      <c r="Q197" s="82"/>
      <c r="R197" s="82"/>
      <c r="S197" s="82"/>
    </row>
    <row r="198" spans="17:19" x14ac:dyDescent="0.25">
      <c r="Q198" s="82"/>
      <c r="R198" s="82"/>
      <c r="S198" s="82"/>
    </row>
    <row r="199" spans="17:19" x14ac:dyDescent="0.25">
      <c r="Q199" s="82"/>
      <c r="R199" s="82"/>
      <c r="S199" s="82"/>
    </row>
    <row r="200" spans="17:19" x14ac:dyDescent="0.25">
      <c r="Q200" s="82"/>
      <c r="R200" s="82"/>
      <c r="S200" s="82"/>
    </row>
    <row r="201" spans="17:19" x14ac:dyDescent="0.25">
      <c r="Q201" s="82"/>
      <c r="R201" s="82"/>
      <c r="S201" s="82"/>
    </row>
    <row r="202" spans="17:19" x14ac:dyDescent="0.25">
      <c r="Q202" s="82"/>
      <c r="R202" s="82"/>
      <c r="S202" s="82"/>
    </row>
    <row r="203" spans="17:19" x14ac:dyDescent="0.25">
      <c r="Q203" s="82"/>
      <c r="R203" s="82"/>
      <c r="S203" s="82"/>
    </row>
    <row r="204" spans="17:19" x14ac:dyDescent="0.25">
      <c r="Q204" s="82"/>
      <c r="R204" s="82"/>
      <c r="S204" s="82"/>
    </row>
    <row r="205" spans="17:19" x14ac:dyDescent="0.25">
      <c r="Q205" s="82"/>
      <c r="R205" s="82"/>
      <c r="S205" s="82"/>
    </row>
    <row r="206" spans="17:19" x14ac:dyDescent="0.25">
      <c r="Q206" s="82"/>
      <c r="R206" s="82"/>
      <c r="S206" s="82"/>
    </row>
    <row r="207" spans="17:19" x14ac:dyDescent="0.25">
      <c r="Q207" s="82"/>
      <c r="R207" s="82"/>
      <c r="S207" s="82"/>
    </row>
    <row r="208" spans="17:19" x14ac:dyDescent="0.25">
      <c r="Q208" s="82"/>
      <c r="R208" s="82"/>
      <c r="S208" s="82"/>
    </row>
    <row r="209" spans="17:19" x14ac:dyDescent="0.25">
      <c r="Q209" s="82"/>
      <c r="R209" s="82"/>
      <c r="S209" s="82"/>
    </row>
    <row r="210" spans="17:19" x14ac:dyDescent="0.25">
      <c r="Q210" s="82"/>
      <c r="R210" s="82"/>
      <c r="S210" s="82"/>
    </row>
    <row r="211" spans="17:19" x14ac:dyDescent="0.25">
      <c r="Q211" s="82"/>
      <c r="R211" s="82"/>
      <c r="S211" s="82"/>
    </row>
    <row r="212" spans="17:19" x14ac:dyDescent="0.25">
      <c r="Q212" s="82"/>
      <c r="R212" s="82"/>
      <c r="S212" s="82"/>
    </row>
    <row r="213" spans="17:19" x14ac:dyDescent="0.25">
      <c r="Q213" s="82"/>
      <c r="R213" s="82"/>
      <c r="S213" s="82"/>
    </row>
    <row r="214" spans="17:19" x14ac:dyDescent="0.25">
      <c r="Q214" s="82"/>
      <c r="R214" s="82"/>
      <c r="S214" s="82"/>
    </row>
    <row r="215" spans="17:19" x14ac:dyDescent="0.25">
      <c r="Q215" s="82"/>
      <c r="R215" s="82"/>
      <c r="S215" s="82"/>
    </row>
    <row r="216" spans="17:19" x14ac:dyDescent="0.25">
      <c r="Q216" s="82"/>
      <c r="R216" s="82"/>
      <c r="S216" s="82"/>
    </row>
    <row r="217" spans="17:19" x14ac:dyDescent="0.25">
      <c r="Q217" s="82"/>
      <c r="R217" s="82"/>
      <c r="S217" s="82"/>
    </row>
    <row r="218" spans="17:19" x14ac:dyDescent="0.25">
      <c r="Q218" s="82"/>
      <c r="R218" s="82"/>
      <c r="S218" s="82"/>
    </row>
    <row r="219" spans="17:19" x14ac:dyDescent="0.25">
      <c r="Q219" s="82"/>
      <c r="R219" s="82"/>
      <c r="S219" s="82"/>
    </row>
    <row r="220" spans="17:19" x14ac:dyDescent="0.25">
      <c r="Q220" s="82"/>
      <c r="R220" s="82"/>
      <c r="S220" s="82"/>
    </row>
    <row r="221" spans="17:19" x14ac:dyDescent="0.25">
      <c r="Q221" s="82"/>
      <c r="R221" s="82"/>
      <c r="S221" s="82"/>
    </row>
    <row r="222" spans="17:19" x14ac:dyDescent="0.25">
      <c r="Q222" s="82"/>
      <c r="R222" s="82"/>
      <c r="S222" s="82"/>
    </row>
    <row r="223" spans="17:19" x14ac:dyDescent="0.25">
      <c r="Q223" s="82"/>
      <c r="R223" s="82"/>
      <c r="S223" s="82"/>
    </row>
    <row r="224" spans="17:19" x14ac:dyDescent="0.25">
      <c r="Q224" s="82"/>
      <c r="R224" s="82"/>
      <c r="S224" s="82"/>
    </row>
    <row r="225" spans="17:19" x14ac:dyDescent="0.25">
      <c r="Q225" s="82"/>
      <c r="R225" s="82"/>
      <c r="S225" s="82"/>
    </row>
    <row r="226" spans="17:19" x14ac:dyDescent="0.25">
      <c r="Q226" s="82"/>
      <c r="R226" s="82"/>
      <c r="S226" s="82"/>
    </row>
    <row r="227" spans="17:19" x14ac:dyDescent="0.25">
      <c r="Q227" s="82"/>
      <c r="R227" s="82"/>
      <c r="S227" s="82"/>
    </row>
    <row r="228" spans="17:19" x14ac:dyDescent="0.25">
      <c r="Q228" s="82"/>
      <c r="R228" s="82"/>
      <c r="S228" s="82"/>
    </row>
    <row r="229" spans="17:19" x14ac:dyDescent="0.25">
      <c r="Q229" s="82"/>
      <c r="R229" s="82"/>
      <c r="S229" s="82"/>
    </row>
    <row r="230" spans="17:19" x14ac:dyDescent="0.25">
      <c r="Q230" s="82"/>
      <c r="R230" s="82"/>
      <c r="S230" s="82"/>
    </row>
    <row r="231" spans="17:19" x14ac:dyDescent="0.25">
      <c r="Q231" s="82"/>
      <c r="R231" s="82"/>
      <c r="S231" s="82"/>
    </row>
    <row r="232" spans="17:19" x14ac:dyDescent="0.25">
      <c r="Q232" s="82"/>
      <c r="R232" s="82"/>
      <c r="S232" s="82"/>
    </row>
    <row r="233" spans="17:19" x14ac:dyDescent="0.25">
      <c r="Q233" s="82"/>
      <c r="R233" s="82"/>
      <c r="S233" s="82"/>
    </row>
    <row r="234" spans="17:19" x14ac:dyDescent="0.25">
      <c r="Q234" s="82"/>
      <c r="R234" s="82"/>
      <c r="S234" s="82"/>
    </row>
    <row r="235" spans="17:19" x14ac:dyDescent="0.25">
      <c r="Q235" s="82"/>
      <c r="R235" s="82"/>
      <c r="S235" s="82"/>
    </row>
    <row r="236" spans="17:19" x14ac:dyDescent="0.25">
      <c r="Q236" s="82"/>
      <c r="R236" s="82"/>
      <c r="S236" s="82"/>
    </row>
    <row r="237" spans="17:19" x14ac:dyDescent="0.25">
      <c r="Q237" s="82"/>
      <c r="R237" s="82"/>
      <c r="S237" s="82"/>
    </row>
    <row r="238" spans="17:19" x14ac:dyDescent="0.25">
      <c r="Q238" s="82"/>
      <c r="R238" s="82"/>
      <c r="S238" s="82"/>
    </row>
    <row r="239" spans="17:19" x14ac:dyDescent="0.25">
      <c r="Q239" s="82"/>
      <c r="R239" s="82"/>
      <c r="S239" s="82"/>
    </row>
    <row r="240" spans="17:19" x14ac:dyDescent="0.25">
      <c r="Q240" s="82"/>
      <c r="R240" s="82"/>
      <c r="S240" s="82"/>
    </row>
    <row r="241" spans="17:19" x14ac:dyDescent="0.25">
      <c r="Q241" s="82"/>
      <c r="R241" s="82"/>
      <c r="S241" s="82"/>
    </row>
    <row r="242" spans="17:19" x14ac:dyDescent="0.25">
      <c r="Q242" s="82"/>
      <c r="R242" s="82"/>
      <c r="S242" s="82"/>
    </row>
    <row r="243" spans="17:19" x14ac:dyDescent="0.25">
      <c r="Q243" s="82"/>
      <c r="R243" s="82"/>
      <c r="S243" s="82"/>
    </row>
    <row r="244" spans="17:19" x14ac:dyDescent="0.25">
      <c r="Q244" s="82"/>
      <c r="R244" s="82"/>
      <c r="S244" s="82"/>
    </row>
    <row r="245" spans="17:19" x14ac:dyDescent="0.25">
      <c r="Q245" s="82"/>
      <c r="R245" s="82"/>
      <c r="S245" s="82"/>
    </row>
    <row r="246" spans="17:19" x14ac:dyDescent="0.25">
      <c r="Q246" s="82"/>
      <c r="R246" s="82"/>
      <c r="S246" s="82"/>
    </row>
    <row r="247" spans="17:19" x14ac:dyDescent="0.25">
      <c r="Q247" s="82"/>
      <c r="R247" s="82"/>
      <c r="S247" s="82"/>
    </row>
    <row r="248" spans="17:19" x14ac:dyDescent="0.25">
      <c r="Q248" s="82"/>
      <c r="R248" s="82"/>
      <c r="S248" s="82"/>
    </row>
    <row r="249" spans="17:19" x14ac:dyDescent="0.25">
      <c r="Q249" s="82"/>
      <c r="R249" s="82"/>
      <c r="S249" s="82"/>
    </row>
    <row r="250" spans="17:19" x14ac:dyDescent="0.25">
      <c r="Q250" s="82"/>
      <c r="R250" s="82"/>
      <c r="S250" s="82"/>
    </row>
    <row r="251" spans="17:19" x14ac:dyDescent="0.25">
      <c r="Q251" s="82"/>
      <c r="R251" s="82"/>
      <c r="S251" s="82"/>
    </row>
    <row r="252" spans="17:19" x14ac:dyDescent="0.25">
      <c r="Q252" s="82"/>
      <c r="R252" s="82"/>
      <c r="S252" s="82"/>
    </row>
    <row r="253" spans="17:19" x14ac:dyDescent="0.25">
      <c r="Q253" s="82"/>
      <c r="R253" s="82"/>
      <c r="S253" s="82"/>
    </row>
    <row r="254" spans="17:19" x14ac:dyDescent="0.25">
      <c r="Q254" s="82"/>
      <c r="R254" s="82"/>
      <c r="S254" s="82"/>
    </row>
    <row r="255" spans="17:19" x14ac:dyDescent="0.25">
      <c r="Q255" s="82"/>
      <c r="R255" s="82"/>
      <c r="S255" s="82"/>
    </row>
    <row r="256" spans="17:19" x14ac:dyDescent="0.25">
      <c r="Q256" s="82"/>
      <c r="R256" s="82"/>
      <c r="S256" s="82"/>
    </row>
    <row r="257" spans="17:19" x14ac:dyDescent="0.25">
      <c r="Q257" s="82"/>
      <c r="R257" s="82"/>
      <c r="S257" s="82"/>
    </row>
    <row r="258" spans="17:19" x14ac:dyDescent="0.25">
      <c r="Q258" s="82"/>
      <c r="R258" s="82"/>
      <c r="S258" s="82"/>
    </row>
    <row r="259" spans="17:19" x14ac:dyDescent="0.25">
      <c r="Q259" s="82"/>
      <c r="R259" s="82"/>
      <c r="S259" s="82"/>
    </row>
    <row r="260" spans="17:19" x14ac:dyDescent="0.25">
      <c r="Q260" s="82"/>
      <c r="R260" s="82"/>
      <c r="S260" s="82"/>
    </row>
    <row r="261" spans="17:19" x14ac:dyDescent="0.25">
      <c r="Q261" s="82"/>
      <c r="R261" s="82"/>
      <c r="S261" s="82"/>
    </row>
    <row r="262" spans="17:19" x14ac:dyDescent="0.25">
      <c r="Q262" s="82"/>
      <c r="R262" s="82"/>
      <c r="S262" s="82"/>
    </row>
    <row r="263" spans="17:19" x14ac:dyDescent="0.25">
      <c r="Q263" s="82"/>
      <c r="R263" s="82"/>
      <c r="S263" s="82"/>
    </row>
    <row r="264" spans="17:19" x14ac:dyDescent="0.25">
      <c r="Q264" s="82"/>
      <c r="R264" s="82"/>
      <c r="S264" s="82"/>
    </row>
    <row r="265" spans="17:19" x14ac:dyDescent="0.25">
      <c r="Q265" s="82"/>
      <c r="R265" s="82"/>
      <c r="S265" s="82"/>
    </row>
    <row r="266" spans="17:19" x14ac:dyDescent="0.25">
      <c r="Q266" s="82"/>
      <c r="R266" s="82"/>
      <c r="S266" s="82"/>
    </row>
    <row r="267" spans="17:19" x14ac:dyDescent="0.25">
      <c r="Q267" s="82"/>
      <c r="R267" s="82"/>
      <c r="S267" s="82"/>
    </row>
    <row r="268" spans="17:19" x14ac:dyDescent="0.25">
      <c r="Q268" s="82"/>
      <c r="R268" s="82"/>
      <c r="S268" s="82"/>
    </row>
    <row r="269" spans="17:19" x14ac:dyDescent="0.25">
      <c r="Q269" s="82"/>
      <c r="R269" s="82"/>
      <c r="S269" s="82"/>
    </row>
    <row r="270" spans="17:19" x14ac:dyDescent="0.25">
      <c r="Q270" s="82"/>
      <c r="R270" s="82"/>
      <c r="S270" s="82"/>
    </row>
    <row r="271" spans="17:19" x14ac:dyDescent="0.25">
      <c r="Q271" s="82"/>
      <c r="R271" s="82"/>
      <c r="S271" s="82"/>
    </row>
    <row r="272" spans="17:19" x14ac:dyDescent="0.25">
      <c r="Q272" s="82"/>
      <c r="R272" s="82"/>
      <c r="S272" s="82"/>
    </row>
    <row r="273" spans="3:19" x14ac:dyDescent="0.25">
      <c r="Q273" s="82"/>
      <c r="R273" s="82"/>
      <c r="S273" s="82"/>
    </row>
    <row r="274" spans="3:19" x14ac:dyDescent="0.25">
      <c r="Q274" s="82"/>
      <c r="R274" s="82"/>
      <c r="S274" s="82"/>
    </row>
    <row r="275" spans="3:19" x14ac:dyDescent="0.25">
      <c r="Q275" s="82"/>
      <c r="R275" s="82"/>
      <c r="S275" s="82"/>
    </row>
    <row r="276" spans="3:19" x14ac:dyDescent="0.25">
      <c r="Q276" s="82"/>
      <c r="R276" s="82"/>
      <c r="S276" s="82"/>
    </row>
    <row r="277" spans="3:19" x14ac:dyDescent="0.25">
      <c r="Q277" s="82"/>
      <c r="R277" s="82"/>
      <c r="S277" s="82"/>
    </row>
    <row r="278" spans="3:19" x14ac:dyDescent="0.25">
      <c r="Q278" s="82"/>
      <c r="R278" s="82"/>
      <c r="S278" s="82"/>
    </row>
    <row r="279" spans="3:19" x14ac:dyDescent="0.25">
      <c r="Q279" s="82"/>
      <c r="R279" s="82"/>
      <c r="S279" s="82"/>
    </row>
    <row r="280" spans="3:19" x14ac:dyDescent="0.25">
      <c r="Q280" s="82"/>
      <c r="R280" s="82"/>
      <c r="S280" s="82"/>
    </row>
    <row r="281" spans="3:19" x14ac:dyDescent="0.25">
      <c r="Q281" s="82"/>
      <c r="R281" s="82"/>
      <c r="S281" s="82"/>
    </row>
    <row r="282" spans="3:19" x14ac:dyDescent="0.25">
      <c r="Q282" s="82"/>
      <c r="R282" s="82"/>
      <c r="S282" s="82"/>
    </row>
    <row r="283" spans="3:19" x14ac:dyDescent="0.25">
      <c r="Q283" s="82"/>
      <c r="R283" s="82"/>
      <c r="S283" s="82"/>
    </row>
    <row r="284" spans="3:19" x14ac:dyDescent="0.25">
      <c r="Q284" s="82"/>
      <c r="R284" s="82"/>
      <c r="S284" s="82"/>
    </row>
    <row r="285" spans="3:19" x14ac:dyDescent="0.25">
      <c r="Q285" s="82"/>
      <c r="R285" s="82"/>
      <c r="S285" s="82"/>
    </row>
    <row r="286" spans="3:19" x14ac:dyDescent="0.25">
      <c r="Q286" s="82"/>
      <c r="R286" s="82"/>
      <c r="S286" s="82"/>
    </row>
    <row r="287" spans="3:19" x14ac:dyDescent="0.25">
      <c r="Q287" s="82"/>
      <c r="R287" s="82"/>
      <c r="S287" s="82"/>
    </row>
    <row r="288" spans="3:19" x14ac:dyDescent="0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Q288" s="82"/>
      <c r="R288" s="82"/>
      <c r="S288" s="82"/>
    </row>
    <row r="289" spans="3:19" x14ac:dyDescent="0.25"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</row>
    <row r="290" spans="3:19" x14ac:dyDescent="0.25"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</row>
    <row r="291" spans="3:19" x14ac:dyDescent="0.25"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</row>
    <row r="292" spans="3:19" x14ac:dyDescent="0.25"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</row>
    <row r="293" spans="3:19" x14ac:dyDescent="0.25"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</row>
    <row r="294" spans="3:19" x14ac:dyDescent="0.25"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</row>
    <row r="295" spans="3:19" x14ac:dyDescent="0.25"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</row>
    <row r="296" spans="3:19" x14ac:dyDescent="0.25"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</row>
    <row r="297" spans="3:19" x14ac:dyDescent="0.25"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</row>
    <row r="298" spans="3:19" x14ac:dyDescent="0.25"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</row>
    <row r="299" spans="3:19" x14ac:dyDescent="0.25"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</row>
    <row r="300" spans="3:19" x14ac:dyDescent="0.25"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</row>
    <row r="301" spans="3:19" x14ac:dyDescent="0.25"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</row>
    <row r="302" spans="3:19" x14ac:dyDescent="0.25"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3:19" x14ac:dyDescent="0.25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3:19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3:19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3:19" x14ac:dyDescent="0.25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3:19" x14ac:dyDescent="0.25"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3:19" x14ac:dyDescent="0.25"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3:19" x14ac:dyDescent="0.25"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3:19" x14ac:dyDescent="0.25"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3:19" x14ac:dyDescent="0.25"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3:19" x14ac:dyDescent="0.25"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3:19" x14ac:dyDescent="0.25"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3:19" x14ac:dyDescent="0.25"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3:19" x14ac:dyDescent="0.25"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3:19" x14ac:dyDescent="0.25"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3:19" x14ac:dyDescent="0.25"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3:19" x14ac:dyDescent="0.25"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3:19" x14ac:dyDescent="0.25"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3:19" x14ac:dyDescent="0.25"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3:19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3:19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3:19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3:19" x14ac:dyDescent="0.25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3:19" x14ac:dyDescent="0.25"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3:19" x14ac:dyDescent="0.25"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3:19" x14ac:dyDescent="0.25"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3:19" x14ac:dyDescent="0.25"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3:19" x14ac:dyDescent="0.25"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3:19" x14ac:dyDescent="0.25"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3:19" x14ac:dyDescent="0.25"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3:19" x14ac:dyDescent="0.25"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3:19" x14ac:dyDescent="0.25"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3:19" x14ac:dyDescent="0.25"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3:19" x14ac:dyDescent="0.25"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3:19" x14ac:dyDescent="0.25"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3:19" x14ac:dyDescent="0.25"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3:19" x14ac:dyDescent="0.25"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3:19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3:19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3:19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x14ac:dyDescent="0.25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x14ac:dyDescent="0.25"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x14ac:dyDescent="0.25">
      <c r="P344" s="82"/>
      <c r="Q344" s="82"/>
      <c r="R344" s="82"/>
      <c r="S344" s="82"/>
    </row>
  </sheetData>
  <sheetProtection sheet="1" objects="1" scenarios="1"/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65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 xsi:nil="true"/>
    <Data_x0020_Request_x0020_Question_x0020_No_x002e_ xmlns="54fcda00-7b58-44a7-b108-8bd10a8a08ba">019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E2FCA12-D96E-490C-8EFD-CF83A084A635}"/>
</file>

<file path=customXml/itemProps2.xml><?xml version="1.0" encoding="utf-8"?>
<ds:datastoreItem xmlns:ds="http://schemas.openxmlformats.org/officeDocument/2006/customXml" ds:itemID="{727B8BB3-1F40-4099-9FC6-BE799906B8A6}"/>
</file>

<file path=customXml/itemProps3.xml><?xml version="1.0" encoding="utf-8"?>
<ds:datastoreItem xmlns:ds="http://schemas.openxmlformats.org/officeDocument/2006/customXml" ds:itemID="{2B6815BD-E0EE-4EFF-B189-8F12C3EA7231}"/>
</file>

<file path=customXml/itemProps4.xml><?xml version="1.0" encoding="utf-8"?>
<ds:datastoreItem xmlns:ds="http://schemas.openxmlformats.org/officeDocument/2006/customXml" ds:itemID="{BAA5EDB4-1D22-4773-B33E-B8C891714CAA}"/>
</file>

<file path=customXml/itemProps5.xml><?xml version="1.0" encoding="utf-8"?>
<ds:datastoreItem xmlns:ds="http://schemas.openxmlformats.org/officeDocument/2006/customXml" ds:itemID="{D361062E-9D62-40A1-9CB1-E318B9B5A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Disclosures</vt:lpstr>
      <vt:lpstr>OATT Input Data</vt:lpstr>
      <vt:lpstr>VA Transmission</vt:lpstr>
      <vt:lpstr>Summary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temp</cp:lastModifiedBy>
  <cp:lastPrinted>2019-04-02T14:59:17Z</cp:lastPrinted>
  <dcterms:created xsi:type="dcterms:W3CDTF">2012-11-13T18:56:46Z</dcterms:created>
  <dcterms:modified xsi:type="dcterms:W3CDTF">2019-05-29T16:31:25Z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