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E07CBB7C-0727-42EE-A113-D8F4C8A760D4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MG-10" sheetId="14" r:id="rId1"/>
    <sheet name="KU SCH J-1.1 Errata Filing" sheetId="25" r:id="rId2"/>
    <sheet name="KU TYE June 2022" sheetId="23" r:id="rId3"/>
    <sheet name="KU FERC TYE June 2022" sheetId="17" r:id="rId4"/>
    <sheet name="LGE SCH J-1.1 Errata Filing" sheetId="26" r:id="rId5"/>
    <sheet name="LGE TYE June 2022" sheetId="20" r:id="rId6"/>
    <sheet name="LGEE FERC TYE June 2022" sheetId="21" r:id="rId7"/>
    <sheet name="LGEG FERC TYE June 2022" sheetId="24" r:id="rId8"/>
  </sheets>
  <definedNames>
    <definedName name="\\" localSheetId="1" hidden="1">#REF!</definedName>
    <definedName name="\\" localSheetId="2" hidden="1">#REF!</definedName>
    <definedName name="\\" localSheetId="4" hidden="1">#REF!</definedName>
    <definedName name="\\" localSheetId="7" hidden="1">#REF!</definedName>
    <definedName name="\\" hidden="1">#REF!</definedName>
    <definedName name="\\\" localSheetId="1" hidden="1">#REF!</definedName>
    <definedName name="\\\" localSheetId="2" hidden="1">#REF!</definedName>
    <definedName name="\\\" localSheetId="4" hidden="1">#REF!</definedName>
    <definedName name="\\\" localSheetId="7" hidden="1">#REF!</definedName>
    <definedName name="\\\" hidden="1">#REF!</definedName>
    <definedName name="\\\\" localSheetId="1" hidden="1">#REF!</definedName>
    <definedName name="\\\\" localSheetId="2" hidden="1">#REF!</definedName>
    <definedName name="\\\\" localSheetId="4" hidden="1">#REF!</definedName>
    <definedName name="\\\\" localSheetId="7" hidden="1">#REF!</definedName>
    <definedName name="\\\\" hidden="1">#REF!</definedName>
    <definedName name="__123Graph_1" localSheetId="1" hidden="1">#REF!</definedName>
    <definedName name="__123Graph_1" localSheetId="2" hidden="1">#REF!</definedName>
    <definedName name="__123Graph_1" localSheetId="7" hidden="1">#REF!</definedName>
    <definedName name="__123Graph_1" hidden="1">#REF!</definedName>
    <definedName name="__123Graph_2" localSheetId="1" hidden="1">#REF!</definedName>
    <definedName name="__123Graph_2" localSheetId="2" hidden="1">#REF!</definedName>
    <definedName name="__123Graph_2" localSheetId="7" hidden="1">#REF!</definedName>
    <definedName name="__123Graph_2" hidden="1">#REF!</definedName>
    <definedName name="__123Graph_3" localSheetId="1" hidden="1">#REF!</definedName>
    <definedName name="__123Graph_3" localSheetId="2" hidden="1">#REF!</definedName>
    <definedName name="__123Graph_3" localSheetId="7" hidden="1">#REF!</definedName>
    <definedName name="__123Graph_3" hidden="1">#REF!</definedName>
    <definedName name="__123Graph_4" localSheetId="1" hidden="1">#REF!</definedName>
    <definedName name="__123Graph_4" localSheetId="2" hidden="1">#REF!</definedName>
    <definedName name="__123Graph_4" localSheetId="7" hidden="1">#REF!</definedName>
    <definedName name="__123Graph_4" hidden="1">#REF!</definedName>
    <definedName name="__123Graph_5" localSheetId="1" hidden="1">#REF!</definedName>
    <definedName name="__123Graph_5" localSheetId="2" hidden="1">#REF!</definedName>
    <definedName name="__123Graph_5" localSheetId="7" hidden="1">#REF!</definedName>
    <definedName name="__123Graph_5" hidden="1">#REF!</definedName>
    <definedName name="__123Graph_6" localSheetId="1" hidden="1">#REF!</definedName>
    <definedName name="__123Graph_6" localSheetId="2" hidden="1">#REF!</definedName>
    <definedName name="__123Graph_6" localSheetId="7" hidden="1">#REF!</definedName>
    <definedName name="__123Graph_6" hidden="1">#REF!</definedName>
    <definedName name="__123Graph_8" localSheetId="1" hidden="1">#REF!</definedName>
    <definedName name="__123Graph_8" localSheetId="2" hidden="1">#REF!</definedName>
    <definedName name="__123Graph_8" localSheetId="7" hidden="1">#REF!</definedName>
    <definedName name="__123Graph_8" hidden="1">#REF!</definedName>
    <definedName name="__123Graph_A" localSheetId="1" hidden="1">#REF!</definedName>
    <definedName name="__123Graph_A" localSheetId="2" hidden="1">#REF!</definedName>
    <definedName name="__123Graph_A" localSheetId="4" hidden="1">#REF!</definedName>
    <definedName name="__123Graph_A" localSheetId="7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localSheetId="4" hidden="1">#REF!</definedName>
    <definedName name="__123Graph_B" localSheetId="7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4" hidden="1">#REF!</definedName>
    <definedName name="__123Graph_C" localSheetId="7" hidden="1">#REF!</definedName>
    <definedName name="__123Graph_C" hidden="1">#REF!</definedName>
    <definedName name="__123Graph_D" localSheetId="1" hidden="1">#REF!</definedName>
    <definedName name="__123Graph_D" localSheetId="2" hidden="1">#REF!</definedName>
    <definedName name="__123Graph_D" localSheetId="4" hidden="1">#REF!</definedName>
    <definedName name="__123Graph_D" localSheetId="7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localSheetId="4" hidden="1">#REF!</definedName>
    <definedName name="__123Graph_E" localSheetId="7" hidden="1">#REF!</definedName>
    <definedName name="__123Graph_E" hidden="1">#REF!</definedName>
    <definedName name="__123Graph_F" localSheetId="1" hidden="1">#REF!</definedName>
    <definedName name="__123Graph_F" localSheetId="2" hidden="1">#REF!</definedName>
    <definedName name="__123Graph_F" localSheetId="4" hidden="1">#REF!</definedName>
    <definedName name="__123Graph_F" localSheetId="7" hidden="1">#REF!</definedName>
    <definedName name="__123Graph_F" hidden="1">#REF!</definedName>
    <definedName name="__123Graph_X" localSheetId="1" hidden="1">#REF!</definedName>
    <definedName name="__123Graph_X" localSheetId="2" hidden="1">#REF!</definedName>
    <definedName name="__123Graph_X" localSheetId="4" hidden="1">#REF!</definedName>
    <definedName name="__123Graph_X" localSheetId="7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7" hidden="1">#REF!</definedName>
    <definedName name="_Fill" hidden="1">#REF!</definedName>
    <definedName name="_xlnm._FilterDatabase" localSheetId="0" hidden="1">'CMG-10'!$A$1:$H$7</definedName>
    <definedName name="_Order1" hidden="1">0</definedName>
    <definedName name="_Order2" hidden="1">0</definedName>
    <definedName name="ahahahahaha" localSheetId="1" hidden="1">{"'Server Configuration'!$A$1:$DB$281"}</definedName>
    <definedName name="ahahahahaha" localSheetId="4" hidden="1">{"'Server Configuration'!$A$1:$DB$281"}</definedName>
    <definedName name="ahahahahaha" hidden="1">{"'Server Configuration'!$A$1:$DB$281"}</definedName>
    <definedName name="blip" localSheetId="1" hidden="1">{"'Server Configuration'!$A$1:$DB$281"}</definedName>
    <definedName name="blip" localSheetId="4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1" hidden="1">{"'Server Configuration'!$A$1:$DB$281"}</definedName>
    <definedName name="HTML_Control" localSheetId="4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3">'KU FERC TYE June 2022'!$A$1:$E$50</definedName>
    <definedName name="_xlnm.Print_Area" localSheetId="1">'KU SCH J-1.1 Errata Filing'!$A$1:$M$72</definedName>
    <definedName name="_xlnm.Print_Area" localSheetId="2">'KU TYE June 2022'!$A$1:$D$7</definedName>
    <definedName name="_xlnm.Print_Area" localSheetId="4">'LGE SCH J-1.1 Errata Filing'!$A$1:$K$46</definedName>
    <definedName name="_xlnm.Print_Area" localSheetId="5">'LGE TYE June 2022'!$A$1:$D$15</definedName>
    <definedName name="_xlnm.Print_Area" localSheetId="6">'LGEE FERC TYE June 2022'!$A$1:$E$50</definedName>
    <definedName name="_xlnm.Print_Area" localSheetId="7">'LGEG FERC TYE June 2022'!$A$1:$E$50</definedName>
    <definedName name="_xlnm.Print_Titles" localSheetId="3">'KU FERC TYE June 2022'!$1:$2</definedName>
    <definedName name="_xlnm.Print_Titles" localSheetId="6">'LGEE FERC TYE June 2022'!$1:$2</definedName>
    <definedName name="_xlnm.Print_Titles" localSheetId="7">'LGEG FERC TYE June 2022'!$1:$2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localSheetId="4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localSheetId="4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localSheetId="4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localSheetId="4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localSheetId="4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localSheetId="4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localSheetId="4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hidden="1">{"Wkp Unamort PreStock Exp",#N/A,FALSE,"Cap Struct WPs"}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9" i="24"/>
  <c r="C8" i="24"/>
  <c r="C7" i="24"/>
  <c r="C6" i="24"/>
  <c r="C13" i="21"/>
  <c r="C12" i="21"/>
  <c r="C9" i="21"/>
  <c r="C8" i="21"/>
  <c r="C7" i="21"/>
  <c r="C6" i="21"/>
  <c r="C22" i="14"/>
  <c r="D22" i="14"/>
  <c r="C23" i="14"/>
  <c r="D23" i="14"/>
  <c r="C24" i="14"/>
  <c r="D24" i="14"/>
  <c r="B24" i="14"/>
  <c r="B23" i="14"/>
  <c r="B22" i="14"/>
  <c r="C14" i="14"/>
  <c r="D14" i="14"/>
  <c r="C15" i="14"/>
  <c r="D15" i="14"/>
  <c r="C13" i="14"/>
  <c r="D13" i="14"/>
  <c r="B15" i="14"/>
  <c r="B14" i="14"/>
  <c r="B13" i="14"/>
  <c r="G45" i="26"/>
  <c r="E43" i="26"/>
  <c r="A33" i="26"/>
  <c r="A31" i="26"/>
  <c r="A30" i="26"/>
  <c r="A28" i="26"/>
  <c r="A27" i="26"/>
  <c r="A26" i="26"/>
  <c r="A24" i="26"/>
  <c r="G22" i="26"/>
  <c r="D43" i="26"/>
  <c r="J41" i="26"/>
  <c r="D41" i="26"/>
  <c r="J39" i="26"/>
  <c r="F16" i="26"/>
  <c r="E20" i="26"/>
  <c r="F20" i="26" s="1"/>
  <c r="H20" i="26" s="1"/>
  <c r="D39" i="26"/>
  <c r="K33" i="26"/>
  <c r="A32" i="26"/>
  <c r="A25" i="26"/>
  <c r="F22" i="26" l="1"/>
  <c r="D45" i="26"/>
  <c r="F39" i="26"/>
  <c r="F43" i="26"/>
  <c r="H43" i="26" s="1"/>
  <c r="H16" i="26"/>
  <c r="D22" i="26"/>
  <c r="E18" i="26"/>
  <c r="F18" i="26" s="1"/>
  <c r="H18" i="26" s="1"/>
  <c r="E41" i="26"/>
  <c r="F41" i="26" s="1"/>
  <c r="H41" i="26" s="1"/>
  <c r="I16" i="26" l="1"/>
  <c r="H22" i="26"/>
  <c r="I20" i="26" s="1"/>
  <c r="K20" i="26" s="1"/>
  <c r="I18" i="26"/>
  <c r="K18" i="26" s="1"/>
  <c r="F45" i="26"/>
  <c r="H39" i="26"/>
  <c r="I22" i="26" l="1"/>
  <c r="K16" i="26"/>
  <c r="K22" i="26" s="1"/>
  <c r="H45" i="26"/>
  <c r="I43" i="26" l="1"/>
  <c r="K43" i="26" s="1"/>
  <c r="I41" i="26"/>
  <c r="K41" i="26" s="1"/>
  <c r="I39" i="26"/>
  <c r="I45" i="26" l="1"/>
  <c r="K39" i="26"/>
  <c r="K45" i="26" s="1"/>
  <c r="C13" i="17" l="1"/>
  <c r="C12" i="17"/>
  <c r="C9" i="17"/>
  <c r="C8" i="17"/>
  <c r="C7" i="17"/>
  <c r="C6" i="17"/>
  <c r="C6" i="14"/>
  <c r="D6" i="14"/>
  <c r="C5" i="14"/>
  <c r="D5" i="14"/>
  <c r="B5" i="14"/>
  <c r="B6" i="14"/>
  <c r="C4" i="14"/>
  <c r="D4" i="14"/>
  <c r="B4" i="14"/>
  <c r="A53" i="25"/>
  <c r="A50" i="25"/>
  <c r="G46" i="25"/>
  <c r="G44" i="25" s="1"/>
  <c r="F44" i="25"/>
  <c r="G42" i="25"/>
  <c r="G40" i="25"/>
  <c r="A49" i="25"/>
  <c r="D44" i="25"/>
  <c r="G18" i="25"/>
  <c r="G20" i="25"/>
  <c r="D40" i="25"/>
  <c r="D42" i="25" l="1"/>
  <c r="D22" i="25"/>
  <c r="D46" i="25" l="1"/>
  <c r="E44" i="25" l="1"/>
  <c r="E40" i="25"/>
  <c r="E42" i="25"/>
  <c r="H42" i="25" l="1"/>
  <c r="I42" i="25"/>
  <c r="K42" i="25"/>
  <c r="J42" i="25"/>
  <c r="I40" i="25"/>
  <c r="H40" i="25"/>
  <c r="E46" i="25"/>
  <c r="K40" i="25"/>
  <c r="J40" i="25"/>
  <c r="I44" i="25"/>
  <c r="K44" i="25"/>
  <c r="J44" i="25"/>
  <c r="H44" i="25"/>
  <c r="L44" i="25" s="1"/>
  <c r="E20" i="25" s="1"/>
  <c r="F20" i="25" s="1"/>
  <c r="H20" i="25" s="1"/>
  <c r="L40" i="25" l="1"/>
  <c r="D68" i="25"/>
  <c r="L42" i="25"/>
  <c r="E18" i="25" s="1"/>
  <c r="F18" i="25" s="1"/>
  <c r="H18" i="25" s="1"/>
  <c r="D66" i="25" l="1"/>
  <c r="L46" i="25"/>
  <c r="E16" i="25"/>
  <c r="F16" i="25" l="1"/>
  <c r="E22" i="25"/>
  <c r="F22" i="25" l="1"/>
  <c r="H16" i="25"/>
  <c r="D64" i="25" l="1"/>
  <c r="H22" i="25"/>
  <c r="K20" i="25" l="1"/>
  <c r="M20" i="25" s="1"/>
  <c r="K18" i="25"/>
  <c r="M18" i="25" s="1"/>
  <c r="K16" i="25"/>
  <c r="D70" i="25"/>
  <c r="K22" i="25" l="1"/>
  <c r="M16" i="25"/>
  <c r="M22" i="25" s="1"/>
  <c r="E68" i="25"/>
  <c r="E66" i="25"/>
  <c r="E64" i="25"/>
  <c r="F66" i="25" l="1"/>
  <c r="H66" i="25"/>
  <c r="G66" i="25"/>
  <c r="H68" i="25"/>
  <c r="G68" i="25"/>
  <c r="F68" i="25"/>
  <c r="E70" i="25"/>
  <c r="H64" i="25"/>
  <c r="G64" i="25"/>
  <c r="F64" i="25"/>
  <c r="J64" i="25" l="1"/>
  <c r="J68" i="25"/>
  <c r="I20" i="25" s="1"/>
  <c r="J20" i="25" s="1"/>
  <c r="J66" i="25"/>
  <c r="I18" i="25" s="1"/>
  <c r="J18" i="25" s="1"/>
  <c r="J70" i="25" l="1"/>
  <c r="I16" i="25"/>
  <c r="I22" i="25" l="1"/>
  <c r="J16" i="25"/>
  <c r="J22" i="25" s="1"/>
  <c r="D4" i="20" l="1"/>
  <c r="D3" i="23" l="1"/>
  <c r="B4" i="20"/>
  <c r="D11" i="20"/>
  <c r="D5" i="20"/>
  <c r="D34" i="24"/>
  <c r="D24" i="24"/>
  <c r="B11" i="20" l="1"/>
  <c r="B3" i="23"/>
  <c r="B5" i="20"/>
  <c r="D5" i="23"/>
  <c r="D4" i="23"/>
  <c r="F4" i="14"/>
  <c r="D13" i="20"/>
  <c r="D6" i="20"/>
  <c r="D12" i="20"/>
  <c r="F22" i="14"/>
  <c r="D25" i="14"/>
  <c r="B44" i="24"/>
  <c r="E44" i="24" s="1"/>
  <c r="B34" i="24"/>
  <c r="B43" i="24"/>
  <c r="B24" i="24"/>
  <c r="D16" i="14"/>
  <c r="B16" i="14"/>
  <c r="B25" i="14"/>
  <c r="H22" i="14" l="1"/>
  <c r="G22" i="14" s="1"/>
  <c r="B13" i="20"/>
  <c r="F24" i="14"/>
  <c r="H4" i="14"/>
  <c r="G4" i="14" s="1"/>
  <c r="F6" i="14"/>
  <c r="H14" i="14"/>
  <c r="F5" i="14"/>
  <c r="B4" i="23"/>
  <c r="D6" i="23"/>
  <c r="D14" i="20"/>
  <c r="B12" i="20"/>
  <c r="F23" i="14"/>
  <c r="B46" i="24"/>
  <c r="E43" i="24"/>
  <c r="E46" i="24" s="1"/>
  <c r="F13" i="14"/>
  <c r="D34" i="21"/>
  <c r="B6" i="20" s="1"/>
  <c r="H23" i="14" l="1"/>
  <c r="G23" i="14" s="1"/>
  <c r="H24" i="14"/>
  <c r="G24" i="14" s="1"/>
  <c r="H5" i="14"/>
  <c r="G5" i="14" s="1"/>
  <c r="B14" i="20"/>
  <c r="B15" i="20" s="1"/>
  <c r="H15" i="14"/>
  <c r="B44" i="21"/>
  <c r="E44" i="21" s="1"/>
  <c r="B34" i="21"/>
  <c r="F14" i="14"/>
  <c r="D24" i="21"/>
  <c r="H13" i="14"/>
  <c r="G13" i="14" l="1"/>
  <c r="G14" i="14"/>
  <c r="D7" i="20"/>
  <c r="F15" i="14"/>
  <c r="B43" i="21"/>
  <c r="B24" i="21"/>
  <c r="B7" i="20"/>
  <c r="D34" i="17"/>
  <c r="B5" i="23" s="1"/>
  <c r="D24" i="17"/>
  <c r="G15" i="14" l="1"/>
  <c r="H6" i="14"/>
  <c r="G6" i="14" s="1"/>
  <c r="B6" i="23"/>
  <c r="B7" i="23" s="1"/>
  <c r="F16" i="14"/>
  <c r="E43" i="21"/>
  <c r="B46" i="21"/>
  <c r="B24" i="17"/>
  <c r="B43" i="17"/>
  <c r="B44" i="17"/>
  <c r="E44" i="17" s="1"/>
  <c r="B34" i="17"/>
  <c r="E46" i="21" l="1"/>
  <c r="E43" i="17"/>
  <c r="B46" i="17"/>
  <c r="E46" i="17" l="1"/>
  <c r="B7" i="14" l="1"/>
  <c r="D7" i="14" l="1"/>
  <c r="F7" i="14" l="1"/>
  <c r="H7" i="14" l="1"/>
  <c r="F25" i="14" l="1"/>
  <c r="H16" i="14" l="1"/>
  <c r="H25" i="14"/>
</calcChain>
</file>

<file path=xl/sharedStrings.xml><?xml version="1.0" encoding="utf-8"?>
<sst xmlns="http://schemas.openxmlformats.org/spreadsheetml/2006/main" count="381" uniqueCount="119">
  <si>
    <t>COST OF CAPITAL SUMMARY</t>
  </si>
  <si>
    <t>THIRTEEN MONTH AVERAGE</t>
  </si>
  <si>
    <t>DATA:____BASE  PERIOD__X__FORECASTED  PERIOD</t>
  </si>
  <si>
    <t>DATE OF CAPITAL STRUCTURE: 13 MO AVG FOR FORECASTED  PERIOD</t>
  </si>
  <si>
    <t>SCHEDULE J-1.1/J-1.2</t>
  </si>
  <si>
    <t>PAGE 1 OF 3</t>
  </si>
  <si>
    <t xml:space="preserve">WORKPAPER REFERENCE NO(S).: </t>
  </si>
  <si>
    <t>LINE NO.</t>
  </si>
  <si>
    <t>CLASS OF CAPITAL</t>
  </si>
  <si>
    <t>WORKPAPER REFERENCE</t>
  </si>
  <si>
    <t>13 MONTH AVERAGE AMOUNT</t>
  </si>
  <si>
    <t>ADJUSTMENT AMOUNT</t>
  </si>
  <si>
    <t>ADJUSTED CAPITAL</t>
  </si>
  <si>
    <t>JURISDICTIONAL RATE BASE PERCENTAGE</t>
  </si>
  <si>
    <t>JURISDICTIONAL CAPITAL</t>
  </si>
  <si>
    <t>JURISDICTIONAL ADJUSTMENTS</t>
  </si>
  <si>
    <t>JURISDICTIONAL 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</si>
  <si>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</si>
  <si>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</si>
  <si>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</si>
  <si>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</si>
  <si>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</si>
  <si>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</si>
  <si>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</si>
  <si>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</si>
  <si>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</si>
  <si>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(G=ExF)</t>
  </si>
  <si>
    <t>(H)</t>
  </si>
  <si>
    <t>(I=G+H)</t>
  </si>
  <si>
    <t>(J)</t>
  </si>
  <si>
    <t>(K)</t>
  </si>
  <si>
    <t>(L=JxK)</t>
  </si>
  <si>
    <t>$</t>
  </si>
  <si>
    <t>%</t>
  </si>
  <si>
    <t>SHORT-TERM DEBT</t>
  </si>
  <si>
    <t>J-2</t>
  </si>
  <si>
    <t>LONG-TERM DEBT</t>
  </si>
  <si>
    <t>J-3</t>
  </si>
  <si>
    <t>COMMON EQUITY</t>
  </si>
  <si>
    <t>TOTAL CAPITAL</t>
  </si>
  <si>
    <t>COST OF CAPITAL SUMMARY - ADJUSTMENT AMOUNT</t>
  </si>
  <si>
    <t>PAGE 2 OF 3</t>
  </si>
  <si>
    <t>OTHER COMPREHENSIVE INCOME - EEI</t>
  </si>
  <si>
    <t>EEI DEFERRED TAXES</t>
  </si>
  <si>
    <t>INVESTMENT IN OVEC</t>
  </si>
  <si>
    <t>NET NONUTILITY PROPERTY</t>
  </si>
  <si>
    <t>(E)</t>
  </si>
  <si>
    <t>(G)</t>
  </si>
  <si>
    <t>COST OF CAPITAL SUMMARY - JURISDICTIONAL ADJUSTMENTS</t>
  </si>
  <si>
    <t>PAGE 3 OF 3</t>
  </si>
  <si>
    <t>ECR RATE BASE</t>
  </si>
  <si>
    <t>DSM RATE BASE</t>
  </si>
  <si>
    <t>(C=PAGE 1 COL G)</t>
  </si>
  <si>
    <t>(H=E+F+G)</t>
  </si>
  <si>
    <t>KENTUCKY UTILITIES COMPANY</t>
  </si>
  <si>
    <r>
      <t>WACC AS FILED</t>
    </r>
    <r>
      <rPr>
        <b/>
        <vertAlign val="superscript"/>
        <sz val="10"/>
        <rFont val="Arial"/>
        <family val="2"/>
      </rPr>
      <t xml:space="preserve"> (1)</t>
    </r>
  </si>
  <si>
    <t>WEIGHTED COST</t>
  </si>
  <si>
    <t>% OF TOTAL</t>
  </si>
  <si>
    <t>ST Debt</t>
  </si>
  <si>
    <t>LT Debt</t>
  </si>
  <si>
    <t>Equity</t>
  </si>
  <si>
    <t>Kentucky Utilities Company</t>
  </si>
  <si>
    <t>P - Preferred Stock</t>
  </si>
  <si>
    <t>S - Avg. Short Term Debt</t>
  </si>
  <si>
    <t>s - Short Term Debt Interest rate</t>
  </si>
  <si>
    <t>D - Long Term Debt</t>
  </si>
  <si>
    <t>d- Long Term debt Interest Rate</t>
  </si>
  <si>
    <t>p - Preferred Stock Cost Rate</t>
  </si>
  <si>
    <t>C - Common Equity</t>
  </si>
  <si>
    <t>c - Common Equity Cost Rate</t>
  </si>
  <si>
    <t xml:space="preserve">     </t>
  </si>
  <si>
    <t>Ai = Gross allowance for borrowed funds used during construction rate.</t>
  </si>
  <si>
    <t>D</t>
  </si>
  <si>
    <t>Ai =</t>
  </si>
  <si>
    <t>s(S/W)    +</t>
  </si>
  <si>
    <t>d (---------------)</t>
  </si>
  <si>
    <t xml:space="preserve"> (1 - S/W)                   </t>
  </si>
  <si>
    <t xml:space="preserve">  D + P + C</t>
  </si>
  <si>
    <t>Ae = Allowance for other funds used during construction rate.</t>
  </si>
  <si>
    <t xml:space="preserve">  P</t>
  </si>
  <si>
    <t>C</t>
  </si>
  <si>
    <t xml:space="preserve">Ae = </t>
  </si>
  <si>
    <t xml:space="preserve"> [1 - S/W]</t>
  </si>
  <si>
    <t>[ p (---------------)</t>
  </si>
  <si>
    <t xml:space="preserve">+  c (-------------------)] </t>
  </si>
  <si>
    <t>D + P + C</t>
  </si>
  <si>
    <t>Total Rate</t>
  </si>
  <si>
    <t>Ae =</t>
  </si>
  <si>
    <t>AVERAGE WEIGHTED COST</t>
  </si>
  <si>
    <t>LOUISVILLE GAS AND ELECTRIC COMPANY</t>
  </si>
  <si>
    <t>PAGE 1 OF 4</t>
  </si>
  <si>
    <t>(E=CxD)</t>
  </si>
  <si>
    <t>(G=E+F)</t>
  </si>
  <si>
    <t>(I)</t>
  </si>
  <si>
    <t>(J=HxI)</t>
  </si>
  <si>
    <t>ELECTRIC:</t>
  </si>
  <si>
    <t>PAGE 2 OF 4</t>
  </si>
  <si>
    <t>GAS:</t>
  </si>
  <si>
    <t>LOUISVILLE GAS AND ELECTRIC COMPANY (ELECTRIC)</t>
  </si>
  <si>
    <t>LOUISVILLE GAS AND ELECTRIC COMPANY (GAS)</t>
  </si>
  <si>
    <t>ELECTRIC</t>
  </si>
  <si>
    <t>GAS</t>
  </si>
  <si>
    <r>
      <t xml:space="preserve">W - Avg CWIP Balance </t>
    </r>
    <r>
      <rPr>
        <vertAlign val="superscript"/>
        <sz val="9"/>
        <rFont val="Arial"/>
        <family val="2"/>
      </rPr>
      <t>(1)</t>
    </r>
  </si>
  <si>
    <t>AFUDC FERC</t>
  </si>
  <si>
    <t>ADIT PRORATION ADJUSTMENT</t>
  </si>
  <si>
    <t>AMI</t>
  </si>
  <si>
    <t>(K=E+F+G+H+I+J)</t>
  </si>
  <si>
    <t>AMI RATE BASE</t>
  </si>
  <si>
    <t>CASE NO. 2020-00349</t>
  </si>
  <si>
    <t>FROM JULY 1, 2021 TO JUNE 30, 2022</t>
  </si>
  <si>
    <t>TYPE OF FILING: _____ ORIGINAL  _____ UPDATED  __X__ REVISED</t>
  </si>
  <si>
    <t>WITNESS:   D. K. ARBOUGH</t>
  </si>
  <si>
    <t>CASE NO. 2020-00350</t>
  </si>
  <si>
    <t>(1) KU Supplemental Response to PSC 1-56 – Schedule J (Ky. PSC Feb. 26, 2021); LG&amp;E Supplemental Response to PSC 1-56 – Schedule J (Ky. PSC Feb. 26, 2021).</t>
  </si>
  <si>
    <t>Calculation of AFUDC Rates</t>
  </si>
  <si>
    <t>CALCULATION OF ESTIMATED RATES FOR TEST YEAR END JUNE 2022</t>
  </si>
  <si>
    <t>1. CMG-8</t>
  </si>
  <si>
    <t>Calculation of AFUDC Rates (Gas)</t>
  </si>
  <si>
    <t>Calculation of AFUDC Rates (Electric)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</si>
</sst>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0.0000"/>
    <numFmt numFmtId="169" formatCode="0.000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double">
        <color indexed="0"/>
      </top>
      <bottom/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0" fontId="22" fillId="0" borderId="0">
      <alignment vertical="top"/>
    </xf>
    <xf numFmtId="10" fontId="22" fillId="0" borderId="0" applyFont="0" applyFill="0" applyBorder="0" applyAlignment="0" applyProtection="0"/>
  </cellStyleXfs>
  <cellXfs count="92">
    <xf numFmtId="0" fontId="0" fillId="0" borderId="0" xfId="0"/>
    <xf numFmtId="0" fontId="19" fillId="0" borderId="0" xfId="43" applyFont="1" applyFill="1" applyBorder="1" applyAlignment="1">
      <alignment horizontal="left"/>
    </xf>
    <xf numFmtId="0" fontId="19" fillId="0" borderId="10" xfId="43" applyFont="1" applyFill="1" applyBorder="1" applyAlignment="1">
      <alignment horizontal="center" wrapText="1"/>
    </xf>
    <xf numFmtId="0" fontId="20" fillId="0" borderId="0" xfId="43" applyFont="1" applyFill="1" applyBorder="1" applyAlignment="1">
      <alignment horizontal="left"/>
    </xf>
    <xf numFmtId="0" fontId="19" fillId="0" borderId="0" xfId="49" applyFont="1" applyAlignment="1"/>
    <xf numFmtId="0" fontId="19" fillId="0" borderId="0" xfId="49" quotePrefix="1" applyFont="1" applyAlignment="1">
      <alignment horizontal="left"/>
    </xf>
    <xf numFmtId="0" fontId="19" fillId="0" borderId="0" xfId="49" applyFont="1" applyFill="1" applyAlignment="1"/>
    <xf numFmtId="0" fontId="19" fillId="0" borderId="0" xfId="49" applyFont="1" applyAlignment="1">
      <alignment horizontal="center"/>
    </xf>
    <xf numFmtId="4" fontId="19" fillId="0" borderId="0" xfId="49" applyNumberFormat="1" applyFont="1" applyAlignment="1"/>
    <xf numFmtId="0" fontId="19" fillId="0" borderId="14" xfId="49" applyFont="1" applyFill="1" applyBorder="1" applyAlignment="1"/>
    <xf numFmtId="0" fontId="19" fillId="0" borderId="0" xfId="49" applyFont="1" applyAlignment="1">
      <alignment horizontal="right"/>
    </xf>
    <xf numFmtId="167" fontId="19" fillId="0" borderId="0" xfId="49" applyNumberFormat="1" applyFont="1" applyAlignment="1"/>
    <xf numFmtId="10" fontId="19" fillId="0" borderId="0" xfId="49" applyNumberFormat="1" applyFont="1" applyAlignment="1"/>
    <xf numFmtId="0" fontId="19" fillId="0" borderId="0" xfId="49" applyFont="1" applyAlignment="1">
      <alignment horizontal="centerContinuous"/>
    </xf>
    <xf numFmtId="0" fontId="19" fillId="0" borderId="0" xfId="49" applyFont="1" applyAlignment="1">
      <alignment horizontal="left"/>
    </xf>
    <xf numFmtId="168" fontId="19" fillId="0" borderId="0" xfId="49" applyNumberFormat="1" applyFont="1" applyAlignment="1"/>
    <xf numFmtId="10" fontId="19" fillId="0" borderId="0" xfId="50" applyFont="1" applyAlignment="1"/>
    <xf numFmtId="0" fontId="19" fillId="0" borderId="0" xfId="49" quotePrefix="1" applyFont="1" applyAlignment="1">
      <alignment horizontal="center"/>
    </xf>
    <xf numFmtId="0" fontId="19" fillId="0" borderId="0" xfId="49" quotePrefix="1" applyFont="1" applyAlignment="1">
      <alignment horizontal="right"/>
    </xf>
    <xf numFmtId="10" fontId="19" fillId="0" borderId="0" xfId="50" applyNumberFormat="1" applyFont="1"/>
    <xf numFmtId="167" fontId="19" fillId="0" borderId="0" xfId="50" applyNumberFormat="1" applyFont="1"/>
    <xf numFmtId="10" fontId="19" fillId="0" borderId="0" xfId="50" applyFont="1"/>
    <xf numFmtId="10" fontId="19" fillId="0" borderId="14" xfId="49" applyNumberFormat="1" applyFont="1" applyFill="1" applyBorder="1" applyAlignment="1"/>
    <xf numFmtId="10" fontId="19" fillId="0" borderId="12" xfId="50" applyNumberFormat="1" applyFont="1" applyBorder="1"/>
    <xf numFmtId="169" fontId="19" fillId="0" borderId="12" xfId="49" applyNumberFormat="1" applyFont="1" applyBorder="1" applyAlignment="1"/>
    <xf numFmtId="0" fontId="19" fillId="0" borderId="15" xfId="49" applyFont="1" applyFill="1" applyBorder="1" applyAlignment="1"/>
    <xf numFmtId="169" fontId="19" fillId="0" borderId="0" xfId="50" applyNumberFormat="1" applyFont="1"/>
    <xf numFmtId="0" fontId="19" fillId="0" borderId="0" xfId="49" applyFont="1" applyFill="1" applyAlignment="1">
      <alignment horizontal="center"/>
    </xf>
    <xf numFmtId="169" fontId="20" fillId="0" borderId="0" xfId="50" applyNumberFormat="1" applyFont="1" applyFill="1" applyAlignment="1"/>
    <xf numFmtId="169" fontId="23" fillId="0" borderId="0" xfId="50" applyNumberFormat="1" applyFont="1" applyFill="1"/>
    <xf numFmtId="169" fontId="23" fillId="0" borderId="11" xfId="50" applyNumberFormat="1" applyFont="1" applyFill="1" applyBorder="1"/>
    <xf numFmtId="164" fontId="24" fillId="0" borderId="0" xfId="44" applyNumberFormat="1" applyFont="1" applyFill="1" applyBorder="1" applyAlignment="1">
      <alignment horizontal="center" vertical="center" wrapText="1"/>
    </xf>
    <xf numFmtId="164" fontId="24" fillId="0" borderId="0" xfId="44" applyNumberFormat="1" applyFont="1" applyFill="1" applyBorder="1" applyAlignment="1">
      <alignment horizontal="right" wrapText="1"/>
    </xf>
    <xf numFmtId="10" fontId="24" fillId="0" borderId="0" xfId="45" applyNumberFormat="1" applyFont="1" applyFill="1" applyBorder="1" applyAlignment="1">
      <alignment horizontal="right" wrapText="1"/>
    </xf>
    <xf numFmtId="9" fontId="24" fillId="0" borderId="0" xfId="45" applyFont="1" applyFill="1" applyBorder="1" applyAlignment="1">
      <alignment horizontal="right" wrapText="1"/>
    </xf>
    <xf numFmtId="10" fontId="24" fillId="0" borderId="0" xfId="45" applyNumberFormat="1" applyFont="1" applyFill="1" applyBorder="1" applyAlignment="1">
      <alignment horizontal="right"/>
    </xf>
    <xf numFmtId="9" fontId="24" fillId="0" borderId="0" xfId="46" applyFont="1" applyFill="1" applyBorder="1" applyAlignment="1">
      <alignment horizontal="left" vertical="top"/>
    </xf>
    <xf numFmtId="9" fontId="24" fillId="0" borderId="0" xfId="45" applyFont="1" applyFill="1" applyBorder="1" applyAlignment="1">
      <alignment horizontal="left" vertical="top"/>
    </xf>
    <xf numFmtId="10" fontId="24" fillId="0" borderId="0" xfId="45" applyNumberFormat="1" applyFont="1" applyFill="1" applyBorder="1" applyAlignment="1">
      <alignment horizontal="left" vertical="top"/>
    </xf>
    <xf numFmtId="164" fontId="24" fillId="0" borderId="11" xfId="1" applyNumberFormat="1" applyFont="1" applyFill="1" applyBorder="1" applyAlignment="1">
      <alignment horizontal="right" wrapText="1"/>
    </xf>
    <xf numFmtId="164" fontId="24" fillId="0" borderId="11" xfId="44" applyNumberFormat="1" applyFont="1" applyFill="1" applyBorder="1" applyAlignment="1">
      <alignment horizontal="right" wrapText="1"/>
    </xf>
    <xf numFmtId="10" fontId="24" fillId="0" borderId="11" xfId="45" applyNumberFormat="1" applyFont="1" applyFill="1" applyBorder="1" applyAlignment="1">
      <alignment horizontal="right" wrapText="1"/>
    </xf>
    <xf numFmtId="164" fontId="24" fillId="0" borderId="12" xfId="44" applyNumberFormat="1" applyFont="1" applyFill="1" applyBorder="1" applyAlignment="1">
      <alignment horizontal="right" wrapText="1"/>
    </xf>
    <xf numFmtId="10" fontId="24" fillId="0" borderId="12" xfId="45" applyNumberFormat="1" applyFont="1" applyFill="1" applyBorder="1" applyAlignment="1">
      <alignment horizontal="right" wrapText="1"/>
    </xf>
    <xf numFmtId="166" fontId="24" fillId="0" borderId="0" xfId="44" applyNumberFormat="1" applyFont="1" applyFill="1" applyBorder="1" applyAlignment="1">
      <alignment horizontal="right" wrapText="1"/>
    </xf>
    <xf numFmtId="0" fontId="22" fillId="0" borderId="0" xfId="49" applyFont="1" applyAlignment="1">
      <alignment horizontal="center"/>
    </xf>
    <xf numFmtId="0" fontId="22" fillId="0" borderId="0" xfId="49" quotePrefix="1" applyFont="1" applyAlignment="1">
      <alignment horizontal="center"/>
    </xf>
    <xf numFmtId="0" fontId="0" fillId="0" borderId="0" xfId="0" applyFont="1"/>
    <xf numFmtId="10" fontId="19" fillId="0" borderId="0" xfId="48" applyNumberFormat="1" applyFont="1" applyAlignment="1"/>
    <xf numFmtId="0" fontId="19" fillId="0" borderId="0" xfId="43" applyFont="1"/>
    <xf numFmtId="0" fontId="24" fillId="0" borderId="0" xfId="43" applyFont="1" applyAlignment="1">
      <alignment horizontal="left"/>
    </xf>
    <xf numFmtId="49" fontId="19" fillId="0" borderId="0" xfId="43" applyNumberFormat="1" applyFont="1" applyAlignment="1">
      <alignment horizontal="center"/>
    </xf>
    <xf numFmtId="0" fontId="19" fillId="0" borderId="0" xfId="43" applyFont="1" applyAlignment="1">
      <alignment horizontal="left"/>
    </xf>
    <xf numFmtId="0" fontId="24" fillId="0" borderId="0" xfId="43" applyFont="1" applyAlignment="1">
      <alignment horizontal="right"/>
    </xf>
    <xf numFmtId="0" fontId="19" fillId="0" borderId="0" xfId="43" applyFont="1" applyAlignment="1">
      <alignment horizontal="right"/>
    </xf>
    <xf numFmtId="0" fontId="19" fillId="0" borderId="10" xfId="43" applyFont="1" applyBorder="1" applyAlignment="1">
      <alignment horizontal="center" wrapText="1"/>
    </xf>
    <xf numFmtId="0" fontId="19" fillId="0" borderId="0" xfId="43" applyFont="1" applyAlignment="1">
      <alignment horizontal="center" wrapText="1"/>
    </xf>
    <xf numFmtId="0" fontId="24" fillId="0" borderId="0" xfId="43" applyFont="1" applyAlignment="1">
      <alignment horizontal="left" vertical="top"/>
    </xf>
    <xf numFmtId="0" fontId="24" fillId="0" borderId="0" xfId="43" applyFont="1" applyAlignment="1">
      <alignment horizontal="center" wrapText="1"/>
    </xf>
    <xf numFmtId="0" fontId="19" fillId="0" borderId="0" xfId="43" applyFont="1" applyAlignment="1">
      <alignment horizontal="center" vertical="center" wrapText="1"/>
    </xf>
    <xf numFmtId="0" fontId="19" fillId="0" borderId="0" xfId="43" applyFont="1" applyAlignment="1">
      <alignment horizontal="left" vertical="center" wrapText="1"/>
    </xf>
    <xf numFmtId="165" fontId="24" fillId="0" borderId="0" xfId="43" applyNumberFormat="1" applyFont="1" applyAlignment="1">
      <alignment horizontal="center" wrapText="1"/>
    </xf>
    <xf numFmtId="0" fontId="19" fillId="0" borderId="0" xfId="43" applyFont="1" applyAlignment="1">
      <alignment horizontal="left" wrapText="1"/>
    </xf>
    <xf numFmtId="164" fontId="24" fillId="0" borderId="0" xfId="43" applyNumberFormat="1" applyFont="1" applyAlignment="1">
      <alignment horizontal="left"/>
    </xf>
    <xf numFmtId="49" fontId="19" fillId="0" borderId="0" xfId="43" applyNumberFormat="1" applyFont="1"/>
    <xf numFmtId="4" fontId="19" fillId="0" borderId="0" xfId="49" applyNumberFormat="1" applyFont="1" applyFill="1" applyAlignment="1"/>
    <xf numFmtId="0" fontId="19" fillId="0" borderId="0" xfId="43" applyFont="1" applyFill="1" applyBorder="1" applyAlignment="1">
      <alignment vertical="center"/>
    </xf>
    <xf numFmtId="0" fontId="27" fillId="0" borderId="0" xfId="0" applyFont="1"/>
    <xf numFmtId="0" fontId="26" fillId="0" borderId="0" xfId="0" applyFont="1" applyAlignment="1">
      <alignment horizontal="center" wrapText="1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/>
    <xf numFmtId="10" fontId="27" fillId="0" borderId="0" xfId="48" applyNumberFormat="1" applyFont="1"/>
    <xf numFmtId="10" fontId="27" fillId="0" borderId="0" xfId="48" applyNumberFormat="1" applyFont="1" applyBorder="1"/>
    <xf numFmtId="10" fontId="27" fillId="0" borderId="11" xfId="48" applyNumberFormat="1" applyFont="1" applyBorder="1"/>
    <xf numFmtId="10" fontId="26" fillId="0" borderId="0" xfId="48" applyNumberFormat="1" applyFont="1"/>
    <xf numFmtId="10" fontId="26" fillId="0" borderId="0" xfId="48" applyNumberFormat="1" applyFont="1" applyBorder="1"/>
    <xf numFmtId="43" fontId="27" fillId="0" borderId="0" xfId="1" applyFont="1"/>
    <xf numFmtId="43" fontId="27" fillId="0" borderId="0" xfId="1" applyFont="1" applyBorder="1"/>
    <xf numFmtId="0" fontId="26" fillId="0" borderId="0" xfId="0" applyFont="1" applyAlignment="1">
      <alignment horizontal="center"/>
    </xf>
    <xf numFmtId="10" fontId="27" fillId="0" borderId="0" xfId="0" applyNumberFormat="1" applyFont="1"/>
    <xf numFmtId="10" fontId="26" fillId="0" borderId="13" xfId="0" applyNumberFormat="1" applyFont="1" applyBorder="1"/>
    <xf numFmtId="10" fontId="26" fillId="0" borderId="0" xfId="0" applyNumberFormat="1" applyFont="1" applyBorder="1"/>
    <xf numFmtId="0" fontId="28" fillId="0" borderId="0" xfId="49" applyFont="1" applyAlignment="1"/>
    <xf numFmtId="0" fontId="22" fillId="0" borderId="0" xfId="49" applyFont="1" applyAlignment="1"/>
    <xf numFmtId="0" fontId="20" fillId="0" borderId="11" xfId="43" applyFont="1" applyFill="1" applyBorder="1" applyAlignment="1">
      <alignment horizontal="center" wrapText="1"/>
    </xf>
    <xf numFmtId="0" fontId="19" fillId="0" borderId="0" xfId="43" applyFont="1" applyFill="1" applyBorder="1" applyAlignment="1">
      <alignment horizontal="left" wrapText="1"/>
    </xf>
    <xf numFmtId="0" fontId="26" fillId="0" borderId="0" xfId="0" applyFont="1" applyAlignment="1">
      <alignment horizontal="center"/>
    </xf>
    <xf numFmtId="49" fontId="19" fillId="0" borderId="0" xfId="43" applyNumberFormat="1" applyFont="1" applyAlignment="1">
      <alignment horizontal="center"/>
    </xf>
    <xf numFmtId="0" fontId="19" fillId="0" borderId="0" xfId="43" applyFont="1" applyAlignment="1">
      <alignment horizontal="center"/>
    </xf>
    <xf numFmtId="0" fontId="19" fillId="0" borderId="0" xfId="49" applyFont="1" applyAlignment="1">
      <alignment horizontal="left" wrapText="1"/>
    </xf>
    <xf numFmtId="0" fontId="22" fillId="0" borderId="0" xfId="49" applyFont="1" applyAlignment="1">
      <alignment horizontal="center"/>
    </xf>
    <xf numFmtId="0" fontId="22" fillId="0" borderId="0" xfId="49" quotePrefix="1" applyFont="1" applyAlignment="1">
      <alignment horizontal="center"/>
    </xf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86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47" xr:uid="{00000000-0005-0000-0000-000027000000}"/>
    <cellStyle name="Normal 2" xfId="49" xr:uid="{00000000-0005-0000-0000-000028000000}"/>
    <cellStyle name="Normal 48" xfId="43" xr:uid="{00000000-0005-0000-0000-000029000000}"/>
    <cellStyle name="Note" xfId="16" builtinId="10" customBuiltin="1"/>
    <cellStyle name="Output" xfId="11" builtinId="21" customBuiltin="1"/>
    <cellStyle name="Percent" xfId="48" builtinId="5"/>
    <cellStyle name="Percent 15" xfId="45" xr:uid="{00000000-0005-0000-0000-00002D000000}"/>
    <cellStyle name="Percent 2" xfId="46" xr:uid="{00000000-0005-0000-0000-00002E000000}"/>
    <cellStyle name="Percent 2 2" xfId="50" xr:uid="{00000000-0005-0000-0000-00002F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Normal="100" workbookViewId="0"/>
  </sheetViews>
  <sheetFormatPr defaultColWidth="9.1796875" defaultRowHeight="12.5" x14ac:dyDescent="0.25"/>
  <cols>
    <col min="1" max="1" width="28" style="67" bestFit="1" customWidth="1"/>
    <col min="2" max="2" width="14.1796875" style="67" customWidth="1"/>
    <col min="3" max="3" width="9.1796875" style="67"/>
    <col min="4" max="4" width="12.26953125" style="67" customWidth="1"/>
    <col min="5" max="5" width="1.7265625" style="67" customWidth="1"/>
    <col min="6" max="6" width="12.54296875" style="67" customWidth="1"/>
    <col min="7" max="7" width="11.453125" style="67" bestFit="1" customWidth="1"/>
    <col min="8" max="8" width="12.1796875" style="67" customWidth="1"/>
    <col min="9" max="16384" width="9.1796875" style="67"/>
  </cols>
  <sheetData>
    <row r="1" spans="1:9" ht="13" x14ac:dyDescent="0.3">
      <c r="B1" s="86" t="s">
        <v>54</v>
      </c>
      <c r="C1" s="86"/>
      <c r="D1" s="86"/>
      <c r="E1" s="86"/>
      <c r="F1" s="86"/>
      <c r="G1" s="86"/>
      <c r="H1" s="86"/>
    </row>
    <row r="2" spans="1:9" ht="15" customHeight="1" x14ac:dyDescent="0.3">
      <c r="B2" s="84" t="s">
        <v>55</v>
      </c>
      <c r="C2" s="84"/>
      <c r="D2" s="84"/>
      <c r="F2" s="84" t="s">
        <v>103</v>
      </c>
      <c r="G2" s="84"/>
      <c r="H2" s="84"/>
    </row>
    <row r="3" spans="1:9" ht="50" x14ac:dyDescent="0.25">
      <c r="B3" s="2" t="s">
        <v>17</v>
      </c>
      <c r="C3" s="2" t="s">
        <v>18</v>
      </c>
      <c r="D3" s="2" t="s">
        <v>19</v>
      </c>
      <c r="F3" s="2" t="s">
        <v>17</v>
      </c>
      <c r="G3" s="2" t="s">
        <v>18</v>
      </c>
      <c r="H3" s="2" t="s">
        <v>88</v>
      </c>
    </row>
    <row r="4" spans="1:9" ht="13" x14ac:dyDescent="0.3">
      <c r="A4" s="1" t="s">
        <v>34</v>
      </c>
      <c r="B4" s="79">
        <f>'KU SCH J-1.1 Errata Filing'!K16</f>
        <v>1.6943402683665156E-2</v>
      </c>
      <c r="C4" s="79">
        <f>'KU SCH J-1.1 Errata Filing'!L16</f>
        <v>4.5903198262862007E-3</v>
      </c>
      <c r="D4" s="79">
        <f>'KU SCH J-1.1 Errata Filing'!M16</f>
        <v>7.777563726357899E-5</v>
      </c>
      <c r="F4" s="71">
        <f>'KU TYE June 2022'!D3</f>
        <v>0.70519092383365256</v>
      </c>
      <c r="G4" s="71">
        <f>IFERROR(H4/F4,0)</f>
        <v>4.5903198262862007E-3</v>
      </c>
      <c r="H4" s="79">
        <f>'KU TYE June 2022'!B3</f>
        <v>3.2370518789906974E-3</v>
      </c>
      <c r="I4" s="70"/>
    </row>
    <row r="5" spans="1:9" x14ac:dyDescent="0.25">
      <c r="A5" s="1" t="s">
        <v>36</v>
      </c>
      <c r="B5" s="79">
        <f>'KU SCH J-1.1 Errata Filing'!K18</f>
        <v>0.4506913797510505</v>
      </c>
      <c r="C5" s="79">
        <f>'KU SCH J-1.1 Errata Filing'!L18</f>
        <v>4.1618462004870925E-2</v>
      </c>
      <c r="D5" s="79">
        <f>'KU SCH J-1.1 Errata Filing'!M18</f>
        <v>1.8757082064091948E-2</v>
      </c>
      <c r="F5" s="71">
        <f>'KU TYE June 2022'!D4</f>
        <v>0.13515794478493132</v>
      </c>
      <c r="G5" s="71">
        <f t="shared" ref="G5:G6" si="0">IFERROR(H5/F5,0)</f>
        <v>4.1618462004870925E-2</v>
      </c>
      <c r="H5" s="79">
        <f>'KU TYE June 2022'!B4</f>
        <v>5.625065789688106E-3</v>
      </c>
    </row>
    <row r="6" spans="1:9" x14ac:dyDescent="0.25">
      <c r="A6" s="1" t="s">
        <v>38</v>
      </c>
      <c r="B6" s="79">
        <f>'KU SCH J-1.1 Errata Filing'!K20</f>
        <v>0.53236521756528432</v>
      </c>
      <c r="C6" s="79">
        <f>'KU SCH J-1.1 Errata Filing'!L20</f>
        <v>0.1</v>
      </c>
      <c r="D6" s="79">
        <f>'KU SCH J-1.1 Errata Filing'!M20</f>
        <v>5.3236521756528432E-2</v>
      </c>
      <c r="F6" s="71">
        <f>'KU TYE June 2022'!D5</f>
        <v>0.15965113138141609</v>
      </c>
      <c r="G6" s="71">
        <f t="shared" si="0"/>
        <v>0.10000000000000002</v>
      </c>
      <c r="H6" s="79">
        <f>'KU TYE June 2022'!B5</f>
        <v>1.5965113138141612E-2</v>
      </c>
    </row>
    <row r="7" spans="1:9" ht="13.5" thickBot="1" x14ac:dyDescent="0.35">
      <c r="A7" s="3" t="s">
        <v>39</v>
      </c>
      <c r="B7" s="80">
        <f>SUM(B4:B6)</f>
        <v>1</v>
      </c>
      <c r="C7" s="81"/>
      <c r="D7" s="80">
        <f t="shared" ref="D7" si="1">SUM(D4:D6)</f>
        <v>7.2071379457883958E-2</v>
      </c>
      <c r="F7" s="80">
        <f>SUM(F4:F6)</f>
        <v>0.99999999999999989</v>
      </c>
      <c r="G7" s="81"/>
      <c r="H7" s="80">
        <f t="shared" ref="H7" si="2">SUM(H4:H6)</f>
        <v>2.4827230806820415E-2</v>
      </c>
    </row>
    <row r="8" spans="1:9" ht="13" thickTop="1" x14ac:dyDescent="0.25">
      <c r="A8" s="1"/>
    </row>
    <row r="10" spans="1:9" ht="13" x14ac:dyDescent="0.3">
      <c r="B10" s="86" t="s">
        <v>98</v>
      </c>
      <c r="C10" s="86"/>
      <c r="D10" s="86"/>
      <c r="E10" s="86"/>
      <c r="F10" s="86"/>
      <c r="G10" s="86"/>
      <c r="H10" s="86"/>
    </row>
    <row r="11" spans="1:9" ht="15" customHeight="1" x14ac:dyDescent="0.3">
      <c r="B11" s="84" t="s">
        <v>55</v>
      </c>
      <c r="C11" s="84"/>
      <c r="D11" s="84"/>
      <c r="F11" s="84" t="s">
        <v>103</v>
      </c>
      <c r="G11" s="84"/>
      <c r="H11" s="84"/>
    </row>
    <row r="12" spans="1:9" ht="50" x14ac:dyDescent="0.25">
      <c r="B12" s="2" t="s">
        <v>17</v>
      </c>
      <c r="C12" s="2" t="s">
        <v>18</v>
      </c>
      <c r="D12" s="2" t="s">
        <v>19</v>
      </c>
      <c r="F12" s="2" t="s">
        <v>17</v>
      </c>
      <c r="G12" s="2" t="s">
        <v>18</v>
      </c>
      <c r="H12" s="2" t="s">
        <v>88</v>
      </c>
    </row>
    <row r="13" spans="1:9" x14ac:dyDescent="0.25">
      <c r="A13" s="1" t="s">
        <v>34</v>
      </c>
      <c r="B13" s="79">
        <f>'LGE SCH J-1.1 Errata Filing'!I16</f>
        <v>1.2622813021079897E-2</v>
      </c>
      <c r="C13" s="79">
        <f>'LGE SCH J-1.1 Errata Filing'!J16</f>
        <v>4.6002316569744824E-3</v>
      </c>
      <c r="D13" s="79">
        <f>'LGE SCH J-1.1 Errata Filing'!K16</f>
        <v>5.8067864059641441E-5</v>
      </c>
      <c r="F13" s="71">
        <f>'LGE TYE June 2022'!D4</f>
        <v>0.83369697877453874</v>
      </c>
      <c r="G13" s="71">
        <f>IFERROR(H13/F13,0)</f>
        <v>4.6002316569744824E-3</v>
      </c>
      <c r="H13" s="79">
        <f>'LGE TYE June 2022'!B4</f>
        <v>3.8351992340826162E-3</v>
      </c>
    </row>
    <row r="14" spans="1:9" x14ac:dyDescent="0.25">
      <c r="A14" s="1" t="s">
        <v>36</v>
      </c>
      <c r="B14" s="79">
        <f>'LGE SCH J-1.1 Errata Filing'!I18</f>
        <v>0.45547230700144364</v>
      </c>
      <c r="C14" s="79">
        <f>'LGE SCH J-1.1 Errata Filing'!J18</f>
        <v>4.0417299088459008E-2</v>
      </c>
      <c r="D14" s="79">
        <f>'LGE SCH J-1.1 Errata Filing'!K18</f>
        <v>1.840896045858777E-2</v>
      </c>
      <c r="F14" s="71">
        <f>'LGE TYE June 2022'!D5</f>
        <v>7.6714777025213995E-2</v>
      </c>
      <c r="G14" s="71">
        <f t="shared" ref="G14:G15" si="3">IFERROR(H14/F14,0)</f>
        <v>4.0417299088459008E-2</v>
      </c>
      <c r="H14" s="79">
        <f>'LGE TYE June 2022'!B5</f>
        <v>3.1006040875325176E-3</v>
      </c>
    </row>
    <row r="15" spans="1:9" x14ac:dyDescent="0.25">
      <c r="A15" s="1" t="s">
        <v>38</v>
      </c>
      <c r="B15" s="79">
        <f>'LGE SCH J-1.1 Errata Filing'!I20</f>
        <v>0.53190487997747649</v>
      </c>
      <c r="C15" s="79">
        <f>'LGE SCH J-1.1 Errata Filing'!J20</f>
        <v>0.1</v>
      </c>
      <c r="D15" s="79">
        <f>'LGE SCH J-1.1 Errata Filing'!K20</f>
        <v>5.319048799774765E-2</v>
      </c>
      <c r="F15" s="71">
        <f>'LGE TYE June 2022'!D6</f>
        <v>8.9588244200247261E-2</v>
      </c>
      <c r="G15" s="71">
        <f t="shared" si="3"/>
        <v>9.9999999999999992E-2</v>
      </c>
      <c r="H15" s="79">
        <f>'LGE TYE June 2022'!B6</f>
        <v>8.9588244200247257E-3</v>
      </c>
    </row>
    <row r="16" spans="1:9" ht="13.5" thickBot="1" x14ac:dyDescent="0.35">
      <c r="A16" s="3" t="s">
        <v>39</v>
      </c>
      <c r="B16" s="80">
        <f>SUM(B13:B15)</f>
        <v>1</v>
      </c>
      <c r="C16" s="81"/>
      <c r="D16" s="80">
        <f t="shared" ref="D16" si="4">SUM(D13:D15)</f>
        <v>7.1657516320395062E-2</v>
      </c>
      <c r="F16" s="80">
        <f>SUM(F13:F15)</f>
        <v>1</v>
      </c>
      <c r="G16" s="81"/>
      <c r="H16" s="80">
        <f t="shared" ref="H16" si="5">SUM(H13:H15)</f>
        <v>1.5894627741639859E-2</v>
      </c>
    </row>
    <row r="17" spans="1:8" ht="13" thickTop="1" x14ac:dyDescent="0.25">
      <c r="A17" s="1"/>
    </row>
    <row r="19" spans="1:8" ht="13" x14ac:dyDescent="0.3">
      <c r="B19" s="86" t="s">
        <v>99</v>
      </c>
      <c r="C19" s="86"/>
      <c r="D19" s="86"/>
      <c r="E19" s="86"/>
      <c r="F19" s="86"/>
      <c r="G19" s="86"/>
      <c r="H19" s="86"/>
    </row>
    <row r="20" spans="1:8" ht="15" customHeight="1" x14ac:dyDescent="0.3">
      <c r="B20" s="84" t="s">
        <v>55</v>
      </c>
      <c r="C20" s="84"/>
      <c r="D20" s="84"/>
      <c r="F20" s="84" t="s">
        <v>103</v>
      </c>
      <c r="G20" s="84"/>
      <c r="H20" s="84"/>
    </row>
    <row r="21" spans="1:8" ht="50" x14ac:dyDescent="0.25">
      <c r="B21" s="2" t="s">
        <v>17</v>
      </c>
      <c r="C21" s="2" t="s">
        <v>18</v>
      </c>
      <c r="D21" s="2" t="s">
        <v>19</v>
      </c>
      <c r="F21" s="2" t="s">
        <v>17</v>
      </c>
      <c r="G21" s="2" t="s">
        <v>18</v>
      </c>
      <c r="H21" s="2" t="s">
        <v>88</v>
      </c>
    </row>
    <row r="22" spans="1:8" x14ac:dyDescent="0.25">
      <c r="A22" s="1" t="s">
        <v>34</v>
      </c>
      <c r="B22" s="79">
        <f>'LGE SCH J-1.1 Errata Filing'!I39</f>
        <v>1.2622813021079897E-2</v>
      </c>
      <c r="C22" s="79">
        <f>'LGE SCH J-1.1 Errata Filing'!J39</f>
        <v>4.6002316569744824E-3</v>
      </c>
      <c r="D22" s="79">
        <f>'LGE SCH J-1.1 Errata Filing'!K39</f>
        <v>5.8067864059641441E-5</v>
      </c>
      <c r="F22" s="71">
        <f>'LGE TYE June 2022'!D11</f>
        <v>0.29517316025510582</v>
      </c>
      <c r="G22" s="71">
        <f>IFERROR(H22/F22,0)</f>
        <v>4.6002316569744824E-3</v>
      </c>
      <c r="H22" s="79">
        <f>'LGE TYE June 2022'!B11</f>
        <v>1.3578649160947399E-3</v>
      </c>
    </row>
    <row r="23" spans="1:8" x14ac:dyDescent="0.25">
      <c r="A23" s="1" t="s">
        <v>36</v>
      </c>
      <c r="B23" s="79">
        <f>'LGE SCH J-1.1 Errata Filing'!I41</f>
        <v>0.45547230700144359</v>
      </c>
      <c r="C23" s="79">
        <f>'LGE SCH J-1.1 Errata Filing'!J41</f>
        <v>4.0417299088459008E-2</v>
      </c>
      <c r="D23" s="79">
        <f>'LGE SCH J-1.1 Errata Filing'!K41</f>
        <v>1.8408960458587767E-2</v>
      </c>
      <c r="F23" s="71">
        <f>'LGE TYE June 2022'!D12</f>
        <v>0.3251332023554212</v>
      </c>
      <c r="G23" s="71">
        <f t="shared" ref="G23:G24" si="6">IFERROR(H23/F23,0)</f>
        <v>4.0417299088459008E-2</v>
      </c>
      <c r="H23" s="79">
        <f>'LGE TYE June 2022'!B12</f>
        <v>1.3141005883187524E-2</v>
      </c>
    </row>
    <row r="24" spans="1:8" x14ac:dyDescent="0.25">
      <c r="A24" s="1" t="s">
        <v>38</v>
      </c>
      <c r="B24" s="79">
        <f>'LGE SCH J-1.1 Errata Filing'!I43</f>
        <v>0.53190487997747649</v>
      </c>
      <c r="C24" s="79">
        <f>'LGE SCH J-1.1 Errata Filing'!J43</f>
        <v>0.1</v>
      </c>
      <c r="D24" s="79">
        <f>'LGE SCH J-1.1 Errata Filing'!K43</f>
        <v>5.319048799774765E-2</v>
      </c>
      <c r="F24" s="71">
        <f>'LGE TYE June 2022'!D13</f>
        <v>0.37969363738947304</v>
      </c>
      <c r="G24" s="71">
        <f t="shared" si="6"/>
        <v>0.1</v>
      </c>
      <c r="H24" s="79">
        <f>'LGE TYE June 2022'!B13</f>
        <v>3.7969363738947305E-2</v>
      </c>
    </row>
    <row r="25" spans="1:8" ht="13.5" thickBot="1" x14ac:dyDescent="0.35">
      <c r="A25" s="3" t="s">
        <v>39</v>
      </c>
      <c r="B25" s="80">
        <f>SUM(B22:B24)</f>
        <v>1</v>
      </c>
      <c r="C25" s="81"/>
      <c r="D25" s="80">
        <f t="shared" ref="D25" si="7">SUM(D22:D24)</f>
        <v>7.1657516320395062E-2</v>
      </c>
      <c r="F25" s="80">
        <f>SUM(F22:F24)</f>
        <v>1</v>
      </c>
      <c r="G25" s="81"/>
      <c r="H25" s="80">
        <f t="shared" ref="H25" si="8">SUM(H22:H24)</f>
        <v>5.2468234538229568E-2</v>
      </c>
    </row>
    <row r="26" spans="1:8" ht="13" thickTop="1" x14ac:dyDescent="0.25">
      <c r="A26" s="1"/>
    </row>
    <row r="29" spans="1:8" ht="27.75" customHeight="1" x14ac:dyDescent="0.25">
      <c r="A29" s="85" t="s">
        <v>113</v>
      </c>
      <c r="B29" s="85"/>
      <c r="C29" s="85"/>
      <c r="D29" s="85"/>
      <c r="E29" s="85"/>
      <c r="F29" s="85"/>
      <c r="G29" s="85"/>
      <c r="H29" s="85"/>
    </row>
    <row r="30" spans="1:8" x14ac:dyDescent="0.25">
      <c r="A30" s="66"/>
      <c r="B30" s="66"/>
      <c r="C30" s="66"/>
      <c r="D30" s="66"/>
      <c r="E30" s="66"/>
      <c r="F30" s="66"/>
      <c r="G30" s="66"/>
      <c r="H30" s="66"/>
    </row>
  </sheetData>
  <mergeCells count="10">
    <mergeCell ref="B1:H1"/>
    <mergeCell ref="B10:H10"/>
    <mergeCell ref="B11:D11"/>
    <mergeCell ref="F11:H11"/>
    <mergeCell ref="B19:H19"/>
    <mergeCell ref="B20:D20"/>
    <mergeCell ref="F20:H20"/>
    <mergeCell ref="B2:D2"/>
    <mergeCell ref="F2:H2"/>
    <mergeCell ref="A29:H29"/>
  </mergeCells>
  <pageMargins left="0.7" right="0.7" top="0.75" bottom="0.75" header="0.3" footer="0.3"/>
  <pageSetup scale="89" orientation="portrait" r:id="rId1"/>
  <headerFooter scaleWithDoc="0">
    <oddHeader>&amp;R&amp;"Times New Roman,Bold"&amp;12Rebuttal Exhibit CMG-10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5"/>
  <sheetViews>
    <sheetView zoomScaleNormal="100" workbookViewId="0">
      <selection sqref="A1:M1"/>
    </sheetView>
  </sheetViews>
  <sheetFormatPr defaultColWidth="9.1796875" defaultRowHeight="12.5" x14ac:dyDescent="0.35"/>
  <cols>
    <col min="1" max="1" width="6.81640625" style="57" customWidth="1"/>
    <col min="2" max="2" width="24.26953125" style="57" customWidth="1"/>
    <col min="3" max="3" width="15.1796875" style="57" customWidth="1"/>
    <col min="4" max="4" width="18.1796875" style="57" customWidth="1"/>
    <col min="5" max="10" width="16.1796875" style="57" customWidth="1"/>
    <col min="11" max="11" width="15.1796875" style="57" customWidth="1"/>
    <col min="12" max="12" width="18" style="57" customWidth="1"/>
    <col min="13" max="13" width="12.81640625" style="57" customWidth="1"/>
    <col min="14" max="14" width="14" style="57" customWidth="1"/>
    <col min="15" max="15" width="1.81640625" style="57" customWidth="1"/>
    <col min="16" max="16" width="11.54296875" style="57" bestFit="1" customWidth="1"/>
    <col min="17" max="17" width="12.1796875" style="57" customWidth="1"/>
    <col min="18" max="16384" width="9.1796875" style="57"/>
  </cols>
  <sheetData>
    <row r="1" spans="1:17" s="50" customFormat="1" ht="20.149999999999999" customHeight="1" x14ac:dyDescent="0.25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49"/>
    </row>
    <row r="2" spans="1:17" s="50" customFormat="1" ht="20.149999999999999" customHeight="1" x14ac:dyDescent="0.25">
      <c r="A2" s="87" t="s">
        <v>108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49"/>
    </row>
    <row r="3" spans="1:17" s="50" customFormat="1" ht="20.149999999999999" customHeight="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49"/>
    </row>
    <row r="4" spans="1:17" s="50" customFormat="1" ht="20.149999999999999" customHeight="1" x14ac:dyDescent="0.2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49"/>
    </row>
    <row r="5" spans="1:17" s="50" customFormat="1" ht="20.149999999999999" customHeight="1" x14ac:dyDescent="0.25">
      <c r="A5" s="88" t="s">
        <v>109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49"/>
    </row>
    <row r="6" spans="1:17" s="50" customFormat="1" ht="20.149999999999999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7" s="50" customFormat="1" ht="20.149999999999999" customHeight="1" x14ac:dyDescent="0.25">
      <c r="A7" s="52" t="s">
        <v>2</v>
      </c>
      <c r="M7" s="53"/>
    </row>
    <row r="8" spans="1:17" s="50" customFormat="1" ht="20.149999999999999" customHeight="1" x14ac:dyDescent="0.25">
      <c r="A8" s="52" t="s">
        <v>3</v>
      </c>
      <c r="M8" s="53" t="s">
        <v>4</v>
      </c>
    </row>
    <row r="9" spans="1:17" s="50" customFormat="1" ht="20.149999999999999" customHeight="1" x14ac:dyDescent="0.25">
      <c r="A9" s="50" t="s">
        <v>110</v>
      </c>
      <c r="M9" s="53" t="s">
        <v>5</v>
      </c>
    </row>
    <row r="10" spans="1:17" s="50" customFormat="1" ht="20.149999999999999" customHeight="1" x14ac:dyDescent="0.25">
      <c r="A10" s="52" t="s">
        <v>6</v>
      </c>
      <c r="M10" s="54" t="s">
        <v>111</v>
      </c>
    </row>
    <row r="11" spans="1:17" s="50" customFormat="1" ht="20.149999999999999" customHeight="1" x14ac:dyDescent="0.25"/>
    <row r="12" spans="1:17" ht="66" customHeight="1" x14ac:dyDescent="0.25">
      <c r="A12" s="55" t="s">
        <v>7</v>
      </c>
      <c r="B12" s="55" t="s">
        <v>8</v>
      </c>
      <c r="C12" s="55" t="s">
        <v>9</v>
      </c>
      <c r="D12" s="55" t="s">
        <v>10</v>
      </c>
      <c r="E12" s="55" t="s">
        <v>11</v>
      </c>
      <c r="F12" s="55" t="s">
        <v>12</v>
      </c>
      <c r="G12" s="55" t="s">
        <v>13</v>
      </c>
      <c r="H12" s="55" t="s">
        <v>14</v>
      </c>
      <c r="I12" s="55" t="s">
        <v>15</v>
      </c>
      <c r="J12" s="55" t="s">
        <v>16</v>
      </c>
      <c r="K12" s="55" t="s">
        <v>17</v>
      </c>
      <c r="L12" s="55" t="s">
        <v>18</v>
      </c>
      <c r="M12" s="55" t="s">
        <v>19</v>
      </c>
      <c r="N12" s="56"/>
    </row>
    <row r="13" spans="1:17" ht="19" customHeight="1" x14ac:dyDescent="0.25">
      <c r="A13" s="58"/>
      <c r="B13" s="59" t="s">
        <v>20</v>
      </c>
      <c r="C13" s="59" t="s">
        <v>21</v>
      </c>
      <c r="D13" s="59" t="s">
        <v>22</v>
      </c>
      <c r="E13" s="59" t="s">
        <v>23</v>
      </c>
      <c r="F13" s="59" t="s">
        <v>24</v>
      </c>
      <c r="G13" s="59" t="s">
        <v>25</v>
      </c>
      <c r="H13" s="59" t="s">
        <v>26</v>
      </c>
      <c r="I13" s="59" t="s">
        <v>27</v>
      </c>
      <c r="J13" s="59" t="s">
        <v>28</v>
      </c>
      <c r="K13" s="59" t="s">
        <v>29</v>
      </c>
      <c r="L13" s="59" t="s">
        <v>30</v>
      </c>
      <c r="M13" s="59" t="s">
        <v>31</v>
      </c>
      <c r="N13" s="59"/>
    </row>
    <row r="14" spans="1:17" ht="19" customHeight="1" x14ac:dyDescent="0.25">
      <c r="A14" s="58"/>
      <c r="B14" s="60"/>
      <c r="C14" s="60"/>
      <c r="D14" s="31" t="s">
        <v>32</v>
      </c>
      <c r="E14" s="31" t="s">
        <v>32</v>
      </c>
      <c r="F14" s="31" t="s">
        <v>32</v>
      </c>
      <c r="G14" s="31"/>
      <c r="H14" s="31" t="s">
        <v>32</v>
      </c>
      <c r="I14" s="31" t="s">
        <v>32</v>
      </c>
      <c r="J14" s="31" t="s">
        <v>32</v>
      </c>
      <c r="K14" s="31"/>
      <c r="L14" s="31" t="s">
        <v>33</v>
      </c>
      <c r="M14" s="31" t="s">
        <v>33</v>
      </c>
      <c r="N14" s="31"/>
    </row>
    <row r="15" spans="1:17" ht="19" customHeight="1" x14ac:dyDescent="0.25">
      <c r="A15" s="61"/>
      <c r="B15" s="62"/>
      <c r="C15" s="56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Q15" s="50"/>
    </row>
    <row r="16" spans="1:17" ht="19" customHeight="1" x14ac:dyDescent="0.25">
      <c r="A16" s="61">
        <v>1</v>
      </c>
      <c r="B16" s="62" t="s">
        <v>34</v>
      </c>
      <c r="C16" s="56" t="s">
        <v>35</v>
      </c>
      <c r="D16" s="32">
        <v>105496138.28147556</v>
      </c>
      <c r="E16" s="32">
        <f>L40</f>
        <v>-42542.182327489747</v>
      </c>
      <c r="F16" s="32">
        <f>SUM(D16:E16)</f>
        <v>105453596.09914806</v>
      </c>
      <c r="G16" s="33">
        <v>0.93600000000000005</v>
      </c>
      <c r="H16" s="32">
        <f>F16*G16</f>
        <v>98704565.94880259</v>
      </c>
      <c r="I16" s="32">
        <f>J64</f>
        <v>-10034872.981403327</v>
      </c>
      <c r="J16" s="32">
        <f>SUM(H16:I16)</f>
        <v>88669692.967399269</v>
      </c>
      <c r="K16" s="33">
        <f>H16/H$22</f>
        <v>1.6943402683665156E-2</v>
      </c>
      <c r="L16" s="33">
        <v>4.5903198262862007E-3</v>
      </c>
      <c r="M16" s="33">
        <f>K16*L16</f>
        <v>7.777563726357899E-5</v>
      </c>
      <c r="N16" s="32"/>
      <c r="P16" s="33"/>
      <c r="Q16" s="32"/>
    </row>
    <row r="17" spans="1:17" ht="19" customHeight="1" x14ac:dyDescent="0.25">
      <c r="A17" s="61"/>
      <c r="B17" s="62"/>
      <c r="C17" s="56"/>
      <c r="D17" s="32"/>
      <c r="E17" s="32"/>
      <c r="F17" s="32"/>
      <c r="G17" s="33"/>
      <c r="H17" s="32"/>
      <c r="I17" s="32"/>
      <c r="J17" s="32"/>
      <c r="K17" s="33"/>
      <c r="L17" s="34"/>
      <c r="M17" s="34"/>
      <c r="N17" s="32"/>
      <c r="P17" s="33"/>
      <c r="Q17" s="32"/>
    </row>
    <row r="18" spans="1:17" ht="19" customHeight="1" x14ac:dyDescent="0.25">
      <c r="A18" s="61">
        <v>2</v>
      </c>
      <c r="B18" s="62" t="s">
        <v>36</v>
      </c>
      <c r="C18" s="56" t="s">
        <v>37</v>
      </c>
      <c r="D18" s="32">
        <v>2806177779.5273852</v>
      </c>
      <c r="E18" s="32">
        <f>L42</f>
        <v>-1131614.1868765149</v>
      </c>
      <c r="F18" s="32">
        <f>SUM(D18:E18)</f>
        <v>2805046165.3405089</v>
      </c>
      <c r="G18" s="33">
        <f>G$16</f>
        <v>0.93600000000000005</v>
      </c>
      <c r="H18" s="32">
        <f>F18*G18</f>
        <v>2625523210.7587166</v>
      </c>
      <c r="I18" s="32">
        <f>J66</f>
        <v>-266925766.56844696</v>
      </c>
      <c r="J18" s="32">
        <f>SUM(H18:I18)</f>
        <v>2358597444.1902695</v>
      </c>
      <c r="K18" s="33">
        <f>H18/H$22</f>
        <v>0.4506913797510505</v>
      </c>
      <c r="L18" s="35">
        <v>4.1618462004870925E-2</v>
      </c>
      <c r="M18" s="33">
        <f>K18*L18</f>
        <v>1.8757082064091948E-2</v>
      </c>
      <c r="P18" s="33"/>
      <c r="Q18" s="32"/>
    </row>
    <row r="19" spans="1:17" ht="19" customHeight="1" x14ac:dyDescent="0.25">
      <c r="A19" s="61"/>
      <c r="B19" s="62"/>
      <c r="C19" s="56"/>
      <c r="D19" s="36"/>
      <c r="E19" s="36"/>
      <c r="F19" s="36"/>
      <c r="G19" s="38"/>
      <c r="H19" s="36"/>
      <c r="I19" s="36"/>
      <c r="J19" s="36"/>
      <c r="K19" s="38"/>
      <c r="L19" s="37"/>
      <c r="M19" s="38"/>
      <c r="N19" s="36"/>
      <c r="P19" s="38"/>
      <c r="Q19" s="36"/>
    </row>
    <row r="20" spans="1:17" ht="19" customHeight="1" x14ac:dyDescent="0.25">
      <c r="A20" s="61">
        <v>3</v>
      </c>
      <c r="B20" s="62" t="s">
        <v>38</v>
      </c>
      <c r="C20" s="56"/>
      <c r="D20" s="40">
        <v>3315033922.3306351</v>
      </c>
      <c r="E20" s="40">
        <f>L44</f>
        <v>-1660116.6966568246</v>
      </c>
      <c r="F20" s="40">
        <f>SUM(D20:E20)</f>
        <v>3313373805.6339784</v>
      </c>
      <c r="G20" s="33">
        <f>G$16</f>
        <v>0.93600000000000005</v>
      </c>
      <c r="H20" s="40">
        <f>F20*G20</f>
        <v>3101317882.0734038</v>
      </c>
      <c r="I20" s="40">
        <f>J68</f>
        <v>-315297785.08629292</v>
      </c>
      <c r="J20" s="40">
        <f>SUM(H20:I20)</f>
        <v>2786020096.9871111</v>
      </c>
      <c r="K20" s="41">
        <f>H20/H$22</f>
        <v>0.53236521756528432</v>
      </c>
      <c r="L20" s="33">
        <v>0.1</v>
      </c>
      <c r="M20" s="41">
        <f>K20*L20</f>
        <v>5.3236521756528432E-2</v>
      </c>
      <c r="N20" s="32"/>
      <c r="P20" s="33"/>
      <c r="Q20" s="32"/>
    </row>
    <row r="21" spans="1:17" ht="19" customHeight="1" x14ac:dyDescent="0.25">
      <c r="A21" s="61"/>
      <c r="B21" s="62"/>
      <c r="C21" s="56"/>
      <c r="D21" s="32"/>
      <c r="E21" s="32"/>
      <c r="F21" s="32"/>
      <c r="G21" s="34"/>
      <c r="H21" s="32"/>
      <c r="I21" s="32"/>
      <c r="J21" s="32"/>
      <c r="K21" s="34"/>
      <c r="L21" s="34"/>
      <c r="M21" s="33"/>
      <c r="N21" s="32"/>
      <c r="P21" s="34"/>
      <c r="Q21" s="32"/>
    </row>
    <row r="22" spans="1:17" ht="19" customHeight="1" thickBot="1" x14ac:dyDescent="0.3">
      <c r="A22" s="61">
        <v>4</v>
      </c>
      <c r="B22" s="62" t="s">
        <v>39</v>
      </c>
      <c r="C22" s="56"/>
      <c r="D22" s="42">
        <f>SUM(D16:D20)</f>
        <v>6226707840.1394958</v>
      </c>
      <c r="E22" s="42">
        <f>SUM(E16:E20)</f>
        <v>-2834273.0658608293</v>
      </c>
      <c r="F22" s="42">
        <f>SUM(F16:F20)</f>
        <v>6223873567.0736351</v>
      </c>
      <c r="G22" s="33"/>
      <c r="H22" s="42">
        <f>SUM(H16:H20)</f>
        <v>5825545658.7809229</v>
      </c>
      <c r="I22" s="42">
        <f>SUM(I16:I20)</f>
        <v>-592258424.63614321</v>
      </c>
      <c r="J22" s="42">
        <f>SUM(J16:J20)</f>
        <v>5233287234.1447792</v>
      </c>
      <c r="K22" s="43">
        <f>SUM(K16:K20)</f>
        <v>1</v>
      </c>
      <c r="L22" s="34"/>
      <c r="M22" s="43">
        <f t="shared" ref="M22" si="0">SUM(M16:M20)</f>
        <v>7.2071379457883958E-2</v>
      </c>
      <c r="N22" s="32"/>
      <c r="P22" s="33"/>
      <c r="Q22" s="32"/>
    </row>
    <row r="23" spans="1:17" ht="19" customHeight="1" thickTop="1" x14ac:dyDescent="0.25">
      <c r="A23" s="61"/>
      <c r="B23" s="62"/>
      <c r="C23" s="56"/>
      <c r="D23" s="44"/>
      <c r="E23" s="44"/>
      <c r="F23" s="44"/>
      <c r="G23" s="44"/>
      <c r="H23" s="32"/>
      <c r="I23" s="32"/>
      <c r="J23" s="32"/>
      <c r="K23" s="44"/>
      <c r="L23" s="44"/>
      <c r="M23" s="44"/>
      <c r="N23" s="44"/>
      <c r="Q23" s="63"/>
    </row>
    <row r="24" spans="1:17" ht="19" customHeight="1" x14ac:dyDescent="0.25">
      <c r="A24" s="61"/>
      <c r="B24" s="62"/>
      <c r="C24" s="5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7" s="50" customFormat="1" ht="20.149999999999999" customHeight="1" x14ac:dyDescent="0.25">
      <c r="A25" s="87" t="s">
        <v>54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64"/>
      <c r="N25" s="49"/>
    </row>
    <row r="26" spans="1:17" s="50" customFormat="1" ht="20.149999999999999" customHeight="1" x14ac:dyDescent="0.25">
      <c r="A26" s="87" t="s">
        <v>108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64"/>
      <c r="N26" s="49"/>
    </row>
    <row r="27" spans="1:17" s="50" customFormat="1" ht="20.149999999999999" customHeight="1" x14ac:dyDescent="0.25">
      <c r="A27" s="87" t="s">
        <v>40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64"/>
      <c r="N27" s="49"/>
    </row>
    <row r="28" spans="1:17" s="50" customFormat="1" ht="20.149999999999999" customHeight="1" x14ac:dyDescent="0.25">
      <c r="A28" s="87" t="s">
        <v>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64"/>
      <c r="N28" s="49"/>
    </row>
    <row r="29" spans="1:17" s="50" customFormat="1" ht="20.149999999999999" customHeight="1" x14ac:dyDescent="0.25">
      <c r="A29" s="87" t="s">
        <v>109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64"/>
      <c r="N29" s="49"/>
    </row>
    <row r="30" spans="1:17" s="50" customFormat="1" ht="20.149999999999999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7" s="50" customFormat="1" ht="20.149999999999999" customHeight="1" x14ac:dyDescent="0.25">
      <c r="A31" s="52" t="s">
        <v>2</v>
      </c>
      <c r="M31" s="53"/>
    </row>
    <row r="32" spans="1:17" s="50" customFormat="1" ht="20.149999999999999" customHeight="1" x14ac:dyDescent="0.25">
      <c r="A32" s="52" t="s">
        <v>3</v>
      </c>
      <c r="L32" s="53" t="s">
        <v>4</v>
      </c>
    </row>
    <row r="33" spans="1:19" s="50" customFormat="1" ht="20.149999999999999" customHeight="1" x14ac:dyDescent="0.25">
      <c r="A33" s="50" t="s">
        <v>110</v>
      </c>
      <c r="L33" s="53" t="s">
        <v>41</v>
      </c>
    </row>
    <row r="34" spans="1:19" s="50" customFormat="1" ht="20.149999999999999" customHeight="1" x14ac:dyDescent="0.25">
      <c r="A34" s="52" t="s">
        <v>6</v>
      </c>
      <c r="L34" s="54" t="s">
        <v>111</v>
      </c>
    </row>
    <row r="35" spans="1:19" s="50" customFormat="1" ht="20.149999999999999" customHeight="1" x14ac:dyDescent="0.25"/>
    <row r="36" spans="1:19" ht="48" customHeight="1" x14ac:dyDescent="0.25">
      <c r="A36" s="55" t="s">
        <v>7</v>
      </c>
      <c r="B36" s="55" t="s">
        <v>8</v>
      </c>
      <c r="C36" s="55" t="s">
        <v>9</v>
      </c>
      <c r="D36" s="55" t="s">
        <v>10</v>
      </c>
      <c r="E36" s="55" t="s">
        <v>17</v>
      </c>
      <c r="F36" s="55" t="s">
        <v>42</v>
      </c>
      <c r="G36" s="55" t="s">
        <v>43</v>
      </c>
      <c r="H36" s="55" t="s">
        <v>44</v>
      </c>
      <c r="I36" s="55" t="s">
        <v>45</v>
      </c>
      <c r="J36" s="55" t="s">
        <v>104</v>
      </c>
      <c r="K36" s="55" t="s">
        <v>105</v>
      </c>
      <c r="L36" s="55" t="s">
        <v>11</v>
      </c>
      <c r="M36" s="56"/>
      <c r="N36" s="56"/>
      <c r="O36" s="56"/>
      <c r="P36" s="56"/>
    </row>
    <row r="37" spans="1:19" ht="19" customHeight="1" x14ac:dyDescent="0.25">
      <c r="A37" s="58"/>
      <c r="B37" s="59" t="s">
        <v>20</v>
      </c>
      <c r="C37" s="59" t="s">
        <v>21</v>
      </c>
      <c r="D37" s="59" t="s">
        <v>22</v>
      </c>
      <c r="E37" s="59" t="s">
        <v>23</v>
      </c>
      <c r="F37" s="59" t="s">
        <v>46</v>
      </c>
      <c r="G37" s="59" t="s">
        <v>25</v>
      </c>
      <c r="H37" s="59" t="s">
        <v>47</v>
      </c>
      <c r="I37" s="59" t="s">
        <v>27</v>
      </c>
      <c r="J37" s="59" t="s">
        <v>93</v>
      </c>
      <c r="K37" s="59" t="s">
        <v>29</v>
      </c>
      <c r="L37" s="59" t="s">
        <v>106</v>
      </c>
      <c r="M37" s="59"/>
      <c r="N37" s="59"/>
      <c r="O37" s="59"/>
      <c r="P37" s="59"/>
    </row>
    <row r="38" spans="1:19" ht="19" customHeight="1" x14ac:dyDescent="0.25">
      <c r="A38" s="58"/>
      <c r="B38" s="60"/>
      <c r="C38" s="60"/>
      <c r="D38" s="31" t="s">
        <v>32</v>
      </c>
      <c r="E38" s="31"/>
      <c r="F38" s="31" t="s">
        <v>32</v>
      </c>
      <c r="G38" s="31" t="s">
        <v>32</v>
      </c>
      <c r="H38" s="31" t="s">
        <v>32</v>
      </c>
      <c r="I38" s="31" t="s">
        <v>32</v>
      </c>
      <c r="J38" s="31"/>
      <c r="K38" s="31"/>
      <c r="L38" s="31" t="s">
        <v>32</v>
      </c>
      <c r="M38" s="31"/>
      <c r="N38" s="31"/>
      <c r="O38" s="31"/>
      <c r="P38" s="31"/>
    </row>
    <row r="39" spans="1:19" ht="19" customHeight="1" x14ac:dyDescent="0.25">
      <c r="A39" s="61"/>
      <c r="B39" s="62"/>
      <c r="C39" s="5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S39" s="50"/>
    </row>
    <row r="40" spans="1:19" ht="19" customHeight="1" x14ac:dyDescent="0.25">
      <c r="A40" s="61">
        <v>1</v>
      </c>
      <c r="B40" s="62" t="s">
        <v>34</v>
      </c>
      <c r="C40" s="56" t="s">
        <v>35</v>
      </c>
      <c r="D40" s="32">
        <f>D16</f>
        <v>105496138.28147556</v>
      </c>
      <c r="E40" s="33">
        <f>D40/D$46</f>
        <v>1.6942522596196219E-2</v>
      </c>
      <c r="F40" s="32">
        <v>0</v>
      </c>
      <c r="G40" s="32">
        <f>U40</f>
        <v>0</v>
      </c>
      <c r="H40" s="32">
        <f>H$46*$E40</f>
        <v>-4235.6306490490551</v>
      </c>
      <c r="I40" s="32">
        <f>I$46*$E40</f>
        <v>-11548.844775062806</v>
      </c>
      <c r="J40" s="32">
        <f>J$46*$E40</f>
        <v>-19632.7157871872</v>
      </c>
      <c r="K40" s="32">
        <f>K$46*$E40</f>
        <v>-7124.9911161906839</v>
      </c>
      <c r="L40" s="32">
        <f>SUM(F40:K40)</f>
        <v>-42542.182327489747</v>
      </c>
      <c r="M40" s="33"/>
      <c r="N40" s="33"/>
      <c r="O40" s="33"/>
      <c r="P40" s="32"/>
      <c r="R40" s="33"/>
      <c r="S40" s="32"/>
    </row>
    <row r="41" spans="1:19" ht="19" customHeight="1" x14ac:dyDescent="0.25">
      <c r="A41" s="61"/>
      <c r="B41" s="62"/>
      <c r="C41" s="56"/>
      <c r="D41" s="32"/>
      <c r="E41" s="33"/>
      <c r="F41" s="32"/>
      <c r="G41" s="32"/>
      <c r="H41" s="32"/>
      <c r="I41" s="32"/>
      <c r="J41" s="32"/>
      <c r="K41" s="32"/>
      <c r="L41" s="32"/>
      <c r="M41" s="33"/>
      <c r="N41" s="34"/>
      <c r="O41" s="34"/>
      <c r="P41" s="32"/>
      <c r="R41" s="33"/>
      <c r="S41" s="32"/>
    </row>
    <row r="42" spans="1:19" ht="19" customHeight="1" x14ac:dyDescent="0.25">
      <c r="A42" s="61">
        <v>2</v>
      </c>
      <c r="B42" s="62" t="s">
        <v>36</v>
      </c>
      <c r="C42" s="56" t="s">
        <v>37</v>
      </c>
      <c r="D42" s="32">
        <f>D18</f>
        <v>2806177779.5273852</v>
      </c>
      <c r="E42" s="33">
        <f>D42/D$46</f>
        <v>0.45066796958704247</v>
      </c>
      <c r="F42" s="32">
        <v>0</v>
      </c>
      <c r="G42" s="32">
        <f>U42</f>
        <v>0</v>
      </c>
      <c r="H42" s="32">
        <f>H$46*$E42</f>
        <v>-112666.99239676062</v>
      </c>
      <c r="I42" s="32">
        <f>I$46*$E42</f>
        <v>-307197.13645369373</v>
      </c>
      <c r="J42" s="32">
        <f>J$46*$E42</f>
        <v>-522226.61124132515</v>
      </c>
      <c r="K42" s="32">
        <f>K$46*$E42</f>
        <v>-189523.44678473537</v>
      </c>
      <c r="L42" s="32">
        <f>SUM(F42:K42)</f>
        <v>-1131614.1868765149</v>
      </c>
      <c r="M42" s="33"/>
      <c r="N42" s="35"/>
      <c r="O42" s="33"/>
      <c r="R42" s="33"/>
      <c r="S42" s="32"/>
    </row>
    <row r="43" spans="1:19" ht="19" customHeight="1" x14ac:dyDescent="0.25">
      <c r="A43" s="61"/>
      <c r="B43" s="62"/>
      <c r="C43" s="56"/>
      <c r="D43" s="36"/>
      <c r="E43" s="38"/>
      <c r="F43" s="36"/>
      <c r="G43" s="36"/>
      <c r="H43" s="36"/>
      <c r="I43" s="36"/>
      <c r="J43" s="36"/>
      <c r="K43" s="36"/>
      <c r="L43" s="36"/>
      <c r="M43" s="38"/>
      <c r="N43" s="37"/>
      <c r="O43" s="38"/>
      <c r="P43" s="36"/>
      <c r="R43" s="38"/>
      <c r="S43" s="36"/>
    </row>
    <row r="44" spans="1:19" ht="19" customHeight="1" x14ac:dyDescent="0.25">
      <c r="A44" s="61">
        <v>3</v>
      </c>
      <c r="B44" s="62" t="s">
        <v>38</v>
      </c>
      <c r="C44" s="56"/>
      <c r="D44" s="40">
        <f>D20</f>
        <v>3315033922.3306351</v>
      </c>
      <c r="E44" s="41">
        <f>D44/D$46</f>
        <v>0.53238950781676131</v>
      </c>
      <c r="F44" s="40">
        <f>F46</f>
        <v>0</v>
      </c>
      <c r="G44" s="40">
        <f>G46</f>
        <v>-323302.09999999998</v>
      </c>
      <c r="H44" s="40">
        <f>H$46*$E44</f>
        <v>-133097.37695419032</v>
      </c>
      <c r="I44" s="40">
        <f>I$46*$E44</f>
        <v>-362902.49877124344</v>
      </c>
      <c r="J44" s="40">
        <f>J$46*$E44</f>
        <v>-616924.1820809847</v>
      </c>
      <c r="K44" s="40">
        <f>K$46*$E44</f>
        <v>-223890.53885040621</v>
      </c>
      <c r="L44" s="40">
        <f>SUM(F44:K44)</f>
        <v>-1660116.6966568246</v>
      </c>
      <c r="M44" s="33"/>
      <c r="N44" s="33"/>
      <c r="O44" s="33"/>
      <c r="P44" s="32"/>
      <c r="R44" s="33"/>
      <c r="S44" s="32"/>
    </row>
    <row r="45" spans="1:19" ht="19" customHeight="1" x14ac:dyDescent="0.25">
      <c r="A45" s="61"/>
      <c r="B45" s="62"/>
      <c r="C45" s="56"/>
      <c r="D45" s="32"/>
      <c r="E45" s="34"/>
      <c r="F45" s="32"/>
      <c r="G45" s="32"/>
      <c r="H45" s="32"/>
      <c r="I45" s="32"/>
      <c r="J45" s="32"/>
      <c r="K45" s="32"/>
      <c r="L45" s="32"/>
      <c r="M45" s="34"/>
      <c r="N45" s="34"/>
      <c r="O45" s="33"/>
      <c r="P45" s="32"/>
      <c r="R45" s="34"/>
      <c r="S45" s="32"/>
    </row>
    <row r="46" spans="1:19" ht="19" customHeight="1" thickBot="1" x14ac:dyDescent="0.3">
      <c r="A46" s="61">
        <v>4</v>
      </c>
      <c r="B46" s="62" t="s">
        <v>39</v>
      </c>
      <c r="C46" s="56"/>
      <c r="D46" s="42">
        <f>SUM(D40:D44)</f>
        <v>6226707840.1394958</v>
      </c>
      <c r="E46" s="43">
        <f>SUM(E40:E44)</f>
        <v>1</v>
      </c>
      <c r="F46" s="42">
        <v>0</v>
      </c>
      <c r="G46" s="42">
        <f>-(1295.8*0.2495)*1000</f>
        <v>-323302.09999999998</v>
      </c>
      <c r="H46" s="42">
        <v>-250000</v>
      </c>
      <c r="I46" s="42">
        <v>-681648.48</v>
      </c>
      <c r="J46" s="42">
        <v>-1158783.5091094971</v>
      </c>
      <c r="K46" s="42">
        <v>-420538.97675133229</v>
      </c>
      <c r="L46" s="42">
        <f>SUM(L40:L44)</f>
        <v>-2834273.0658608293</v>
      </c>
      <c r="M46" s="33"/>
      <c r="N46" s="34"/>
      <c r="O46" s="33"/>
      <c r="P46" s="32"/>
      <c r="R46" s="33"/>
      <c r="S46" s="32"/>
    </row>
    <row r="47" spans="1:19" ht="19" customHeight="1" thickTop="1" x14ac:dyDescent="0.25">
      <c r="A47" s="61"/>
      <c r="B47" s="62"/>
      <c r="C47" s="56"/>
      <c r="D47" s="44"/>
      <c r="E47" s="44"/>
      <c r="F47" s="44"/>
      <c r="G47" s="44"/>
      <c r="H47" s="32"/>
      <c r="I47" s="32"/>
      <c r="J47" s="32"/>
      <c r="K47" s="44"/>
      <c r="L47" s="44"/>
      <c r="M47" s="44"/>
      <c r="N47" s="44"/>
      <c r="Q47" s="63"/>
    </row>
    <row r="48" spans="1:19" ht="19" customHeight="1" x14ac:dyDescent="0.35"/>
    <row r="49" spans="1:17" s="50" customFormat="1" ht="20.149999999999999" customHeight="1" x14ac:dyDescent="0.25">
      <c r="A49" s="87" t="str">
        <f>A25</f>
        <v>KENTUCKY UTILITIES COMPANY</v>
      </c>
      <c r="B49" s="87"/>
      <c r="C49" s="87"/>
      <c r="D49" s="87"/>
      <c r="E49" s="87"/>
      <c r="F49" s="87"/>
      <c r="G49" s="87"/>
      <c r="H49" s="87"/>
      <c r="I49" s="87"/>
      <c r="J49" s="87"/>
      <c r="K49" s="64"/>
      <c r="L49" s="64"/>
      <c r="M49" s="64"/>
      <c r="N49" s="49"/>
    </row>
    <row r="50" spans="1:17" s="50" customFormat="1" ht="20.149999999999999" customHeight="1" x14ac:dyDescent="0.25">
      <c r="A50" s="87" t="str">
        <f>A26</f>
        <v>CASE NO. 2020-00349</v>
      </c>
      <c r="B50" s="87"/>
      <c r="C50" s="87"/>
      <c r="D50" s="87"/>
      <c r="E50" s="87"/>
      <c r="F50" s="87"/>
      <c r="G50" s="87"/>
      <c r="H50" s="87"/>
      <c r="I50" s="87"/>
      <c r="J50" s="87"/>
      <c r="K50" s="64"/>
      <c r="L50" s="64"/>
      <c r="M50" s="64"/>
      <c r="N50" s="49"/>
    </row>
    <row r="51" spans="1:17" s="50" customFormat="1" ht="20.149999999999999" customHeight="1" x14ac:dyDescent="0.25">
      <c r="A51" s="87" t="s">
        <v>48</v>
      </c>
      <c r="B51" s="87"/>
      <c r="C51" s="87"/>
      <c r="D51" s="87"/>
      <c r="E51" s="87"/>
      <c r="F51" s="87"/>
      <c r="G51" s="87"/>
      <c r="H51" s="87"/>
      <c r="I51" s="87"/>
      <c r="J51" s="87"/>
      <c r="K51" s="64"/>
      <c r="L51" s="64"/>
      <c r="M51" s="64"/>
      <c r="N51" s="49"/>
    </row>
    <row r="52" spans="1:17" s="50" customFormat="1" ht="20.149999999999999" customHeight="1" x14ac:dyDescent="0.25">
      <c r="A52" s="87" t="s">
        <v>1</v>
      </c>
      <c r="B52" s="87"/>
      <c r="C52" s="87"/>
      <c r="D52" s="87"/>
      <c r="E52" s="87"/>
      <c r="F52" s="87"/>
      <c r="G52" s="87"/>
      <c r="H52" s="87"/>
      <c r="I52" s="87"/>
      <c r="J52" s="87"/>
      <c r="K52" s="64"/>
      <c r="L52" s="64"/>
      <c r="M52" s="64"/>
      <c r="N52" s="49"/>
    </row>
    <row r="53" spans="1:17" s="50" customFormat="1" ht="20.149999999999999" customHeight="1" x14ac:dyDescent="0.25">
      <c r="A53" s="87" t="str">
        <f>A29</f>
        <v>FROM JULY 1, 2021 TO JUNE 30, 2022</v>
      </c>
      <c r="B53" s="87"/>
      <c r="C53" s="87"/>
      <c r="D53" s="87"/>
      <c r="E53" s="87"/>
      <c r="F53" s="87"/>
      <c r="G53" s="87"/>
      <c r="H53" s="87"/>
      <c r="I53" s="87"/>
      <c r="J53" s="87"/>
      <c r="K53" s="64"/>
      <c r="L53" s="64"/>
      <c r="M53" s="64"/>
      <c r="N53" s="49"/>
    </row>
    <row r="54" spans="1:17" s="50" customFormat="1" ht="20.149999999999999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7" s="50" customFormat="1" ht="20.149999999999999" customHeight="1" x14ac:dyDescent="0.25">
      <c r="A55" s="52" t="s">
        <v>2</v>
      </c>
      <c r="M55" s="53"/>
    </row>
    <row r="56" spans="1:17" s="50" customFormat="1" ht="20.149999999999999" customHeight="1" x14ac:dyDescent="0.25">
      <c r="A56" s="52" t="s">
        <v>3</v>
      </c>
      <c r="J56" s="53" t="s">
        <v>4</v>
      </c>
    </row>
    <row r="57" spans="1:17" s="50" customFormat="1" ht="20.149999999999999" customHeight="1" x14ac:dyDescent="0.25">
      <c r="A57" s="50" t="s">
        <v>110</v>
      </c>
      <c r="J57" s="53" t="s">
        <v>49</v>
      </c>
    </row>
    <row r="58" spans="1:17" s="50" customFormat="1" ht="20.149999999999999" customHeight="1" x14ac:dyDescent="0.25">
      <c r="A58" s="52" t="s">
        <v>6</v>
      </c>
      <c r="J58" s="54" t="s">
        <v>111</v>
      </c>
    </row>
    <row r="59" spans="1:17" s="50" customFormat="1" ht="20.149999999999999" customHeight="1" x14ac:dyDescent="0.25"/>
    <row r="60" spans="1:17" ht="48" customHeight="1" x14ac:dyDescent="0.25">
      <c r="A60" s="55" t="s">
        <v>7</v>
      </c>
      <c r="B60" s="55" t="s">
        <v>8</v>
      </c>
      <c r="C60" s="55" t="s">
        <v>9</v>
      </c>
      <c r="D60" s="55" t="s">
        <v>14</v>
      </c>
      <c r="E60" s="55" t="s">
        <v>17</v>
      </c>
      <c r="F60" s="55" t="s">
        <v>50</v>
      </c>
      <c r="G60" s="55" t="s">
        <v>51</v>
      </c>
      <c r="H60" s="55" t="s">
        <v>107</v>
      </c>
      <c r="I60" s="55"/>
      <c r="J60" s="55" t="s">
        <v>15</v>
      </c>
      <c r="K60" s="56"/>
      <c r="L60" s="56"/>
      <c r="M60" s="56"/>
      <c r="N60" s="56"/>
    </row>
    <row r="61" spans="1:17" ht="19" customHeight="1" x14ac:dyDescent="0.25">
      <c r="A61" s="58"/>
      <c r="B61" s="59" t="s">
        <v>20</v>
      </c>
      <c r="C61" s="59" t="s">
        <v>21</v>
      </c>
      <c r="D61" s="59" t="s">
        <v>52</v>
      </c>
      <c r="E61" s="59" t="s">
        <v>23</v>
      </c>
      <c r="F61" s="59" t="s">
        <v>46</v>
      </c>
      <c r="G61" s="59" t="s">
        <v>25</v>
      </c>
      <c r="H61" s="59" t="s">
        <v>47</v>
      </c>
      <c r="I61" s="59"/>
      <c r="J61" s="59" t="s">
        <v>53</v>
      </c>
      <c r="K61" s="59"/>
      <c r="L61" s="59"/>
      <c r="M61" s="59"/>
      <c r="N61" s="59"/>
    </row>
    <row r="62" spans="1:17" ht="19" customHeight="1" x14ac:dyDescent="0.25">
      <c r="A62" s="58"/>
      <c r="B62" s="60"/>
      <c r="D62" s="31" t="s">
        <v>32</v>
      </c>
      <c r="E62" s="31"/>
      <c r="F62" s="31" t="s">
        <v>32</v>
      </c>
      <c r="G62" s="31" t="s">
        <v>32</v>
      </c>
      <c r="H62" s="31" t="s">
        <v>32</v>
      </c>
      <c r="I62" s="31"/>
      <c r="J62" s="31" t="s">
        <v>32</v>
      </c>
      <c r="K62" s="31"/>
      <c r="L62" s="31"/>
      <c r="M62" s="31"/>
      <c r="N62" s="31"/>
    </row>
    <row r="63" spans="1:17" ht="19" customHeight="1" x14ac:dyDescent="0.25">
      <c r="A63" s="61"/>
      <c r="B63" s="62"/>
      <c r="C63" s="5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Q63" s="50"/>
    </row>
    <row r="64" spans="1:17" ht="19" customHeight="1" x14ac:dyDescent="0.25">
      <c r="A64" s="61">
        <v>1</v>
      </c>
      <c r="B64" s="62" t="s">
        <v>34</v>
      </c>
      <c r="C64" s="56"/>
      <c r="D64" s="32">
        <f>H16</f>
        <v>98704565.94880259</v>
      </c>
      <c r="E64" s="33">
        <f>D64/D$70</f>
        <v>1.6943402683665156E-2</v>
      </c>
      <c r="F64" s="32">
        <f>F$70*$E64</f>
        <v>-9829317.0078580845</v>
      </c>
      <c r="G64" s="32">
        <f>G$70*$E64</f>
        <v>-48126.419561923911</v>
      </c>
      <c r="H64" s="32">
        <f>H$70*$E64</f>
        <v>-157429.55398331807</v>
      </c>
      <c r="I64" s="32"/>
      <c r="J64" s="32">
        <f>SUM(F64:I64)</f>
        <v>-10034872.981403327</v>
      </c>
      <c r="K64" s="33"/>
      <c r="L64" s="33"/>
      <c r="M64" s="33"/>
      <c r="N64" s="32"/>
      <c r="P64" s="33"/>
      <c r="Q64" s="32"/>
    </row>
    <row r="65" spans="1:17" ht="19" customHeight="1" x14ac:dyDescent="0.25">
      <c r="A65" s="61"/>
      <c r="B65" s="62"/>
      <c r="C65" s="56"/>
      <c r="D65" s="32"/>
      <c r="E65" s="33"/>
      <c r="F65" s="32"/>
      <c r="G65" s="32"/>
      <c r="H65" s="32"/>
      <c r="I65" s="32"/>
      <c r="J65" s="32"/>
      <c r="K65" s="33"/>
      <c r="L65" s="34"/>
      <c r="M65" s="34"/>
      <c r="N65" s="32"/>
      <c r="P65" s="33"/>
      <c r="Q65" s="32"/>
    </row>
    <row r="66" spans="1:17" ht="19" customHeight="1" x14ac:dyDescent="0.25">
      <c r="A66" s="61">
        <v>2</v>
      </c>
      <c r="B66" s="62" t="s">
        <v>36</v>
      </c>
      <c r="C66" s="56"/>
      <c r="D66" s="32">
        <f>H18</f>
        <v>2625523210.7587166</v>
      </c>
      <c r="E66" s="33">
        <f>D66/D$70</f>
        <v>0.4506913797510505</v>
      </c>
      <c r="F66" s="32">
        <f>F$70*$E66</f>
        <v>-261458015.66487607</v>
      </c>
      <c r="G66" s="32">
        <f>G$70*$E66</f>
        <v>-1280153.8651827327</v>
      </c>
      <c r="H66" s="32">
        <f>H$70*$E66</f>
        <v>-4187597.0383881545</v>
      </c>
      <c r="I66" s="32"/>
      <c r="J66" s="32">
        <f>SUM(F66:I66)</f>
        <v>-266925766.56844696</v>
      </c>
      <c r="K66" s="33"/>
      <c r="L66" s="35"/>
      <c r="M66" s="33"/>
      <c r="P66" s="33"/>
      <c r="Q66" s="32"/>
    </row>
    <row r="67" spans="1:17" ht="19" customHeight="1" x14ac:dyDescent="0.25">
      <c r="A67" s="61"/>
      <c r="B67" s="62"/>
      <c r="C67" s="56"/>
      <c r="D67" s="36"/>
      <c r="E67" s="38"/>
      <c r="F67" s="36"/>
      <c r="G67" s="36"/>
      <c r="H67" s="36"/>
      <c r="I67" s="36"/>
      <c r="J67" s="36"/>
      <c r="K67" s="38"/>
      <c r="L67" s="37"/>
      <c r="M67" s="38"/>
      <c r="N67" s="36"/>
      <c r="P67" s="38"/>
      <c r="Q67" s="36"/>
    </row>
    <row r="68" spans="1:17" ht="19" customHeight="1" x14ac:dyDescent="0.25">
      <c r="A68" s="61">
        <v>3</v>
      </c>
      <c r="B68" s="62" t="s">
        <v>38</v>
      </c>
      <c r="C68" s="56"/>
      <c r="D68" s="40">
        <f>H20</f>
        <v>3101317882.0734038</v>
      </c>
      <c r="E68" s="41">
        <f>D68/D$70</f>
        <v>0.53236521756528432</v>
      </c>
      <c r="F68" s="40">
        <f>F$70*$E68</f>
        <v>-308839173.87216198</v>
      </c>
      <c r="G68" s="40">
        <f>G$70*$E68</f>
        <v>-1512142.0590105187</v>
      </c>
      <c r="H68" s="40">
        <f>H$70*$E68</f>
        <v>-4946469.1551204529</v>
      </c>
      <c r="I68" s="40"/>
      <c r="J68" s="40">
        <f>SUM(F68:I68)</f>
        <v>-315297785.08629292</v>
      </c>
      <c r="K68" s="33"/>
      <c r="L68" s="33"/>
      <c r="M68" s="33"/>
      <c r="N68" s="32"/>
      <c r="P68" s="33"/>
      <c r="Q68" s="32"/>
    </row>
    <row r="69" spans="1:17" ht="19" customHeight="1" x14ac:dyDescent="0.25">
      <c r="A69" s="61"/>
      <c r="B69" s="62"/>
      <c r="C69" s="56"/>
      <c r="D69" s="32"/>
      <c r="E69" s="34"/>
      <c r="F69" s="32"/>
      <c r="G69" s="32"/>
      <c r="H69" s="32"/>
      <c r="I69" s="32"/>
      <c r="J69" s="32"/>
      <c r="K69" s="34"/>
      <c r="L69" s="34"/>
      <c r="M69" s="33"/>
      <c r="N69" s="32"/>
      <c r="P69" s="34"/>
      <c r="Q69" s="32"/>
    </row>
    <row r="70" spans="1:17" ht="19" customHeight="1" thickBot="1" x14ac:dyDescent="0.3">
      <c r="A70" s="61">
        <v>4</v>
      </c>
      <c r="B70" s="62" t="s">
        <v>39</v>
      </c>
      <c r="C70" s="59"/>
      <c r="D70" s="42">
        <f>SUM(D64:D68)</f>
        <v>5825545658.7809229</v>
      </c>
      <c r="E70" s="43">
        <f>SUM(E64:E68)</f>
        <v>1</v>
      </c>
      <c r="F70" s="42">
        <v>-580126506.54489613</v>
      </c>
      <c r="G70" s="42">
        <v>-2840422.3437551754</v>
      </c>
      <c r="H70" s="42">
        <v>-9291495.747491926</v>
      </c>
      <c r="I70" s="42"/>
      <c r="J70" s="42">
        <f>SUM(J64:J68)</f>
        <v>-592258424.63614321</v>
      </c>
      <c r="K70" s="33"/>
      <c r="L70" s="34"/>
      <c r="M70" s="33"/>
      <c r="N70" s="32"/>
      <c r="P70" s="33"/>
      <c r="Q70" s="32"/>
    </row>
    <row r="71" spans="1:17" ht="19" customHeight="1" thickTop="1" x14ac:dyDescent="0.25">
      <c r="A71" s="61"/>
      <c r="B71" s="62"/>
      <c r="C71" s="56"/>
      <c r="D71" s="44"/>
      <c r="E71" s="44"/>
      <c r="F71" s="44"/>
      <c r="G71" s="44"/>
      <c r="H71" s="32"/>
      <c r="I71" s="32"/>
      <c r="J71" s="32"/>
      <c r="K71" s="44"/>
      <c r="L71" s="44"/>
      <c r="M71" s="44"/>
      <c r="N71" s="44"/>
      <c r="Q71" s="63"/>
    </row>
    <row r="72" spans="1:17" ht="19" customHeight="1" x14ac:dyDescent="0.35"/>
    <row r="73" spans="1:17" ht="19" customHeight="1" x14ac:dyDescent="0.35"/>
    <row r="74" spans="1:17" ht="19" customHeight="1" x14ac:dyDescent="0.35"/>
    <row r="75" spans="1:17" ht="19" customHeight="1" x14ac:dyDescent="0.35"/>
    <row r="76" spans="1:17" ht="19" customHeight="1" x14ac:dyDescent="0.35"/>
    <row r="77" spans="1:17" ht="19" customHeight="1" x14ac:dyDescent="0.35"/>
    <row r="78" spans="1:17" ht="19" customHeight="1" x14ac:dyDescent="0.35"/>
    <row r="79" spans="1:17" ht="19" customHeight="1" x14ac:dyDescent="0.35"/>
    <row r="80" spans="1:17" ht="19" customHeight="1" x14ac:dyDescent="0.35"/>
    <row r="81" ht="19" customHeight="1" x14ac:dyDescent="0.35"/>
    <row r="82" ht="19" customHeight="1" x14ac:dyDescent="0.35"/>
    <row r="83" ht="19" customHeight="1" x14ac:dyDescent="0.35"/>
    <row r="84" ht="19" customHeight="1" x14ac:dyDescent="0.35"/>
    <row r="85" ht="19" customHeight="1" x14ac:dyDescent="0.35"/>
    <row r="86" ht="19" customHeight="1" x14ac:dyDescent="0.35"/>
    <row r="87" ht="19" customHeight="1" x14ac:dyDescent="0.35"/>
    <row r="88" ht="19" customHeight="1" x14ac:dyDescent="0.35"/>
    <row r="89" ht="19" customHeight="1" x14ac:dyDescent="0.35"/>
    <row r="90" ht="19" customHeight="1" x14ac:dyDescent="0.35"/>
    <row r="91" ht="19" customHeight="1" x14ac:dyDescent="0.35"/>
    <row r="92" ht="19" customHeight="1" x14ac:dyDescent="0.35"/>
    <row r="93" ht="19" customHeight="1" x14ac:dyDescent="0.35"/>
    <row r="94" ht="19" customHeight="1" x14ac:dyDescent="0.35"/>
    <row r="95" ht="19" customHeight="1" x14ac:dyDescent="0.35"/>
    <row r="96" ht="19" customHeight="1" x14ac:dyDescent="0.35"/>
    <row r="97" ht="19" customHeight="1" x14ac:dyDescent="0.35"/>
    <row r="98" ht="19" customHeight="1" x14ac:dyDescent="0.35"/>
    <row r="99" ht="19" customHeight="1" x14ac:dyDescent="0.35"/>
    <row r="100" ht="19" customHeight="1" x14ac:dyDescent="0.35"/>
    <row r="101" ht="19" customHeight="1" x14ac:dyDescent="0.35"/>
    <row r="102" ht="19" customHeight="1" x14ac:dyDescent="0.35"/>
    <row r="103" ht="19" customHeight="1" x14ac:dyDescent="0.35"/>
    <row r="104" ht="19" customHeight="1" x14ac:dyDescent="0.35"/>
    <row r="105" ht="19" customHeight="1" x14ac:dyDescent="0.35"/>
    <row r="106" ht="19" customHeight="1" x14ac:dyDescent="0.35"/>
    <row r="107" ht="19" customHeight="1" x14ac:dyDescent="0.35"/>
    <row r="108" ht="19" customHeight="1" x14ac:dyDescent="0.35"/>
    <row r="109" ht="19" customHeight="1" x14ac:dyDescent="0.35"/>
    <row r="110" ht="19" customHeight="1" x14ac:dyDescent="0.35"/>
    <row r="111" ht="19" customHeight="1" x14ac:dyDescent="0.35"/>
    <row r="112" ht="19" customHeight="1" x14ac:dyDescent="0.35"/>
    <row r="113" ht="19" customHeight="1" x14ac:dyDescent="0.35"/>
    <row r="114" ht="19" customHeight="1" x14ac:dyDescent="0.35"/>
    <row r="115" ht="19" customHeight="1" x14ac:dyDescent="0.35"/>
    <row r="116" ht="19" customHeight="1" x14ac:dyDescent="0.35"/>
    <row r="117" ht="19" customHeight="1" x14ac:dyDescent="0.35"/>
    <row r="118" ht="19" customHeight="1" x14ac:dyDescent="0.35"/>
    <row r="119" ht="19" customHeight="1" x14ac:dyDescent="0.35"/>
    <row r="120" ht="19" customHeight="1" x14ac:dyDescent="0.35"/>
    <row r="121" ht="19" customHeight="1" x14ac:dyDescent="0.35"/>
    <row r="122" ht="19" customHeight="1" x14ac:dyDescent="0.35"/>
    <row r="123" ht="19" customHeight="1" x14ac:dyDescent="0.35"/>
    <row r="124" ht="19" customHeight="1" x14ac:dyDescent="0.35"/>
    <row r="125" ht="19" customHeight="1" x14ac:dyDescent="0.35"/>
    <row r="126" ht="19" customHeight="1" x14ac:dyDescent="0.35"/>
    <row r="127" ht="19" customHeight="1" x14ac:dyDescent="0.35"/>
    <row r="128" ht="19" customHeight="1" x14ac:dyDescent="0.35"/>
    <row r="129" ht="19" customHeight="1" x14ac:dyDescent="0.35"/>
    <row r="130" ht="19" customHeight="1" x14ac:dyDescent="0.35"/>
    <row r="131" ht="19" customHeight="1" x14ac:dyDescent="0.35"/>
    <row r="132" ht="19" customHeight="1" x14ac:dyDescent="0.35"/>
    <row r="133" ht="19" customHeight="1" x14ac:dyDescent="0.35"/>
    <row r="134" ht="19" customHeight="1" x14ac:dyDescent="0.35"/>
    <row r="135" ht="19" customHeight="1" x14ac:dyDescent="0.35"/>
    <row r="136" ht="19" customHeight="1" x14ac:dyDescent="0.35"/>
    <row r="137" ht="19" customHeight="1" x14ac:dyDescent="0.35"/>
    <row r="138" ht="19" customHeight="1" x14ac:dyDescent="0.35"/>
    <row r="139" ht="19" customHeight="1" x14ac:dyDescent="0.35"/>
    <row r="140" ht="19" customHeight="1" x14ac:dyDescent="0.35"/>
    <row r="141" ht="19" customHeight="1" x14ac:dyDescent="0.35"/>
    <row r="142" ht="19" customHeight="1" x14ac:dyDescent="0.35"/>
    <row r="143" ht="19" customHeight="1" x14ac:dyDescent="0.35"/>
    <row r="144" ht="19" customHeight="1" x14ac:dyDescent="0.35"/>
    <row r="145" ht="19" customHeight="1" x14ac:dyDescent="0.35"/>
    <row r="146" ht="19" customHeight="1" x14ac:dyDescent="0.35"/>
    <row r="147" ht="19" customHeight="1" x14ac:dyDescent="0.35"/>
    <row r="148" ht="19" customHeight="1" x14ac:dyDescent="0.35"/>
    <row r="149" ht="19" customHeight="1" x14ac:dyDescent="0.35"/>
    <row r="150" ht="19" customHeight="1" x14ac:dyDescent="0.35"/>
    <row r="151" ht="19" customHeight="1" x14ac:dyDescent="0.35"/>
    <row r="152" ht="19" customHeight="1" x14ac:dyDescent="0.35"/>
    <row r="153" ht="19" customHeight="1" x14ac:dyDescent="0.35"/>
    <row r="154" ht="19" customHeight="1" x14ac:dyDescent="0.35"/>
    <row r="155" ht="19" customHeight="1" x14ac:dyDescent="0.35"/>
    <row r="156" ht="19" customHeight="1" x14ac:dyDescent="0.35"/>
    <row r="157" ht="19" customHeight="1" x14ac:dyDescent="0.35"/>
    <row r="158" ht="19" customHeight="1" x14ac:dyDescent="0.35"/>
    <row r="159" ht="19" customHeight="1" x14ac:dyDescent="0.35"/>
    <row r="160" ht="19" customHeight="1" x14ac:dyDescent="0.35"/>
    <row r="161" ht="19" customHeight="1" x14ac:dyDescent="0.35"/>
    <row r="162" ht="19" customHeight="1" x14ac:dyDescent="0.35"/>
    <row r="163" ht="19" customHeight="1" x14ac:dyDescent="0.35"/>
    <row r="164" ht="19" customHeight="1" x14ac:dyDescent="0.35"/>
    <row r="165" ht="19" customHeight="1" x14ac:dyDescent="0.35"/>
    <row r="166" ht="19" customHeight="1" x14ac:dyDescent="0.35"/>
    <row r="167" ht="19" customHeight="1" x14ac:dyDescent="0.35"/>
    <row r="168" ht="19" customHeight="1" x14ac:dyDescent="0.35"/>
    <row r="169" ht="19" customHeight="1" x14ac:dyDescent="0.35"/>
    <row r="170" ht="19" customHeight="1" x14ac:dyDescent="0.35"/>
    <row r="171" ht="19" customHeight="1" x14ac:dyDescent="0.35"/>
    <row r="172" ht="19" customHeight="1" x14ac:dyDescent="0.35"/>
    <row r="173" ht="19" customHeight="1" x14ac:dyDescent="0.35"/>
    <row r="174" ht="19" customHeight="1" x14ac:dyDescent="0.35"/>
    <row r="175" ht="19" customHeight="1" x14ac:dyDescent="0.35"/>
    <row r="176" ht="19" customHeight="1" x14ac:dyDescent="0.35"/>
    <row r="177" ht="19" customHeight="1" x14ac:dyDescent="0.35"/>
    <row r="178" ht="19" customHeight="1" x14ac:dyDescent="0.35"/>
    <row r="179" ht="19" customHeight="1" x14ac:dyDescent="0.35"/>
    <row r="180" ht="19" customHeight="1" x14ac:dyDescent="0.35"/>
    <row r="181" ht="19" customHeight="1" x14ac:dyDescent="0.35"/>
    <row r="182" ht="19" customHeight="1" x14ac:dyDescent="0.35"/>
    <row r="183" ht="19" customHeight="1" x14ac:dyDescent="0.35"/>
    <row r="184" ht="19" customHeight="1" x14ac:dyDescent="0.35"/>
    <row r="185" ht="19" customHeight="1" x14ac:dyDescent="0.35"/>
    <row r="186" ht="19" customHeight="1" x14ac:dyDescent="0.35"/>
    <row r="187" ht="19" customHeight="1" x14ac:dyDescent="0.35"/>
    <row r="188" ht="19" customHeight="1" x14ac:dyDescent="0.35"/>
    <row r="189" ht="19" customHeight="1" x14ac:dyDescent="0.35"/>
    <row r="190" ht="19" customHeight="1" x14ac:dyDescent="0.35"/>
    <row r="191" ht="19" customHeight="1" x14ac:dyDescent="0.35"/>
    <row r="192" ht="19" customHeight="1" x14ac:dyDescent="0.35"/>
    <row r="193" ht="19" customHeight="1" x14ac:dyDescent="0.35"/>
    <row r="194" ht="19" customHeight="1" x14ac:dyDescent="0.35"/>
    <row r="195" ht="19" customHeight="1" x14ac:dyDescent="0.35"/>
  </sheetData>
  <mergeCells count="15">
    <mergeCell ref="A51:J51"/>
    <mergeCell ref="A52:J52"/>
    <mergeCell ref="A53:J53"/>
    <mergeCell ref="A26:L26"/>
    <mergeCell ref="A27:L27"/>
    <mergeCell ref="A28:L28"/>
    <mergeCell ref="A29:L29"/>
    <mergeCell ref="A49:J49"/>
    <mergeCell ref="A50:J50"/>
    <mergeCell ref="A25:L25"/>
    <mergeCell ref="A1:M1"/>
    <mergeCell ref="A2:M2"/>
    <mergeCell ref="A3:M3"/>
    <mergeCell ref="A4:M4"/>
    <mergeCell ref="A5:M5"/>
  </mergeCells>
  <pageMargins left="0.7" right="0.7" top="0.75" bottom="0.75" header="0.3" footer="0.3"/>
  <pageSetup scale="58" fitToHeight="0" orientation="landscape" r:id="rId1"/>
  <headerFooter scaleWithDoc="0">
    <oddFooter>&amp;R&amp;"Times New Roman,Bold"&amp;12Rebuttal Exhibit CMG-10
Page &amp;P of &amp;N</oddFooter>
  </headerFooter>
  <rowBreaks count="2" manualBreakCount="2">
    <brk id="24" max="12" man="1"/>
    <brk id="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zoomScaleNormal="100" workbookViewId="0">
      <selection sqref="A1:E1"/>
    </sheetView>
  </sheetViews>
  <sheetFormatPr defaultColWidth="9.1796875" defaultRowHeight="12.5" x14ac:dyDescent="0.25"/>
  <cols>
    <col min="1" max="2" width="13.7265625" style="67" customWidth="1"/>
    <col min="3" max="3" width="1.7265625" style="67" customWidth="1"/>
    <col min="4" max="4" width="13.7265625" style="67" customWidth="1"/>
    <col min="5" max="16384" width="9.1796875" style="67"/>
  </cols>
  <sheetData>
    <row r="1" spans="1:7" ht="13" x14ac:dyDescent="0.3">
      <c r="A1" s="86" t="s">
        <v>54</v>
      </c>
      <c r="B1" s="86"/>
      <c r="C1" s="86"/>
      <c r="D1" s="86"/>
    </row>
    <row r="2" spans="1:7" ht="32.25" customHeight="1" x14ac:dyDescent="0.3">
      <c r="B2" s="68" t="s">
        <v>56</v>
      </c>
      <c r="C2" s="69"/>
      <c r="D2" s="78" t="s">
        <v>57</v>
      </c>
    </row>
    <row r="3" spans="1:7" ht="13" x14ac:dyDescent="0.3">
      <c r="A3" s="70" t="s">
        <v>58</v>
      </c>
      <c r="B3" s="71">
        <f>IF(D3=1,'KU FERC TYE June 2022'!C7,'KU FERC TYE June 2022'!C7*('KU FERC TYE June 2022'!C6/'KU FERC TYE June 2022'!C14))</f>
        <v>3.2370518789906974E-3</v>
      </c>
      <c r="C3" s="72"/>
      <c r="D3" s="71">
        <f>IF('KU FERC TYE June 2022'!C6/'KU FERC TYE June 2022'!C14&gt;1,1,'KU FERC TYE June 2022'!C6/'KU FERC TYE June 2022'!C14)</f>
        <v>0.70519092383365256</v>
      </c>
      <c r="G3" s="71"/>
    </row>
    <row r="4" spans="1:7" ht="13" x14ac:dyDescent="0.3">
      <c r="A4" s="70" t="s">
        <v>59</v>
      </c>
      <c r="B4" s="71">
        <f>IF(D4=0,0,'KU FERC TYE June 2022'!C9*(('KU FERC TYE June 2022'!C8/('KU FERC TYE June 2022'!C8+'KU FERC TYE June 2022'!C10+'KU FERC TYE June 2022'!C12))*(1-('KU FERC TYE June 2022'!C6/'KU FERC TYE June 2022'!C14))))</f>
        <v>5.625065789688106E-3</v>
      </c>
      <c r="C4" s="72"/>
      <c r="D4" s="71">
        <f>'KU FERC TYE June 2022'!C8/('KU FERC TYE June 2022'!$C$8+'KU FERC TYE June 2022'!$C$12)*(1-$D$3)</f>
        <v>0.13515794478493132</v>
      </c>
      <c r="G4" s="71"/>
    </row>
    <row r="5" spans="1:7" ht="13" x14ac:dyDescent="0.3">
      <c r="A5" s="70" t="s">
        <v>60</v>
      </c>
      <c r="B5" s="73">
        <f>IF(D5=0,0,'KU FERC TYE June 2022'!D34)</f>
        <v>1.5965113138141612E-2</v>
      </c>
      <c r="C5" s="72"/>
      <c r="D5" s="73">
        <f>'KU FERC TYE June 2022'!C12/('KU FERC TYE June 2022'!$C$8+'KU FERC TYE June 2022'!$C$12)*(1-$D$3)</f>
        <v>0.15965113138141609</v>
      </c>
    </row>
    <row r="6" spans="1:7" ht="13" x14ac:dyDescent="0.3">
      <c r="B6" s="74">
        <f>SUM(B3:B5)</f>
        <v>2.4827230806820415E-2</v>
      </c>
      <c r="C6" s="75"/>
      <c r="D6" s="74">
        <f>SUM(D3:D5)</f>
        <v>0.99999999999999989</v>
      </c>
    </row>
    <row r="7" spans="1:7" x14ac:dyDescent="0.25">
      <c r="B7" s="76">
        <f>B6-'KU FERC TYE June 2022'!D24-'KU FERC TYE June 2022'!D34</f>
        <v>0</v>
      </c>
      <c r="C7" s="77"/>
      <c r="D7" s="76"/>
    </row>
  </sheetData>
  <mergeCells count="1">
    <mergeCell ref="A1:D1"/>
  </mergeCells>
  <pageMargins left="0.7" right="0.7" top="0.75" bottom="0.75" header="0.3" footer="0.3"/>
  <pageSetup scale="89" orientation="portrait" r:id="rId1"/>
  <headerFooter>
    <oddHeader>&amp;R&amp;"Times New Roman,Bold"&amp;12Rebuttal Exhibit CMG-10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showGridLines="0" zoomScaleNormal="100" workbookViewId="0">
      <selection sqref="A1:E1"/>
    </sheetView>
  </sheetViews>
  <sheetFormatPr defaultColWidth="16" defaultRowHeight="12.5" x14ac:dyDescent="0.25"/>
  <cols>
    <col min="1" max="1" width="6.81640625" style="4" customWidth="1"/>
    <col min="2" max="2" width="22.26953125" style="4" customWidth="1"/>
    <col min="3" max="3" width="21.7265625" style="4" customWidth="1"/>
    <col min="4" max="4" width="21" style="4" customWidth="1"/>
    <col min="5" max="5" width="22.7265625" style="4" customWidth="1"/>
    <col min="6" max="6" width="23.1796875" style="4" customWidth="1"/>
    <col min="7" max="7" width="19.7265625" style="4" customWidth="1"/>
    <col min="8" max="8" width="4" style="4" customWidth="1"/>
    <col min="9" max="9" width="21.81640625" style="4" customWidth="1"/>
    <col min="10" max="10" width="14.453125" style="4" customWidth="1"/>
    <col min="11" max="12" width="21.81640625" style="4" customWidth="1"/>
    <col min="13" max="16384" width="16" style="4"/>
  </cols>
  <sheetData>
    <row r="1" spans="1:11" ht="15.5" x14ac:dyDescent="0.35">
      <c r="A1" s="90" t="s">
        <v>61</v>
      </c>
      <c r="B1" s="90"/>
      <c r="C1" s="90"/>
      <c r="D1" s="90"/>
      <c r="E1" s="90"/>
      <c r="F1" s="83"/>
      <c r="G1" s="83"/>
      <c r="H1" s="83"/>
    </row>
    <row r="2" spans="1:11" ht="15.5" x14ac:dyDescent="0.35">
      <c r="A2" s="91" t="s">
        <v>114</v>
      </c>
      <c r="B2" s="91"/>
      <c r="C2" s="91"/>
      <c r="D2" s="91"/>
      <c r="E2" s="91"/>
      <c r="F2" s="83"/>
      <c r="G2" s="83"/>
      <c r="H2" s="83"/>
    </row>
    <row r="4" spans="1:11" x14ac:dyDescent="0.25">
      <c r="A4" s="5" t="s">
        <v>115</v>
      </c>
    </row>
    <row r="6" spans="1:11" x14ac:dyDescent="0.25">
      <c r="A6" s="5" t="s">
        <v>63</v>
      </c>
      <c r="C6" s="8">
        <f>'KU SCH J-1.1 Errata Filing'!J16</f>
        <v>88669692.967399269</v>
      </c>
    </row>
    <row r="7" spans="1:11" x14ac:dyDescent="0.25">
      <c r="A7" s="5" t="s">
        <v>64</v>
      </c>
      <c r="C7" s="11">
        <f>'KU SCH J-1.1 Errata Filing'!L16</f>
        <v>4.5903198262862007E-3</v>
      </c>
    </row>
    <row r="8" spans="1:11" x14ac:dyDescent="0.25">
      <c r="A8" s="5" t="s">
        <v>65</v>
      </c>
      <c r="C8" s="8">
        <f>'KU SCH J-1.1 Errata Filing'!J18</f>
        <v>2358597444.1902695</v>
      </c>
    </row>
    <row r="9" spans="1:11" x14ac:dyDescent="0.25">
      <c r="A9" s="5" t="s">
        <v>66</v>
      </c>
      <c r="C9" s="11">
        <f>'KU SCH J-1.1 Errata Filing'!L18</f>
        <v>4.1618462004870925E-2</v>
      </c>
    </row>
    <row r="10" spans="1:11" x14ac:dyDescent="0.25">
      <c r="A10" s="5" t="s">
        <v>62</v>
      </c>
      <c r="C10" s="8">
        <v>0</v>
      </c>
    </row>
    <row r="11" spans="1:11" x14ac:dyDescent="0.25">
      <c r="A11" s="5" t="s">
        <v>67</v>
      </c>
      <c r="C11" s="11">
        <v>0</v>
      </c>
      <c r="F11" s="48"/>
    </row>
    <row r="12" spans="1:11" x14ac:dyDescent="0.25">
      <c r="A12" s="5" t="s">
        <v>68</v>
      </c>
      <c r="C12" s="8">
        <f>'KU SCH J-1.1 Errata Filing'!J20</f>
        <v>2786020096.9871111</v>
      </c>
      <c r="F12" s="48"/>
    </row>
    <row r="13" spans="1:11" ht="13" x14ac:dyDescent="0.3">
      <c r="A13" s="5" t="s">
        <v>69</v>
      </c>
      <c r="C13" s="12">
        <f>'KU SCH J-1.1 Errata Filing'!L20</f>
        <v>0.1</v>
      </c>
      <c r="F13" s="48"/>
      <c r="I13" s="82"/>
    </row>
    <row r="14" spans="1:11" ht="13.5" x14ac:dyDescent="0.25">
      <c r="A14" s="5" t="s">
        <v>102</v>
      </c>
      <c r="C14" s="65">
        <v>125738562.38160484</v>
      </c>
    </row>
    <row r="16" spans="1:11" x14ac:dyDescent="0.25">
      <c r="I16" s="6"/>
      <c r="J16" s="6"/>
      <c r="K16" s="6"/>
    </row>
    <row r="17" spans="1:9" x14ac:dyDescent="0.25">
      <c r="B17" s="4" t="s">
        <v>70</v>
      </c>
    </row>
    <row r="18" spans="1:9" ht="13" x14ac:dyDescent="0.3">
      <c r="A18" s="4" t="s">
        <v>71</v>
      </c>
      <c r="I18" s="82"/>
    </row>
    <row r="20" spans="1:9" x14ac:dyDescent="0.25">
      <c r="C20" s="13" t="s">
        <v>72</v>
      </c>
    </row>
    <row r="21" spans="1:9" ht="13" x14ac:dyDescent="0.3">
      <c r="A21" s="4" t="s">
        <v>73</v>
      </c>
      <c r="B21" s="10" t="s">
        <v>74</v>
      </c>
      <c r="C21" s="13" t="s">
        <v>75</v>
      </c>
      <c r="D21" s="14" t="s">
        <v>76</v>
      </c>
      <c r="I21" s="82"/>
    </row>
    <row r="22" spans="1:9" x14ac:dyDescent="0.25">
      <c r="C22" s="13" t="s">
        <v>77</v>
      </c>
    </row>
    <row r="24" spans="1:9" x14ac:dyDescent="0.25">
      <c r="A24" s="4" t="s">
        <v>73</v>
      </c>
      <c r="B24" s="15">
        <f>ROUND(D24,4)</f>
        <v>8.8999999999999999E-3</v>
      </c>
      <c r="D24" s="4">
        <f>(C7*(C6/C14))+C9*(C8/(C8+C10+C12))*(1-(C6/C14))</f>
        <v>8.8621176686788025E-3</v>
      </c>
    </row>
    <row r="28" spans="1:9" x14ac:dyDescent="0.25">
      <c r="A28" s="4" t="s">
        <v>78</v>
      </c>
    </row>
    <row r="30" spans="1:9" x14ac:dyDescent="0.25">
      <c r="C30" s="13" t="s">
        <v>79</v>
      </c>
      <c r="D30" s="13" t="s">
        <v>80</v>
      </c>
      <c r="I30" s="16"/>
    </row>
    <row r="31" spans="1:9" x14ac:dyDescent="0.25">
      <c r="A31" s="4" t="s">
        <v>81</v>
      </c>
      <c r="B31" s="10" t="s">
        <v>82</v>
      </c>
      <c r="C31" s="13" t="s">
        <v>83</v>
      </c>
      <c r="D31" s="13" t="s">
        <v>84</v>
      </c>
    </row>
    <row r="32" spans="1:9" x14ac:dyDescent="0.25">
      <c r="C32" s="13" t="s">
        <v>85</v>
      </c>
      <c r="D32" s="13" t="s">
        <v>85</v>
      </c>
    </row>
    <row r="34" spans="1:10" x14ac:dyDescent="0.25">
      <c r="A34" s="4" t="s">
        <v>81</v>
      </c>
      <c r="B34" s="15">
        <f>ROUND(D34,4)</f>
        <v>1.6E-2</v>
      </c>
      <c r="D34" s="4">
        <f>(1-C6/C14)*(C11*(C10/(C8+C10+C12))+C13*(C12/(C8+C10+C12)))</f>
        <v>1.5965113138141612E-2</v>
      </c>
    </row>
    <row r="38" spans="1:10" x14ac:dyDescent="0.25">
      <c r="A38" s="4" t="s">
        <v>86</v>
      </c>
    </row>
    <row r="39" spans="1:10" x14ac:dyDescent="0.25">
      <c r="A39" s="9"/>
      <c r="B39" s="9"/>
    </row>
    <row r="40" spans="1:10" x14ac:dyDescent="0.25">
      <c r="C40" s="17"/>
      <c r="D40" s="17"/>
    </row>
    <row r="41" spans="1:10" x14ac:dyDescent="0.25">
      <c r="C41" s="18"/>
      <c r="G41" s="7"/>
    </row>
    <row r="42" spans="1:10" x14ac:dyDescent="0.25">
      <c r="C42" s="17"/>
      <c r="G42" s="27"/>
      <c r="H42" s="6"/>
      <c r="I42" s="6"/>
      <c r="J42" s="6"/>
    </row>
    <row r="43" spans="1:10" ht="13" x14ac:dyDescent="0.3">
      <c r="A43" s="4" t="s">
        <v>73</v>
      </c>
      <c r="B43" s="19">
        <f>ROUND(+D24,4)</f>
        <v>8.8999999999999999E-3</v>
      </c>
      <c r="C43" s="19">
        <v>1</v>
      </c>
      <c r="D43" s="20">
        <v>1</v>
      </c>
      <c r="E43" s="29">
        <f>+B43*C43*D43</f>
        <v>8.8999999999999999E-3</v>
      </c>
      <c r="G43" s="28"/>
      <c r="H43" s="6"/>
      <c r="I43" s="6"/>
      <c r="J43" s="6"/>
    </row>
    <row r="44" spans="1:10" ht="13" x14ac:dyDescent="0.3">
      <c r="A44" s="4" t="s">
        <v>87</v>
      </c>
      <c r="B44" s="21">
        <f>ROUND(+D34,4)</f>
        <v>1.6E-2</v>
      </c>
      <c r="C44" s="19">
        <v>1</v>
      </c>
      <c r="D44" s="20">
        <v>1</v>
      </c>
      <c r="E44" s="30">
        <f>+B44*C44*D44</f>
        <v>1.6E-2</v>
      </c>
      <c r="G44" s="28"/>
      <c r="H44" s="6"/>
      <c r="I44" s="6"/>
      <c r="J44" s="6"/>
    </row>
    <row r="45" spans="1:10" x14ac:dyDescent="0.25">
      <c r="B45" s="9"/>
      <c r="C45" s="22"/>
      <c r="D45" s="9"/>
      <c r="G45" s="6"/>
      <c r="H45" s="6"/>
      <c r="I45" s="6"/>
      <c r="J45" s="6"/>
    </row>
    <row r="46" spans="1:10" ht="13" thickBot="1" x14ac:dyDescent="0.3">
      <c r="B46" s="12">
        <f>SUM(B43:B44)</f>
        <v>2.4899999999999999E-2</v>
      </c>
      <c r="C46" s="23">
        <v>1</v>
      </c>
      <c r="D46" s="20">
        <v>1</v>
      </c>
      <c r="E46" s="24">
        <f>SUM(E43:E45)</f>
        <v>2.4899999999999999E-2</v>
      </c>
    </row>
    <row r="47" spans="1:10" ht="13" thickTop="1" x14ac:dyDescent="0.25">
      <c r="B47" s="25"/>
      <c r="D47" s="25"/>
      <c r="E47" s="26"/>
    </row>
    <row r="50" spans="1:8" ht="14.5" x14ac:dyDescent="0.35">
      <c r="A50" s="47" t="s">
        <v>116</v>
      </c>
    </row>
    <row r="55" spans="1:8" x14ac:dyDescent="0.25">
      <c r="A55" s="89"/>
      <c r="B55" s="89"/>
      <c r="C55" s="89"/>
      <c r="D55" s="89"/>
      <c r="E55" s="89"/>
      <c r="F55" s="89"/>
      <c r="G55" s="89"/>
      <c r="H55" s="89"/>
    </row>
  </sheetData>
  <mergeCells count="3">
    <mergeCell ref="A55:H55"/>
    <mergeCell ref="A1:E1"/>
    <mergeCell ref="A2:E2"/>
  </mergeCells>
  <pageMargins left="0.7" right="0.7" top="0.75" bottom="0.75" header="0.3" footer="0.3"/>
  <pageSetup scale="89" orientation="portrait" r:id="rId1"/>
  <headerFooter scaleWithDoc="0">
    <oddHeader>&amp;R&amp;"Times New Roman,Bold"&amp;12Rebuttal Exhibit CMG-10
Page &amp;P of &amp;N</oddHeader>
  </headerFooter>
  <rowBreaks count="1" manualBreakCount="1">
    <brk id="5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72"/>
  <sheetViews>
    <sheetView zoomScaleNormal="100" workbookViewId="0">
      <selection sqref="A1:K1"/>
    </sheetView>
  </sheetViews>
  <sheetFormatPr defaultColWidth="9.1796875" defaultRowHeight="12.5" x14ac:dyDescent="0.35"/>
  <cols>
    <col min="1" max="1" width="6.81640625" style="57" customWidth="1"/>
    <col min="2" max="2" width="26.7265625" style="57" customWidth="1"/>
    <col min="3" max="3" width="16" style="57" customWidth="1"/>
    <col min="4" max="4" width="16.7265625" style="57" customWidth="1"/>
    <col min="5" max="5" width="17.7265625" style="57" customWidth="1"/>
    <col min="6" max="6" width="17.26953125" style="57" customWidth="1"/>
    <col min="7" max="8" width="19" style="57" customWidth="1"/>
    <col min="9" max="9" width="11.54296875" style="57" customWidth="1"/>
    <col min="10" max="10" width="10.81640625" style="57" customWidth="1"/>
    <col min="11" max="11" width="12.81640625" style="57" customWidth="1"/>
    <col min="12" max="16384" width="9.1796875" style="57"/>
  </cols>
  <sheetData>
    <row r="1" spans="1:11" s="50" customFormat="1" ht="20.149999999999999" customHeight="1" x14ac:dyDescent="0.25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50" customFormat="1" ht="20.149999999999999" customHeight="1" x14ac:dyDescent="0.25">
      <c r="A2" s="88" t="s">
        <v>112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50" customFormat="1" ht="20.149999999999999" customHeight="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50" customFormat="1" ht="20.149999999999999" customHeight="1" x14ac:dyDescent="0.2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50" customFormat="1" ht="20.149999999999999" customHeight="1" x14ac:dyDescent="0.25">
      <c r="A5" s="87" t="s">
        <v>109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s="50" customFormat="1" ht="20.149999999999999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50" customFormat="1" ht="20.149999999999999" customHeight="1" x14ac:dyDescent="0.25">
      <c r="A7" s="52" t="s">
        <v>2</v>
      </c>
      <c r="K7" s="53"/>
    </row>
    <row r="8" spans="1:11" s="50" customFormat="1" ht="20.149999999999999" customHeight="1" x14ac:dyDescent="0.25">
      <c r="A8" s="52" t="s">
        <v>3</v>
      </c>
      <c r="K8" s="53" t="s">
        <v>4</v>
      </c>
    </row>
    <row r="9" spans="1:11" s="50" customFormat="1" ht="20.149999999999999" customHeight="1" x14ac:dyDescent="0.25">
      <c r="A9" s="50" t="s">
        <v>110</v>
      </c>
      <c r="K9" s="53" t="s">
        <v>90</v>
      </c>
    </row>
    <row r="10" spans="1:11" s="50" customFormat="1" ht="20.149999999999999" customHeight="1" x14ac:dyDescent="0.25">
      <c r="A10" s="52" t="s">
        <v>6</v>
      </c>
      <c r="K10" s="54" t="s">
        <v>111</v>
      </c>
    </row>
    <row r="11" spans="1:11" s="50" customFormat="1" ht="20.149999999999999" customHeight="1" x14ac:dyDescent="0.25"/>
    <row r="12" spans="1:11" ht="66" customHeight="1" x14ac:dyDescent="0.25">
      <c r="A12" s="55" t="s">
        <v>7</v>
      </c>
      <c r="B12" s="55" t="s">
        <v>8</v>
      </c>
      <c r="C12" s="55" t="s">
        <v>9</v>
      </c>
      <c r="D12" s="55" t="s">
        <v>10</v>
      </c>
      <c r="E12" s="55" t="s">
        <v>13</v>
      </c>
      <c r="F12" s="55" t="s">
        <v>14</v>
      </c>
      <c r="G12" s="55" t="s">
        <v>11</v>
      </c>
      <c r="H12" s="55" t="s">
        <v>16</v>
      </c>
      <c r="I12" s="55" t="s">
        <v>17</v>
      </c>
      <c r="J12" s="55" t="s">
        <v>18</v>
      </c>
      <c r="K12" s="55" t="s">
        <v>19</v>
      </c>
    </row>
    <row r="13" spans="1:11" ht="19" customHeight="1" x14ac:dyDescent="0.25">
      <c r="A13" s="58"/>
      <c r="B13" s="59" t="s">
        <v>20</v>
      </c>
      <c r="C13" s="59" t="s">
        <v>21</v>
      </c>
      <c r="D13" s="59" t="s">
        <v>22</v>
      </c>
      <c r="E13" s="59" t="s">
        <v>23</v>
      </c>
      <c r="F13" s="59" t="s">
        <v>91</v>
      </c>
      <c r="G13" s="59" t="s">
        <v>25</v>
      </c>
      <c r="H13" s="59" t="s">
        <v>92</v>
      </c>
      <c r="I13" s="59" t="s">
        <v>27</v>
      </c>
      <c r="J13" s="59" t="s">
        <v>93</v>
      </c>
      <c r="K13" s="59" t="s">
        <v>94</v>
      </c>
    </row>
    <row r="14" spans="1:11" ht="19" customHeight="1" x14ac:dyDescent="0.25">
      <c r="A14" s="58"/>
      <c r="B14" s="60"/>
      <c r="C14" s="60"/>
      <c r="D14" s="31" t="s">
        <v>32</v>
      </c>
      <c r="E14" s="31" t="s">
        <v>33</v>
      </c>
      <c r="F14" s="31" t="s">
        <v>32</v>
      </c>
      <c r="G14" s="31" t="s">
        <v>32</v>
      </c>
      <c r="H14" s="31" t="s">
        <v>32</v>
      </c>
      <c r="I14" s="31"/>
      <c r="J14" s="31" t="s">
        <v>33</v>
      </c>
      <c r="K14" s="31" t="s">
        <v>33</v>
      </c>
    </row>
    <row r="15" spans="1:11" ht="19" customHeight="1" x14ac:dyDescent="0.25">
      <c r="A15" s="61"/>
      <c r="B15" s="62" t="s">
        <v>95</v>
      </c>
      <c r="C15" s="56"/>
      <c r="D15" s="32"/>
      <c r="E15" s="32"/>
      <c r="F15" s="32"/>
      <c r="G15" s="32"/>
      <c r="H15" s="32"/>
      <c r="I15" s="32"/>
      <c r="J15" s="32"/>
      <c r="K15" s="32"/>
    </row>
    <row r="16" spans="1:11" ht="19" customHeight="1" x14ac:dyDescent="0.25">
      <c r="A16" s="61">
        <v>1</v>
      </c>
      <c r="B16" s="62" t="s">
        <v>34</v>
      </c>
      <c r="C16" s="56" t="s">
        <v>35</v>
      </c>
      <c r="D16" s="32">
        <v>63390580.716804899</v>
      </c>
      <c r="E16" s="33">
        <v>0.77690000000000003</v>
      </c>
      <c r="F16" s="32">
        <f>D16*E16</f>
        <v>49248142.158885725</v>
      </c>
      <c r="G16" s="32">
        <v>-5704815.7197394492</v>
      </c>
      <c r="H16" s="32">
        <f>SUM(F16:G16)</f>
        <v>43543326.439146273</v>
      </c>
      <c r="I16" s="33">
        <f>H16/H$22</f>
        <v>1.2622813021079897E-2</v>
      </c>
      <c r="J16" s="33">
        <v>4.6002316569744824E-3</v>
      </c>
      <c r="K16" s="33">
        <f>I16*J16</f>
        <v>5.8067864059641441E-5</v>
      </c>
    </row>
    <row r="17" spans="1:11" ht="19" customHeight="1" x14ac:dyDescent="0.25">
      <c r="A17" s="61"/>
      <c r="B17" s="62"/>
      <c r="C17" s="56"/>
      <c r="D17" s="32"/>
      <c r="E17" s="34"/>
      <c r="F17" s="32"/>
      <c r="G17" s="32"/>
      <c r="H17" s="32"/>
      <c r="I17" s="33"/>
      <c r="J17" s="34"/>
      <c r="K17" s="33"/>
    </row>
    <row r="18" spans="1:11" ht="19" customHeight="1" x14ac:dyDescent="0.25">
      <c r="A18" s="61">
        <v>2</v>
      </c>
      <c r="B18" s="62" t="s">
        <v>36</v>
      </c>
      <c r="C18" s="56" t="s">
        <v>37</v>
      </c>
      <c r="D18" s="32">
        <v>2287339121.0839834</v>
      </c>
      <c r="E18" s="35">
        <f>E$16</f>
        <v>0.77690000000000003</v>
      </c>
      <c r="F18" s="32">
        <f>D18*E18</f>
        <v>1777033763.1701467</v>
      </c>
      <c r="G18" s="32">
        <v>-205848377.26333785</v>
      </c>
      <c r="H18" s="32">
        <f>SUM(F18:G18)</f>
        <v>1571185385.9068089</v>
      </c>
      <c r="I18" s="33">
        <f>H18/H$22</f>
        <v>0.45547230700144364</v>
      </c>
      <c r="J18" s="35">
        <v>4.0417299088459008E-2</v>
      </c>
      <c r="K18" s="33">
        <f>I18*J18</f>
        <v>1.840896045858777E-2</v>
      </c>
    </row>
    <row r="19" spans="1:11" ht="19" customHeight="1" x14ac:dyDescent="0.25">
      <c r="A19" s="61"/>
      <c r="B19" s="62"/>
      <c r="C19" s="56"/>
      <c r="D19" s="36"/>
      <c r="E19" s="37"/>
      <c r="F19" s="36"/>
      <c r="G19" s="36"/>
      <c r="H19" s="36"/>
      <c r="I19" s="38"/>
      <c r="J19" s="37"/>
      <c r="K19" s="38"/>
    </row>
    <row r="20" spans="1:11" ht="19" customHeight="1" x14ac:dyDescent="0.25">
      <c r="A20" s="61">
        <v>3</v>
      </c>
      <c r="B20" s="62" t="s">
        <v>38</v>
      </c>
      <c r="C20" s="56"/>
      <c r="D20" s="39">
        <v>2671176319.5388002</v>
      </c>
      <c r="E20" s="35">
        <f>E$16</f>
        <v>0.77690000000000003</v>
      </c>
      <c r="F20" s="40">
        <f>D20*E20</f>
        <v>2075236882.649694</v>
      </c>
      <c r="G20" s="40">
        <v>-240391687.30727458</v>
      </c>
      <c r="H20" s="40">
        <f>SUM(F20:G20)</f>
        <v>1834845195.3424194</v>
      </c>
      <c r="I20" s="41">
        <f>H20/H$22</f>
        <v>0.53190487997747649</v>
      </c>
      <c r="J20" s="33">
        <v>0.1</v>
      </c>
      <c r="K20" s="41">
        <f>I20*J20</f>
        <v>5.319048799774765E-2</v>
      </c>
    </row>
    <row r="21" spans="1:11" ht="19" customHeight="1" x14ac:dyDescent="0.25">
      <c r="A21" s="61"/>
      <c r="B21" s="62"/>
      <c r="C21" s="56"/>
      <c r="D21" s="32"/>
      <c r="E21" s="34"/>
      <c r="F21" s="32"/>
      <c r="G21" s="32"/>
      <c r="H21" s="32"/>
      <c r="I21" s="33"/>
      <c r="J21" s="34"/>
      <c r="K21" s="33"/>
    </row>
    <row r="22" spans="1:11" ht="19" customHeight="1" thickBot="1" x14ac:dyDescent="0.3">
      <c r="A22" s="61">
        <v>4</v>
      </c>
      <c r="B22" s="62" t="s">
        <v>39</v>
      </c>
      <c r="C22" s="56"/>
      <c r="D22" s="42">
        <f>SUM(D16:D20)</f>
        <v>5021906021.3395882</v>
      </c>
      <c r="E22" s="34"/>
      <c r="F22" s="42">
        <f>SUM(F16:F20)</f>
        <v>3901518787.9787264</v>
      </c>
      <c r="G22" s="42">
        <f>SUM(G16:G20)</f>
        <v>-451944880.29035187</v>
      </c>
      <c r="H22" s="42">
        <f>SUM(H16:H20)</f>
        <v>3449573907.6883745</v>
      </c>
      <c r="I22" s="43">
        <f>SUM(I16:I20)</f>
        <v>1</v>
      </c>
      <c r="J22" s="34"/>
      <c r="K22" s="43">
        <f>SUM(K16:K20)</f>
        <v>7.1657516320395062E-2</v>
      </c>
    </row>
    <row r="23" spans="1:11" ht="19" customHeight="1" thickTop="1" x14ac:dyDescent="0.25">
      <c r="A23" s="61"/>
      <c r="B23" s="62"/>
      <c r="C23" s="56"/>
      <c r="D23" s="44"/>
      <c r="E23" s="44"/>
      <c r="F23" s="44"/>
      <c r="G23" s="44"/>
      <c r="H23" s="44"/>
      <c r="I23" s="44"/>
      <c r="J23" s="44"/>
      <c r="K23" s="44"/>
    </row>
    <row r="24" spans="1:11" s="50" customFormat="1" ht="20.149999999999999" customHeight="1" x14ac:dyDescent="0.25">
      <c r="A24" s="88" t="str">
        <f>A1</f>
        <v>LOUISVILLE GAS AND ELECTRIC COMPANY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s="50" customFormat="1" ht="20.149999999999999" customHeight="1" x14ac:dyDescent="0.25">
      <c r="A25" s="88" t="str">
        <f>A2</f>
        <v>CASE NO. 2020-00350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s="50" customFormat="1" ht="20.149999999999999" customHeight="1" x14ac:dyDescent="0.25">
      <c r="A26" s="88" t="str">
        <f>A3</f>
        <v>COST OF CAPITAL SUMMARY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s="50" customFormat="1" ht="20.149999999999999" customHeight="1" x14ac:dyDescent="0.25">
      <c r="A27" s="88" t="str">
        <f>A4</f>
        <v>THIRTEEN MONTH AVERAGE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s="50" customFormat="1" ht="20.149999999999999" customHeight="1" x14ac:dyDescent="0.25">
      <c r="A28" s="88" t="str">
        <f>A5</f>
        <v>FROM JULY 1, 2021 TO JUNE 30, 2022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s="50" customFormat="1" ht="20.149999999999999" customHeigh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s="50" customFormat="1" ht="20.149999999999999" customHeight="1" x14ac:dyDescent="0.25">
      <c r="A30" s="52" t="str">
        <f>A7</f>
        <v>DATA:____BASE  PERIOD__X__FORECASTED  PERIOD</v>
      </c>
      <c r="K30" s="53"/>
    </row>
    <row r="31" spans="1:11" s="50" customFormat="1" ht="20.149999999999999" customHeight="1" x14ac:dyDescent="0.25">
      <c r="A31" s="52" t="str">
        <f>A8</f>
        <v>DATE OF CAPITAL STRUCTURE: 13 MO AVG FOR FORECASTED  PERIOD</v>
      </c>
      <c r="K31" s="53" t="s">
        <v>4</v>
      </c>
    </row>
    <row r="32" spans="1:11" s="50" customFormat="1" ht="20.149999999999999" customHeight="1" x14ac:dyDescent="0.25">
      <c r="A32" s="50" t="str">
        <f>A9</f>
        <v>TYPE OF FILING: _____ ORIGINAL  _____ UPDATED  __X__ REVISED</v>
      </c>
      <c r="K32" s="53" t="s">
        <v>96</v>
      </c>
    </row>
    <row r="33" spans="1:11" s="50" customFormat="1" ht="20.149999999999999" customHeight="1" x14ac:dyDescent="0.25">
      <c r="A33" s="52" t="str">
        <f>A10</f>
        <v xml:space="preserve">WORKPAPER REFERENCE NO(S).: </v>
      </c>
      <c r="K33" s="54" t="str">
        <f>K10</f>
        <v>WITNESS:   D. K. ARBOUGH</v>
      </c>
    </row>
    <row r="34" spans="1:11" s="50" customFormat="1" ht="20.149999999999999" customHeight="1" x14ac:dyDescent="0.25"/>
    <row r="35" spans="1:11" ht="66" customHeight="1" x14ac:dyDescent="0.25">
      <c r="A35" s="55" t="s">
        <v>7</v>
      </c>
      <c r="B35" s="55" t="s">
        <v>8</v>
      </c>
      <c r="C35" s="55" t="s">
        <v>9</v>
      </c>
      <c r="D35" s="55" t="s">
        <v>10</v>
      </c>
      <c r="E35" s="55" t="s">
        <v>13</v>
      </c>
      <c r="F35" s="55" t="s">
        <v>14</v>
      </c>
      <c r="G35" s="55" t="s">
        <v>11</v>
      </c>
      <c r="H35" s="55" t="s">
        <v>16</v>
      </c>
      <c r="I35" s="55" t="s">
        <v>17</v>
      </c>
      <c r="J35" s="55" t="s">
        <v>18</v>
      </c>
      <c r="K35" s="55" t="s">
        <v>19</v>
      </c>
    </row>
    <row r="36" spans="1:11" ht="19" customHeight="1" x14ac:dyDescent="0.25">
      <c r="A36" s="58"/>
      <c r="B36" s="59" t="s">
        <v>20</v>
      </c>
      <c r="C36" s="59" t="s">
        <v>21</v>
      </c>
      <c r="D36" s="59" t="s">
        <v>22</v>
      </c>
      <c r="E36" s="59" t="s">
        <v>23</v>
      </c>
      <c r="F36" s="59" t="s">
        <v>91</v>
      </c>
      <c r="G36" s="59" t="s">
        <v>25</v>
      </c>
      <c r="H36" s="59" t="s">
        <v>92</v>
      </c>
      <c r="I36" s="59" t="s">
        <v>27</v>
      </c>
      <c r="J36" s="59" t="s">
        <v>93</v>
      </c>
      <c r="K36" s="59" t="s">
        <v>94</v>
      </c>
    </row>
    <row r="37" spans="1:11" ht="19" customHeight="1" x14ac:dyDescent="0.25">
      <c r="A37" s="58"/>
      <c r="B37" s="60"/>
      <c r="C37" s="60"/>
      <c r="D37" s="31" t="s">
        <v>32</v>
      </c>
      <c r="E37" s="31" t="s">
        <v>33</v>
      </c>
      <c r="F37" s="31" t="s">
        <v>32</v>
      </c>
      <c r="G37" s="31" t="s">
        <v>32</v>
      </c>
      <c r="H37" s="31" t="s">
        <v>32</v>
      </c>
      <c r="I37" s="31"/>
      <c r="J37" s="31" t="s">
        <v>33</v>
      </c>
      <c r="K37" s="31" t="s">
        <v>33</v>
      </c>
    </row>
    <row r="38" spans="1:11" ht="19" customHeight="1" x14ac:dyDescent="0.25">
      <c r="A38" s="61"/>
      <c r="B38" s="62" t="s">
        <v>97</v>
      </c>
      <c r="C38" s="56"/>
      <c r="D38" s="32"/>
      <c r="E38" s="32"/>
      <c r="F38" s="32"/>
      <c r="G38" s="32"/>
      <c r="H38" s="32"/>
      <c r="I38" s="32"/>
      <c r="J38" s="32"/>
      <c r="K38" s="32"/>
    </row>
    <row r="39" spans="1:11" ht="19" customHeight="1" x14ac:dyDescent="0.25">
      <c r="A39" s="61">
        <v>1</v>
      </c>
      <c r="B39" s="62" t="s">
        <v>34</v>
      </c>
      <c r="C39" s="56" t="s">
        <v>35</v>
      </c>
      <c r="D39" s="32">
        <f>D16</f>
        <v>63390580.716804899</v>
      </c>
      <c r="E39" s="33">
        <v>0.22309999999999999</v>
      </c>
      <c r="F39" s="32">
        <f>D39*E39</f>
        <v>14142438.557919173</v>
      </c>
      <c r="G39" s="32">
        <v>-487857.8977970464</v>
      </c>
      <c r="H39" s="32">
        <f>SUM(F39:G39)</f>
        <v>13654580.660122126</v>
      </c>
      <c r="I39" s="33">
        <f>H39/H$45</f>
        <v>1.2622813021079897E-2</v>
      </c>
      <c r="J39" s="33">
        <f>J16</f>
        <v>4.6002316569744824E-3</v>
      </c>
      <c r="K39" s="33">
        <f>I39*J39</f>
        <v>5.8067864059641441E-5</v>
      </c>
    </row>
    <row r="40" spans="1:11" ht="19" customHeight="1" x14ac:dyDescent="0.25">
      <c r="A40" s="61"/>
      <c r="B40" s="62"/>
      <c r="C40" s="56"/>
      <c r="D40" s="32"/>
      <c r="E40" s="34"/>
      <c r="F40" s="32"/>
      <c r="G40" s="32"/>
      <c r="H40" s="32"/>
      <c r="I40" s="33"/>
      <c r="J40" s="34"/>
      <c r="K40" s="33"/>
    </row>
    <row r="41" spans="1:11" ht="19" customHeight="1" x14ac:dyDescent="0.25">
      <c r="A41" s="61">
        <v>2</v>
      </c>
      <c r="B41" s="62" t="s">
        <v>36</v>
      </c>
      <c r="C41" s="56" t="s">
        <v>37</v>
      </c>
      <c r="D41" s="32">
        <f>D18</f>
        <v>2287339121.0839834</v>
      </c>
      <c r="E41" s="35">
        <f>E$39</f>
        <v>0.22309999999999999</v>
      </c>
      <c r="F41" s="32">
        <f>D41*E41</f>
        <v>510305357.91383666</v>
      </c>
      <c r="G41" s="32">
        <v>-17603505.797591642</v>
      </c>
      <c r="H41" s="32">
        <f>SUM(F41:G41)</f>
        <v>492701852.11624503</v>
      </c>
      <c r="I41" s="33">
        <f>H41/H$45</f>
        <v>0.45547230700144359</v>
      </c>
      <c r="J41" s="35">
        <f>J18</f>
        <v>4.0417299088459008E-2</v>
      </c>
      <c r="K41" s="33">
        <f>I41*J41</f>
        <v>1.8408960458587767E-2</v>
      </c>
    </row>
    <row r="42" spans="1:11" ht="19" customHeight="1" x14ac:dyDescent="0.25">
      <c r="A42" s="61"/>
      <c r="B42" s="62"/>
      <c r="C42" s="56"/>
      <c r="D42" s="36"/>
      <c r="E42" s="37"/>
      <c r="F42" s="36"/>
      <c r="G42" s="36"/>
      <c r="H42" s="36"/>
      <c r="I42" s="38"/>
      <c r="J42" s="37"/>
      <c r="K42" s="38"/>
    </row>
    <row r="43" spans="1:11" ht="19" customHeight="1" x14ac:dyDescent="0.25">
      <c r="A43" s="61">
        <v>3</v>
      </c>
      <c r="B43" s="62" t="s">
        <v>38</v>
      </c>
      <c r="C43" s="56"/>
      <c r="D43" s="39">
        <f>D20</f>
        <v>2671176319.5388002</v>
      </c>
      <c r="E43" s="35">
        <f>E$39</f>
        <v>0.22309999999999999</v>
      </c>
      <c r="F43" s="40">
        <f>D43*E43</f>
        <v>595939436.88910627</v>
      </c>
      <c r="G43" s="40">
        <v>-20557541.028331093</v>
      </c>
      <c r="H43" s="40">
        <f>SUM(F43:G43)</f>
        <v>575381895.86077523</v>
      </c>
      <c r="I43" s="41">
        <f>H43/H$45</f>
        <v>0.53190487997747649</v>
      </c>
      <c r="J43" s="33">
        <v>0.1</v>
      </c>
      <c r="K43" s="41">
        <f>I43*J43</f>
        <v>5.319048799774765E-2</v>
      </c>
    </row>
    <row r="44" spans="1:11" ht="19" customHeight="1" x14ac:dyDescent="0.25">
      <c r="A44" s="61"/>
      <c r="B44" s="62"/>
      <c r="C44" s="56"/>
      <c r="D44" s="32"/>
      <c r="E44" s="34"/>
      <c r="F44" s="32"/>
      <c r="G44" s="32"/>
      <c r="H44" s="32"/>
      <c r="I44" s="33"/>
      <c r="J44" s="34"/>
      <c r="K44" s="33"/>
    </row>
    <row r="45" spans="1:11" ht="19" customHeight="1" thickBot="1" x14ac:dyDescent="0.3">
      <c r="A45" s="61">
        <v>4</v>
      </c>
      <c r="B45" s="62" t="s">
        <v>39</v>
      </c>
      <c r="C45" s="56"/>
      <c r="D45" s="42">
        <f>SUM(D39:D43)</f>
        <v>5021906021.3395882</v>
      </c>
      <c r="E45" s="34"/>
      <c r="F45" s="42">
        <f>SUM(F39:F43)</f>
        <v>1120387233.360862</v>
      </c>
      <c r="G45" s="42">
        <f>SUM(G39:G43)</f>
        <v>-38648904.723719783</v>
      </c>
      <c r="H45" s="42">
        <f>SUM(H39:H43)</f>
        <v>1081738328.6371424</v>
      </c>
      <c r="I45" s="43">
        <f>SUM(I39:I43)</f>
        <v>1</v>
      </c>
      <c r="J45" s="34"/>
      <c r="K45" s="43">
        <f>SUM(K39:K43)</f>
        <v>7.1657516320395062E-2</v>
      </c>
    </row>
    <row r="46" spans="1:11" ht="19" customHeight="1" thickTop="1" x14ac:dyDescent="0.25">
      <c r="A46" s="61"/>
      <c r="B46" s="62"/>
      <c r="C46" s="56"/>
      <c r="D46" s="44"/>
      <c r="E46" s="44"/>
      <c r="F46" s="44"/>
      <c r="G46" s="44"/>
      <c r="H46" s="44"/>
      <c r="I46" s="44"/>
      <c r="J46" s="44"/>
      <c r="K46" s="44"/>
    </row>
    <row r="47" spans="1:11" ht="19" customHeight="1" x14ac:dyDescent="0.25">
      <c r="A47" s="61"/>
      <c r="B47" s="52"/>
      <c r="C47" s="56"/>
    </row>
    <row r="48" spans="1:11" ht="19" customHeight="1" x14ac:dyDescent="0.35"/>
    <row r="49" ht="19" customHeight="1" x14ac:dyDescent="0.35"/>
    <row r="50" ht="19" customHeight="1" x14ac:dyDescent="0.35"/>
    <row r="51" ht="19" customHeight="1" x14ac:dyDescent="0.35"/>
    <row r="52" ht="19" customHeight="1" x14ac:dyDescent="0.35"/>
    <row r="53" ht="19" customHeight="1" x14ac:dyDescent="0.35"/>
    <row r="54" ht="19" customHeight="1" x14ac:dyDescent="0.35"/>
    <row r="55" ht="19" customHeight="1" x14ac:dyDescent="0.35"/>
    <row r="56" ht="19" customHeight="1" x14ac:dyDescent="0.35"/>
    <row r="57" ht="19" customHeight="1" x14ac:dyDescent="0.35"/>
    <row r="58" ht="19" customHeight="1" x14ac:dyDescent="0.35"/>
    <row r="59" ht="19" customHeight="1" x14ac:dyDescent="0.35"/>
    <row r="60" ht="19" customHeight="1" x14ac:dyDescent="0.35"/>
    <row r="61" ht="19" customHeight="1" x14ac:dyDescent="0.35"/>
    <row r="62" ht="19" customHeight="1" x14ac:dyDescent="0.35"/>
    <row r="63" ht="19" customHeight="1" x14ac:dyDescent="0.35"/>
    <row r="64" ht="19" customHeight="1" x14ac:dyDescent="0.35"/>
    <row r="65" ht="19" customHeight="1" x14ac:dyDescent="0.35"/>
    <row r="66" ht="19" customHeight="1" x14ac:dyDescent="0.35"/>
    <row r="67" ht="19" customHeight="1" x14ac:dyDescent="0.35"/>
    <row r="68" ht="19" customHeight="1" x14ac:dyDescent="0.35"/>
    <row r="69" ht="19" customHeight="1" x14ac:dyDescent="0.35"/>
    <row r="70" ht="19" customHeight="1" x14ac:dyDescent="0.35"/>
    <row r="71" ht="19" customHeight="1" x14ac:dyDescent="0.35"/>
    <row r="72" ht="19" customHeight="1" x14ac:dyDescent="0.35"/>
    <row r="73" ht="19" customHeight="1" x14ac:dyDescent="0.35"/>
    <row r="74" ht="19" customHeight="1" x14ac:dyDescent="0.35"/>
    <row r="75" ht="19" customHeight="1" x14ac:dyDescent="0.35"/>
    <row r="76" ht="19" customHeight="1" x14ac:dyDescent="0.35"/>
    <row r="77" ht="19" customHeight="1" x14ac:dyDescent="0.35"/>
    <row r="78" ht="19" customHeight="1" x14ac:dyDescent="0.35"/>
    <row r="79" ht="19" customHeight="1" x14ac:dyDescent="0.35"/>
    <row r="80" ht="19" customHeight="1" x14ac:dyDescent="0.35"/>
    <row r="81" ht="19" customHeight="1" x14ac:dyDescent="0.35"/>
    <row r="82" ht="19" customHeight="1" x14ac:dyDescent="0.35"/>
    <row r="83" ht="19" customHeight="1" x14ac:dyDescent="0.35"/>
    <row r="84" ht="19" customHeight="1" x14ac:dyDescent="0.35"/>
    <row r="85" ht="19" customHeight="1" x14ac:dyDescent="0.35"/>
    <row r="86" ht="19" customHeight="1" x14ac:dyDescent="0.35"/>
    <row r="87" ht="19" customHeight="1" x14ac:dyDescent="0.35"/>
    <row r="88" ht="19" customHeight="1" x14ac:dyDescent="0.35"/>
    <row r="89" ht="19" customHeight="1" x14ac:dyDescent="0.35"/>
    <row r="90" ht="19" customHeight="1" x14ac:dyDescent="0.35"/>
    <row r="91" ht="19" customHeight="1" x14ac:dyDescent="0.35"/>
    <row r="92" ht="19" customHeight="1" x14ac:dyDescent="0.35"/>
    <row r="93" ht="19" customHeight="1" x14ac:dyDescent="0.35"/>
    <row r="94" ht="19" customHeight="1" x14ac:dyDescent="0.35"/>
    <row r="95" ht="19" customHeight="1" x14ac:dyDescent="0.35"/>
    <row r="96" ht="19" customHeight="1" x14ac:dyDescent="0.35"/>
    <row r="97" ht="19" customHeight="1" x14ac:dyDescent="0.35"/>
    <row r="98" ht="19" customHeight="1" x14ac:dyDescent="0.35"/>
    <row r="99" ht="19" customHeight="1" x14ac:dyDescent="0.35"/>
    <row r="100" ht="19" customHeight="1" x14ac:dyDescent="0.35"/>
    <row r="101" ht="19" customHeight="1" x14ac:dyDescent="0.35"/>
    <row r="102" ht="19" customHeight="1" x14ac:dyDescent="0.35"/>
    <row r="103" ht="19" customHeight="1" x14ac:dyDescent="0.35"/>
    <row r="104" ht="19" customHeight="1" x14ac:dyDescent="0.35"/>
    <row r="105" ht="19" customHeight="1" x14ac:dyDescent="0.35"/>
    <row r="106" ht="19" customHeight="1" x14ac:dyDescent="0.35"/>
    <row r="107" ht="19" customHeight="1" x14ac:dyDescent="0.35"/>
    <row r="108" ht="19" customHeight="1" x14ac:dyDescent="0.35"/>
    <row r="109" ht="19" customHeight="1" x14ac:dyDescent="0.35"/>
    <row r="110" ht="19" customHeight="1" x14ac:dyDescent="0.35"/>
    <row r="111" ht="19" customHeight="1" x14ac:dyDescent="0.35"/>
    <row r="112" ht="19" customHeight="1" x14ac:dyDescent="0.35"/>
    <row r="113" ht="19" customHeight="1" x14ac:dyDescent="0.35"/>
    <row r="114" ht="19" customHeight="1" x14ac:dyDescent="0.35"/>
    <row r="115" ht="19" customHeight="1" x14ac:dyDescent="0.35"/>
    <row r="116" ht="19" customHeight="1" x14ac:dyDescent="0.35"/>
    <row r="117" ht="19" customHeight="1" x14ac:dyDescent="0.35"/>
    <row r="118" ht="19" customHeight="1" x14ac:dyDescent="0.35"/>
    <row r="119" ht="19" customHeight="1" x14ac:dyDescent="0.35"/>
    <row r="120" ht="19" customHeight="1" x14ac:dyDescent="0.35"/>
    <row r="121" ht="19" customHeight="1" x14ac:dyDescent="0.35"/>
    <row r="122" ht="19" customHeight="1" x14ac:dyDescent="0.35"/>
    <row r="123" ht="19" customHeight="1" x14ac:dyDescent="0.35"/>
    <row r="124" ht="19" customHeight="1" x14ac:dyDescent="0.35"/>
    <row r="125" ht="19" customHeight="1" x14ac:dyDescent="0.35"/>
    <row r="126" ht="19" customHeight="1" x14ac:dyDescent="0.35"/>
    <row r="127" ht="19" customHeight="1" x14ac:dyDescent="0.35"/>
    <row r="128" ht="19" customHeight="1" x14ac:dyDescent="0.35"/>
    <row r="129" ht="19" customHeight="1" x14ac:dyDescent="0.35"/>
    <row r="130" ht="19" customHeight="1" x14ac:dyDescent="0.35"/>
    <row r="131" ht="19" customHeight="1" x14ac:dyDescent="0.35"/>
    <row r="132" ht="19" customHeight="1" x14ac:dyDescent="0.35"/>
    <row r="133" ht="19" customHeight="1" x14ac:dyDescent="0.35"/>
    <row r="134" ht="19" customHeight="1" x14ac:dyDescent="0.35"/>
    <row r="135" ht="19" customHeight="1" x14ac:dyDescent="0.35"/>
    <row r="136" ht="19" customHeight="1" x14ac:dyDescent="0.35"/>
    <row r="137" ht="19" customHeight="1" x14ac:dyDescent="0.35"/>
    <row r="138" ht="19" customHeight="1" x14ac:dyDescent="0.35"/>
    <row r="139" ht="19" customHeight="1" x14ac:dyDescent="0.35"/>
    <row r="140" ht="19" customHeight="1" x14ac:dyDescent="0.35"/>
    <row r="141" ht="19" customHeight="1" x14ac:dyDescent="0.35"/>
    <row r="142" ht="19" customHeight="1" x14ac:dyDescent="0.35"/>
    <row r="143" ht="19" customHeight="1" x14ac:dyDescent="0.35"/>
    <row r="144" ht="19" customHeight="1" x14ac:dyDescent="0.35"/>
    <row r="145" ht="19" customHeight="1" x14ac:dyDescent="0.35"/>
    <row r="146" ht="19" customHeight="1" x14ac:dyDescent="0.35"/>
    <row r="147" ht="19" customHeight="1" x14ac:dyDescent="0.35"/>
    <row r="148" ht="19" customHeight="1" x14ac:dyDescent="0.35"/>
    <row r="149" ht="19" customHeight="1" x14ac:dyDescent="0.35"/>
    <row r="150" ht="19" customHeight="1" x14ac:dyDescent="0.35"/>
    <row r="151" ht="19" customHeight="1" x14ac:dyDescent="0.35"/>
    <row r="152" ht="19" customHeight="1" x14ac:dyDescent="0.35"/>
    <row r="153" ht="19" customHeight="1" x14ac:dyDescent="0.35"/>
    <row r="154" ht="19" customHeight="1" x14ac:dyDescent="0.35"/>
    <row r="155" ht="19" customHeight="1" x14ac:dyDescent="0.35"/>
    <row r="156" ht="19" customHeight="1" x14ac:dyDescent="0.35"/>
    <row r="157" ht="19" customHeight="1" x14ac:dyDescent="0.35"/>
    <row r="158" ht="19" customHeight="1" x14ac:dyDescent="0.35"/>
    <row r="159" ht="19" customHeight="1" x14ac:dyDescent="0.35"/>
    <row r="160" ht="19" customHeight="1" x14ac:dyDescent="0.35"/>
    <row r="161" ht="19" customHeight="1" x14ac:dyDescent="0.35"/>
    <row r="162" ht="19" customHeight="1" x14ac:dyDescent="0.35"/>
    <row r="163" ht="19" customHeight="1" x14ac:dyDescent="0.35"/>
    <row r="164" ht="19" customHeight="1" x14ac:dyDescent="0.35"/>
    <row r="165" ht="19" customHeight="1" x14ac:dyDescent="0.35"/>
    <row r="166" ht="19" customHeight="1" x14ac:dyDescent="0.35"/>
    <row r="167" ht="19" customHeight="1" x14ac:dyDescent="0.35"/>
    <row r="168" ht="19" customHeight="1" x14ac:dyDescent="0.35"/>
    <row r="169" ht="19" customHeight="1" x14ac:dyDescent="0.35"/>
    <row r="170" ht="19" customHeight="1" x14ac:dyDescent="0.35"/>
    <row r="171" ht="19" customHeight="1" x14ac:dyDescent="0.35"/>
    <row r="172" ht="19" customHeight="1" x14ac:dyDescent="0.35"/>
  </sheetData>
  <mergeCells count="10">
    <mergeCell ref="A25:K25"/>
    <mergeCell ref="A26:K26"/>
    <mergeCell ref="A27:K27"/>
    <mergeCell ref="A28:K28"/>
    <mergeCell ref="A1:K1"/>
    <mergeCell ref="A2:K2"/>
    <mergeCell ref="A3:K3"/>
    <mergeCell ref="A4:K4"/>
    <mergeCell ref="A5:K5"/>
    <mergeCell ref="A24:K24"/>
  </mergeCells>
  <pageMargins left="0.7" right="0.7" top="0.75" bottom="0.75" header="0.3" footer="0.3"/>
  <pageSetup scale="70" fitToHeight="0" orientation="landscape" r:id="rId1"/>
  <headerFooter>
    <oddFooter>&amp;R&amp;"Times New Roman,Bold"&amp;12Rebuttal Exhibit CMG-10
Page &amp;P of &amp;N</oddFooter>
  </headerFooter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sqref="A1:E1"/>
    </sheetView>
  </sheetViews>
  <sheetFormatPr defaultColWidth="9.1796875" defaultRowHeight="12.5" x14ac:dyDescent="0.25"/>
  <cols>
    <col min="1" max="2" width="13.7265625" style="67" customWidth="1"/>
    <col min="3" max="3" width="1.7265625" style="67" customWidth="1"/>
    <col min="4" max="4" width="13.7265625" style="67" customWidth="1"/>
    <col min="5" max="16384" width="9.1796875" style="67"/>
  </cols>
  <sheetData>
    <row r="1" spans="1:6" ht="13" x14ac:dyDescent="0.3">
      <c r="A1" s="86" t="s">
        <v>89</v>
      </c>
      <c r="B1" s="86"/>
      <c r="C1" s="86"/>
      <c r="D1" s="86"/>
    </row>
    <row r="2" spans="1:6" ht="13" x14ac:dyDescent="0.3">
      <c r="A2" s="86" t="s">
        <v>100</v>
      </c>
      <c r="B2" s="86"/>
      <c r="C2" s="86"/>
      <c r="D2" s="86"/>
    </row>
    <row r="3" spans="1:6" ht="32.25" customHeight="1" x14ac:dyDescent="0.3">
      <c r="B3" s="68" t="s">
        <v>56</v>
      </c>
      <c r="C3" s="69"/>
      <c r="D3" s="78" t="s">
        <v>57</v>
      </c>
    </row>
    <row r="4" spans="1:6" ht="13" x14ac:dyDescent="0.3">
      <c r="A4" s="70" t="s">
        <v>58</v>
      </c>
      <c r="B4" s="71">
        <f>IF(D4=1,'LGEE FERC TYE June 2022'!C7,'LGEE FERC TYE June 2022'!C7*('LGEE FERC TYE June 2022'!C6/'LGEE FERC TYE June 2022'!C14))</f>
        <v>3.8351992340826162E-3</v>
      </c>
      <c r="C4" s="72"/>
      <c r="D4" s="71">
        <f>IF('LGEE FERC TYE June 2022'!C6/'LGEE FERC TYE June 2022'!C14&gt;1,1,'LGEE FERC TYE June 2022'!C6/'LGEE FERC TYE June 2022'!C14)</f>
        <v>0.83369697877453874</v>
      </c>
      <c r="F4" s="71"/>
    </row>
    <row r="5" spans="1:6" ht="13" x14ac:dyDescent="0.3">
      <c r="A5" s="70" t="s">
        <v>59</v>
      </c>
      <c r="B5" s="71">
        <f>IF(D5=0,0,'LGEE FERC TYE June 2022'!C9*(('LGEE FERC TYE June 2022'!C8/('LGEE FERC TYE June 2022'!C8+'LGEE FERC TYE June 2022'!C10+'LGEE FERC TYE June 2022'!C12))*(1-('LGEE FERC TYE June 2022'!C6/'LGEE FERC TYE June 2022'!C14))))</f>
        <v>3.1006040875325176E-3</v>
      </c>
      <c r="C5" s="72"/>
      <c r="D5" s="71">
        <f>'LGEE FERC TYE June 2022'!C8/('LGEE FERC TYE June 2022'!$C$8+'LGEE FERC TYE June 2022'!$C$12)*(1-$D$4)</f>
        <v>7.6714777025213995E-2</v>
      </c>
      <c r="F5" s="71"/>
    </row>
    <row r="6" spans="1:6" ht="13" x14ac:dyDescent="0.3">
      <c r="A6" s="70" t="s">
        <v>60</v>
      </c>
      <c r="B6" s="73">
        <f>IF(D6=0,0,'LGEE FERC TYE June 2022'!D34)</f>
        <v>8.9588244200247257E-3</v>
      </c>
      <c r="C6" s="72"/>
      <c r="D6" s="73">
        <f>'LGEE FERC TYE June 2022'!C12/('LGEE FERC TYE June 2022'!$C$8+'LGEE FERC TYE June 2022'!$C$12)*(1-$D$4)</f>
        <v>8.9588244200247261E-2</v>
      </c>
      <c r="F6" s="79"/>
    </row>
    <row r="7" spans="1:6" ht="13" x14ac:dyDescent="0.3">
      <c r="B7" s="74">
        <f>SUM(B4:B6)</f>
        <v>1.5894627741639859E-2</v>
      </c>
      <c r="C7" s="75"/>
      <c r="D7" s="74">
        <f>SUM(D4:D6)</f>
        <v>1</v>
      </c>
    </row>
    <row r="8" spans="1:6" x14ac:dyDescent="0.25">
      <c r="B8" s="76"/>
      <c r="C8" s="77"/>
      <c r="D8" s="76"/>
    </row>
    <row r="9" spans="1:6" ht="13" x14ac:dyDescent="0.3">
      <c r="A9" s="86" t="s">
        <v>101</v>
      </c>
      <c r="B9" s="86"/>
      <c r="C9" s="86"/>
      <c r="D9" s="86"/>
    </row>
    <row r="10" spans="1:6" ht="26" x14ac:dyDescent="0.3">
      <c r="B10" s="68" t="s">
        <v>56</v>
      </c>
      <c r="C10" s="69"/>
      <c r="D10" s="78" t="s">
        <v>57</v>
      </c>
    </row>
    <row r="11" spans="1:6" ht="13" x14ac:dyDescent="0.3">
      <c r="A11" s="70" t="s">
        <v>58</v>
      </c>
      <c r="B11" s="71">
        <f>IF(D11=1,'LGEG FERC TYE June 2022'!C7,'LGEG FERC TYE June 2022'!C7*('LGEG FERC TYE June 2022'!C6/'LGEG FERC TYE June 2022'!C14))</f>
        <v>1.3578649160947399E-3</v>
      </c>
      <c r="C11" s="72"/>
      <c r="D11" s="71">
        <f>IF('LGEG FERC TYE June 2022'!C6/'LGEG FERC TYE June 2022'!C14&gt;1,1,'LGEG FERC TYE June 2022'!C6/'LGEG FERC TYE June 2022'!C14)</f>
        <v>0.29517316025510582</v>
      </c>
      <c r="F11" s="71"/>
    </row>
    <row r="12" spans="1:6" ht="13" x14ac:dyDescent="0.3">
      <c r="A12" s="70" t="s">
        <v>59</v>
      </c>
      <c r="B12" s="71">
        <f>IF(D12=0,0,'LGEG FERC TYE June 2022'!C9*(('LGEG FERC TYE June 2022'!C8/('LGEG FERC TYE June 2022'!C8+'LGEG FERC TYE June 2022'!C10+'LGEG FERC TYE June 2022'!C12))*(1-('LGEG FERC TYE June 2022'!C6/'LGEG FERC TYE June 2022'!C14))))</f>
        <v>1.3141005883187524E-2</v>
      </c>
      <c r="C12" s="72"/>
      <c r="D12" s="71">
        <f>'LGEG FERC TYE June 2022'!C8/('LGEG FERC TYE June 2022'!$C$8+'LGEG FERC TYE June 2022'!$C$12)*(1-$D$11)</f>
        <v>0.3251332023554212</v>
      </c>
      <c r="F12" s="71"/>
    </row>
    <row r="13" spans="1:6" ht="13" x14ac:dyDescent="0.3">
      <c r="A13" s="70" t="s">
        <v>60</v>
      </c>
      <c r="B13" s="73">
        <f>IF(D13=0,0,'LGEG FERC TYE June 2022'!D34)</f>
        <v>3.7969363738947305E-2</v>
      </c>
      <c r="C13" s="72"/>
      <c r="D13" s="73">
        <f>'LGEG FERC TYE June 2022'!C12/('LGEG FERC TYE June 2022'!$C$8+'LGEG FERC TYE June 2022'!$C$12)*(1-$D$11)</f>
        <v>0.37969363738947304</v>
      </c>
      <c r="F13" s="79"/>
    </row>
    <row r="14" spans="1:6" ht="13" x14ac:dyDescent="0.3">
      <c r="B14" s="74">
        <f>SUM(B11:B13)</f>
        <v>5.2468234538229568E-2</v>
      </c>
      <c r="C14" s="75"/>
      <c r="D14" s="74">
        <f>SUM(D11:D13)</f>
        <v>1</v>
      </c>
    </row>
    <row r="15" spans="1:6" x14ac:dyDescent="0.25">
      <c r="B15" s="76">
        <f>B14-'LGEG FERC TYE June 2022'!D24-'LGEG FERC TYE June 2022'!D34</f>
        <v>0</v>
      </c>
    </row>
  </sheetData>
  <mergeCells count="3">
    <mergeCell ref="A9:D9"/>
    <mergeCell ref="A1:D1"/>
    <mergeCell ref="A2:D2"/>
  </mergeCells>
  <pageMargins left="0.7" right="0.7" top="0.75" bottom="0.75" header="0.3" footer="0.3"/>
  <pageSetup scale="89" orientation="portrait" r:id="rId1"/>
  <headerFooter scaleWithDoc="0">
    <oddHeader>&amp;R&amp;"Times New Roman,Bold"&amp;12Rebuttal Exhibit CMG-10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showGridLines="0" zoomScaleNormal="100" workbookViewId="0">
      <selection sqref="A1:E1"/>
    </sheetView>
  </sheetViews>
  <sheetFormatPr defaultColWidth="16" defaultRowHeight="12.5" x14ac:dyDescent="0.25"/>
  <cols>
    <col min="1" max="1" width="6.81640625" style="4" customWidth="1"/>
    <col min="2" max="2" width="22.26953125" style="4" customWidth="1"/>
    <col min="3" max="3" width="21.7265625" style="4" customWidth="1"/>
    <col min="4" max="4" width="21" style="4" customWidth="1"/>
    <col min="5" max="5" width="22.7265625" style="4" customWidth="1"/>
    <col min="6" max="6" width="23.1796875" style="4" customWidth="1"/>
    <col min="7" max="7" width="19.7265625" style="4" customWidth="1"/>
    <col min="8" max="8" width="4" style="4" customWidth="1"/>
    <col min="9" max="9" width="21.81640625" style="4" customWidth="1"/>
    <col min="10" max="10" width="14.453125" style="4" customWidth="1"/>
    <col min="11" max="12" width="21.81640625" style="4" customWidth="1"/>
    <col min="13" max="16384" width="16" style="4"/>
  </cols>
  <sheetData>
    <row r="1" spans="1:8" ht="15.5" x14ac:dyDescent="0.35">
      <c r="A1" s="90" t="s">
        <v>89</v>
      </c>
      <c r="B1" s="90"/>
      <c r="C1" s="90"/>
      <c r="D1" s="90"/>
      <c r="E1" s="90"/>
      <c r="F1" s="83"/>
      <c r="G1" s="83"/>
      <c r="H1" s="83"/>
    </row>
    <row r="2" spans="1:8" ht="15.5" x14ac:dyDescent="0.35">
      <c r="A2" s="91" t="s">
        <v>118</v>
      </c>
      <c r="B2" s="91"/>
      <c r="C2" s="91"/>
      <c r="D2" s="91"/>
      <c r="E2" s="91"/>
      <c r="F2" s="83"/>
      <c r="G2" s="83"/>
      <c r="H2" s="83"/>
    </row>
    <row r="3" spans="1:8" ht="15.5" x14ac:dyDescent="0.35">
      <c r="A3" s="46"/>
      <c r="B3" s="45"/>
      <c r="C3" s="45"/>
      <c r="D3" s="45"/>
      <c r="E3" s="45"/>
      <c r="F3" s="45"/>
      <c r="G3" s="45"/>
      <c r="H3" s="45"/>
    </row>
    <row r="4" spans="1:8" x14ac:dyDescent="0.25">
      <c r="A4" s="5" t="s">
        <v>115</v>
      </c>
    </row>
    <row r="6" spans="1:8" x14ac:dyDescent="0.25">
      <c r="A6" s="5" t="s">
        <v>63</v>
      </c>
      <c r="C6" s="8">
        <f>'LGE SCH J-1.1 Errata Filing'!H16</f>
        <v>43543326.439146273</v>
      </c>
    </row>
    <row r="7" spans="1:8" x14ac:dyDescent="0.25">
      <c r="A7" s="5" t="s">
        <v>64</v>
      </c>
      <c r="C7" s="11">
        <f>'LGE SCH J-1.1 Errata Filing'!J16</f>
        <v>4.6002316569744824E-3</v>
      </c>
    </row>
    <row r="8" spans="1:8" x14ac:dyDescent="0.25">
      <c r="A8" s="5" t="s">
        <v>65</v>
      </c>
      <c r="C8" s="8">
        <f>'LGE SCH J-1.1 Errata Filing'!H18</f>
        <v>1571185385.9068089</v>
      </c>
    </row>
    <row r="9" spans="1:8" x14ac:dyDescent="0.25">
      <c r="A9" s="5" t="s">
        <v>66</v>
      </c>
      <c r="C9" s="11">
        <f>'LGE SCH J-1.1 Errata Filing'!J18</f>
        <v>4.0417299088459008E-2</v>
      </c>
    </row>
    <row r="10" spans="1:8" x14ac:dyDescent="0.25">
      <c r="A10" s="5" t="s">
        <v>62</v>
      </c>
      <c r="C10" s="8">
        <v>0</v>
      </c>
    </row>
    <row r="11" spans="1:8" x14ac:dyDescent="0.25">
      <c r="A11" s="5" t="s">
        <v>67</v>
      </c>
      <c r="C11" s="11">
        <v>0</v>
      </c>
    </row>
    <row r="12" spans="1:8" x14ac:dyDescent="0.25">
      <c r="A12" s="5" t="s">
        <v>68</v>
      </c>
      <c r="C12" s="8">
        <f>'LGE SCH J-1.1 Errata Filing'!H20</f>
        <v>1834845195.3424194</v>
      </c>
    </row>
    <row r="13" spans="1:8" x14ac:dyDescent="0.25">
      <c r="A13" s="5" t="s">
        <v>69</v>
      </c>
      <c r="C13" s="12">
        <f>'LGE SCH J-1.1 Errata Filing'!J20</f>
        <v>0.1</v>
      </c>
    </row>
    <row r="14" spans="1:8" ht="13.5" x14ac:dyDescent="0.25">
      <c r="A14" s="5" t="s">
        <v>102</v>
      </c>
      <c r="C14" s="65">
        <v>52229200.23429992</v>
      </c>
    </row>
    <row r="17" spans="1:9" x14ac:dyDescent="0.25">
      <c r="B17" s="4" t="s">
        <v>70</v>
      </c>
    </row>
    <row r="18" spans="1:9" x14ac:dyDescent="0.25">
      <c r="A18" s="4" t="s">
        <v>71</v>
      </c>
    </row>
    <row r="20" spans="1:9" x14ac:dyDescent="0.25">
      <c r="C20" s="13" t="s">
        <v>72</v>
      </c>
    </row>
    <row r="21" spans="1:9" x14ac:dyDescent="0.25">
      <c r="A21" s="4" t="s">
        <v>73</v>
      </c>
      <c r="B21" s="10" t="s">
        <v>74</v>
      </c>
      <c r="C21" s="13" t="s">
        <v>75</v>
      </c>
      <c r="D21" s="14" t="s">
        <v>76</v>
      </c>
    </row>
    <row r="22" spans="1:9" x14ac:dyDescent="0.25">
      <c r="C22" s="13" t="s">
        <v>77</v>
      </c>
    </row>
    <row r="24" spans="1:9" x14ac:dyDescent="0.25">
      <c r="A24" s="4" t="s">
        <v>73</v>
      </c>
      <c r="B24" s="15">
        <f>ROUND(D24,4)</f>
        <v>6.8999999999999999E-3</v>
      </c>
      <c r="D24" s="4">
        <f>(C7*(C6/C14))+C9*(C8/(C8+C10+C12))*(1-(C6/C14))</f>
        <v>6.9358033216151329E-3</v>
      </c>
    </row>
    <row r="28" spans="1:9" x14ac:dyDescent="0.25">
      <c r="A28" s="4" t="s">
        <v>78</v>
      </c>
    </row>
    <row r="30" spans="1:9" x14ac:dyDescent="0.25">
      <c r="C30" s="13" t="s">
        <v>79</v>
      </c>
      <c r="D30" s="13" t="s">
        <v>80</v>
      </c>
      <c r="I30" s="16"/>
    </row>
    <row r="31" spans="1:9" x14ac:dyDescent="0.25">
      <c r="A31" s="4" t="s">
        <v>81</v>
      </c>
      <c r="B31" s="10" t="s">
        <v>82</v>
      </c>
      <c r="C31" s="13" t="s">
        <v>83</v>
      </c>
      <c r="D31" s="13" t="s">
        <v>84</v>
      </c>
    </row>
    <row r="32" spans="1:9" x14ac:dyDescent="0.25">
      <c r="C32" s="13" t="s">
        <v>85</v>
      </c>
      <c r="D32" s="13" t="s">
        <v>85</v>
      </c>
    </row>
    <row r="34" spans="1:7" x14ac:dyDescent="0.25">
      <c r="A34" s="4" t="s">
        <v>81</v>
      </c>
      <c r="B34" s="15">
        <f>ROUND(D34,4)</f>
        <v>8.9999999999999993E-3</v>
      </c>
      <c r="D34" s="4">
        <f>(1-C6/C14)*(C11*(C10/(C8+C10+C12))+C13*(C12/(C8+C10+C12)))</f>
        <v>8.9588244200247257E-3</v>
      </c>
    </row>
    <row r="38" spans="1:7" x14ac:dyDescent="0.25">
      <c r="A38" s="4" t="s">
        <v>86</v>
      </c>
    </row>
    <row r="39" spans="1:7" x14ac:dyDescent="0.25">
      <c r="A39" s="9"/>
      <c r="B39" s="9"/>
    </row>
    <row r="40" spans="1:7" x14ac:dyDescent="0.25">
      <c r="C40" s="17"/>
      <c r="D40" s="17"/>
    </row>
    <row r="41" spans="1:7" x14ac:dyDescent="0.25">
      <c r="C41" s="18"/>
      <c r="G41" s="7"/>
    </row>
    <row r="42" spans="1:7" x14ac:dyDescent="0.25">
      <c r="C42" s="17"/>
      <c r="G42" s="7"/>
    </row>
    <row r="43" spans="1:7" ht="13" x14ac:dyDescent="0.3">
      <c r="A43" s="4" t="s">
        <v>73</v>
      </c>
      <c r="B43" s="21">
        <f>ROUND(+D24,4)</f>
        <v>6.8999999999999999E-3</v>
      </c>
      <c r="C43" s="19">
        <v>1</v>
      </c>
      <c r="D43" s="20">
        <v>1</v>
      </c>
      <c r="E43" s="29">
        <f>+B43*C43*D43</f>
        <v>6.8999999999999999E-3</v>
      </c>
      <c r="F43" s="6"/>
      <c r="G43" s="28"/>
    </row>
    <row r="44" spans="1:7" ht="13" x14ac:dyDescent="0.3">
      <c r="A44" s="4" t="s">
        <v>87</v>
      </c>
      <c r="B44" s="21">
        <f>ROUND(+D34,4)</f>
        <v>8.9999999999999993E-3</v>
      </c>
      <c r="C44" s="19">
        <v>1</v>
      </c>
      <c r="D44" s="20">
        <v>1</v>
      </c>
      <c r="E44" s="30">
        <f>+B44*C44*D44</f>
        <v>8.9999999999999993E-3</v>
      </c>
      <c r="F44" s="6"/>
      <c r="G44" s="28"/>
    </row>
    <row r="45" spans="1:7" x14ac:dyDescent="0.25">
      <c r="B45" s="9"/>
      <c r="C45" s="22"/>
      <c r="D45" s="9"/>
    </row>
    <row r="46" spans="1:7" ht="13" thickBot="1" x14ac:dyDescent="0.3">
      <c r="B46" s="12">
        <f>SUM(B43:B44)</f>
        <v>1.5899999999999997E-2</v>
      </c>
      <c r="C46" s="23">
        <v>1</v>
      </c>
      <c r="D46" s="20">
        <v>1</v>
      </c>
      <c r="E46" s="24">
        <f>SUM(E43:E45)</f>
        <v>1.5899999999999997E-2</v>
      </c>
    </row>
    <row r="47" spans="1:7" ht="13" thickTop="1" x14ac:dyDescent="0.25">
      <c r="B47" s="25"/>
      <c r="D47" s="25"/>
      <c r="E47" s="26"/>
    </row>
    <row r="50" spans="1:8" ht="14.5" x14ac:dyDescent="0.35">
      <c r="A50" s="47" t="s">
        <v>116</v>
      </c>
    </row>
    <row r="55" spans="1:8" x14ac:dyDescent="0.25">
      <c r="A55" s="89"/>
      <c r="B55" s="89"/>
      <c r="C55" s="89"/>
      <c r="D55" s="89"/>
      <c r="E55" s="89"/>
      <c r="F55" s="89"/>
      <c r="G55" s="89"/>
      <c r="H55" s="89"/>
    </row>
  </sheetData>
  <mergeCells count="3">
    <mergeCell ref="A55:H55"/>
    <mergeCell ref="A1:E1"/>
    <mergeCell ref="A2:E2"/>
  </mergeCells>
  <pageMargins left="0.7" right="0.7" top="0.75" bottom="0.75" header="0.3" footer="0.3"/>
  <pageSetup scale="89" orientation="portrait" r:id="rId1"/>
  <headerFooter scaleWithDoc="0">
    <oddHeader>&amp;R&amp;"Times New Roman,Bold"&amp;12Rebuttal Exhibit CMG-10
Page &amp;P of &amp;N</oddHeader>
  </headerFooter>
  <rowBreaks count="1" manualBreakCount="1">
    <brk id="5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showGridLines="0" zoomScaleNormal="100" workbookViewId="0">
      <selection sqref="A1:E1"/>
    </sheetView>
  </sheetViews>
  <sheetFormatPr defaultColWidth="16" defaultRowHeight="12.5" x14ac:dyDescent="0.25"/>
  <cols>
    <col min="1" max="1" width="6.81640625" style="4" customWidth="1"/>
    <col min="2" max="2" width="22.26953125" style="4" customWidth="1"/>
    <col min="3" max="3" width="21.7265625" style="4" customWidth="1"/>
    <col min="4" max="4" width="21" style="4" customWidth="1"/>
    <col min="5" max="5" width="22.7265625" style="4" customWidth="1"/>
    <col min="6" max="6" width="23.1796875" style="4" customWidth="1"/>
    <col min="7" max="7" width="19.7265625" style="4" customWidth="1"/>
    <col min="8" max="8" width="4" style="4" customWidth="1"/>
    <col min="9" max="9" width="21.81640625" style="4" customWidth="1"/>
    <col min="10" max="10" width="14.453125" style="4" customWidth="1"/>
    <col min="11" max="12" width="21.81640625" style="4" customWidth="1"/>
    <col min="13" max="16384" width="16" style="4"/>
  </cols>
  <sheetData>
    <row r="1" spans="1:8" ht="15.5" x14ac:dyDescent="0.35">
      <c r="A1" s="90" t="s">
        <v>89</v>
      </c>
      <c r="B1" s="90"/>
      <c r="C1" s="90"/>
      <c r="D1" s="90"/>
      <c r="E1" s="90"/>
      <c r="F1" s="83"/>
      <c r="G1" s="83"/>
      <c r="H1" s="83"/>
    </row>
    <row r="2" spans="1:8" ht="15.5" x14ac:dyDescent="0.35">
      <c r="A2" s="91" t="s">
        <v>117</v>
      </c>
      <c r="B2" s="91"/>
      <c r="C2" s="91"/>
      <c r="D2" s="91"/>
      <c r="E2" s="91"/>
      <c r="F2" s="83"/>
      <c r="G2" s="83"/>
      <c r="H2" s="83"/>
    </row>
    <row r="3" spans="1:8" ht="15.5" x14ac:dyDescent="0.35">
      <c r="A3" s="46"/>
      <c r="B3" s="45"/>
      <c r="C3" s="45"/>
      <c r="D3" s="45"/>
      <c r="E3" s="45"/>
      <c r="F3" s="45"/>
      <c r="G3" s="45"/>
      <c r="H3" s="45"/>
    </row>
    <row r="4" spans="1:8" x14ac:dyDescent="0.25">
      <c r="A4" s="5" t="s">
        <v>115</v>
      </c>
    </row>
    <row r="6" spans="1:8" x14ac:dyDescent="0.25">
      <c r="A6" s="5" t="s">
        <v>63</v>
      </c>
      <c r="C6" s="8">
        <f>'LGE SCH J-1.1 Errata Filing'!H39</f>
        <v>13654580.660122126</v>
      </c>
    </row>
    <row r="7" spans="1:8" x14ac:dyDescent="0.25">
      <c r="A7" s="5" t="s">
        <v>64</v>
      </c>
      <c r="C7" s="11">
        <f>'LGE SCH J-1.1 Errata Filing'!J39</f>
        <v>4.6002316569744824E-3</v>
      </c>
    </row>
    <row r="8" spans="1:8" x14ac:dyDescent="0.25">
      <c r="A8" s="5" t="s">
        <v>65</v>
      </c>
      <c r="C8" s="8">
        <f>'LGE SCH J-1.1 Errata Filing'!H41</f>
        <v>492701852.11624503</v>
      </c>
    </row>
    <row r="9" spans="1:8" x14ac:dyDescent="0.25">
      <c r="A9" s="5" t="s">
        <v>66</v>
      </c>
      <c r="C9" s="11">
        <f>'LGE SCH J-1.1 Errata Filing'!J41</f>
        <v>4.0417299088459008E-2</v>
      </c>
    </row>
    <row r="10" spans="1:8" x14ac:dyDescent="0.25">
      <c r="A10" s="5" t="s">
        <v>62</v>
      </c>
      <c r="C10" s="8">
        <v>0</v>
      </c>
    </row>
    <row r="11" spans="1:8" x14ac:dyDescent="0.25">
      <c r="A11" s="5" t="s">
        <v>67</v>
      </c>
      <c r="C11" s="11">
        <v>0</v>
      </c>
    </row>
    <row r="12" spans="1:8" x14ac:dyDescent="0.25">
      <c r="A12" s="5" t="s">
        <v>68</v>
      </c>
      <c r="C12" s="8">
        <f>'LGE SCH J-1.1 Errata Filing'!H43</f>
        <v>575381895.86077523</v>
      </c>
    </row>
    <row r="13" spans="1:8" x14ac:dyDescent="0.25">
      <c r="A13" s="5" t="s">
        <v>69</v>
      </c>
      <c r="C13" s="12">
        <f>'LGE SCH J-1.1 Errata Filing'!J43</f>
        <v>0.1</v>
      </c>
    </row>
    <row r="14" spans="1:8" ht="13.5" x14ac:dyDescent="0.25">
      <c r="A14" s="5" t="s">
        <v>102</v>
      </c>
      <c r="C14" s="65">
        <v>46259560.484161377</v>
      </c>
    </row>
    <row r="17" spans="1:9" x14ac:dyDescent="0.25">
      <c r="B17" s="4" t="s">
        <v>70</v>
      </c>
    </row>
    <row r="18" spans="1:9" x14ac:dyDescent="0.25">
      <c r="A18" s="4" t="s">
        <v>71</v>
      </c>
    </row>
    <row r="20" spans="1:9" x14ac:dyDescent="0.25">
      <c r="C20" s="13" t="s">
        <v>72</v>
      </c>
    </row>
    <row r="21" spans="1:9" x14ac:dyDescent="0.25">
      <c r="A21" s="4" t="s">
        <v>73</v>
      </c>
      <c r="B21" s="10" t="s">
        <v>74</v>
      </c>
      <c r="C21" s="13" t="s">
        <v>75</v>
      </c>
      <c r="D21" s="14" t="s">
        <v>76</v>
      </c>
    </row>
    <row r="22" spans="1:9" x14ac:dyDescent="0.25">
      <c r="C22" s="13" t="s">
        <v>77</v>
      </c>
    </row>
    <row r="24" spans="1:9" x14ac:dyDescent="0.25">
      <c r="A24" s="4" t="s">
        <v>73</v>
      </c>
      <c r="B24" s="15">
        <f>ROUND(D24,4)</f>
        <v>1.4500000000000001E-2</v>
      </c>
      <c r="D24" s="4">
        <f>(C7*(C6/C14))+C9*(C8/(C8+C10+C12))*(1-(C6/C14))</f>
        <v>1.4498870799282264E-2</v>
      </c>
    </row>
    <row r="28" spans="1:9" x14ac:dyDescent="0.25">
      <c r="A28" s="4" t="s">
        <v>78</v>
      </c>
    </row>
    <row r="30" spans="1:9" x14ac:dyDescent="0.25">
      <c r="C30" s="13" t="s">
        <v>79</v>
      </c>
      <c r="D30" s="13" t="s">
        <v>80</v>
      </c>
      <c r="I30" s="16"/>
    </row>
    <row r="31" spans="1:9" x14ac:dyDescent="0.25">
      <c r="A31" s="4" t="s">
        <v>81</v>
      </c>
      <c r="B31" s="10" t="s">
        <v>82</v>
      </c>
      <c r="C31" s="13" t="s">
        <v>83</v>
      </c>
      <c r="D31" s="13" t="s">
        <v>84</v>
      </c>
    </row>
    <row r="32" spans="1:9" x14ac:dyDescent="0.25">
      <c r="C32" s="13" t="s">
        <v>85</v>
      </c>
      <c r="D32" s="13" t="s">
        <v>85</v>
      </c>
    </row>
    <row r="34" spans="1:7" x14ac:dyDescent="0.25">
      <c r="A34" s="4" t="s">
        <v>81</v>
      </c>
      <c r="B34" s="15">
        <f>ROUND(D34,4)</f>
        <v>3.7999999999999999E-2</v>
      </c>
      <c r="D34" s="4">
        <f>(1-C6/C14)*(C11*(C10/(C8+C10+C12))+C13*(C12/(C8+C10+C12)))</f>
        <v>3.7969363738947305E-2</v>
      </c>
    </row>
    <row r="38" spans="1:7" x14ac:dyDescent="0.25">
      <c r="A38" s="4" t="s">
        <v>86</v>
      </c>
    </row>
    <row r="39" spans="1:7" x14ac:dyDescent="0.25">
      <c r="A39" s="9"/>
      <c r="B39" s="9"/>
    </row>
    <row r="40" spans="1:7" x14ac:dyDescent="0.25">
      <c r="C40" s="17"/>
      <c r="D40" s="17"/>
    </row>
    <row r="41" spans="1:7" x14ac:dyDescent="0.25">
      <c r="C41" s="18"/>
      <c r="G41" s="7"/>
    </row>
    <row r="42" spans="1:7" x14ac:dyDescent="0.25">
      <c r="C42" s="17"/>
      <c r="G42" s="7"/>
    </row>
    <row r="43" spans="1:7" ht="13" x14ac:dyDescent="0.3">
      <c r="A43" s="4" t="s">
        <v>73</v>
      </c>
      <c r="B43" s="21">
        <f>ROUND(+D24,4)</f>
        <v>1.4500000000000001E-2</v>
      </c>
      <c r="C43" s="19">
        <v>1</v>
      </c>
      <c r="D43" s="20">
        <v>1</v>
      </c>
      <c r="E43" s="29">
        <f>+B43*C43*D43</f>
        <v>1.4500000000000001E-2</v>
      </c>
      <c r="F43" s="6"/>
      <c r="G43" s="28"/>
    </row>
    <row r="44" spans="1:7" ht="13" x14ac:dyDescent="0.3">
      <c r="A44" s="4" t="s">
        <v>87</v>
      </c>
      <c r="B44" s="21">
        <f>ROUND(+D34,4)</f>
        <v>3.7999999999999999E-2</v>
      </c>
      <c r="C44" s="19">
        <v>1</v>
      </c>
      <c r="D44" s="20">
        <v>1</v>
      </c>
      <c r="E44" s="30">
        <f>+B44*C44*D44</f>
        <v>3.7999999999999999E-2</v>
      </c>
      <c r="F44" s="6"/>
      <c r="G44" s="28"/>
    </row>
    <row r="45" spans="1:7" x14ac:dyDescent="0.25">
      <c r="B45" s="9"/>
      <c r="C45" s="22"/>
      <c r="D45" s="9"/>
    </row>
    <row r="46" spans="1:7" ht="13" thickBot="1" x14ac:dyDescent="0.3">
      <c r="B46" s="12">
        <f>SUM(B43:B44)</f>
        <v>5.2499999999999998E-2</v>
      </c>
      <c r="C46" s="23">
        <v>1</v>
      </c>
      <c r="D46" s="20">
        <v>1</v>
      </c>
      <c r="E46" s="24">
        <f>SUM(E43:E45)</f>
        <v>5.2499999999999998E-2</v>
      </c>
    </row>
    <row r="47" spans="1:7" ht="13" thickTop="1" x14ac:dyDescent="0.25">
      <c r="B47" s="25"/>
      <c r="D47" s="25"/>
      <c r="E47" s="26"/>
    </row>
    <row r="50" spans="1:8" ht="14.5" x14ac:dyDescent="0.35">
      <c r="A50" s="47" t="s">
        <v>116</v>
      </c>
    </row>
    <row r="55" spans="1:8" x14ac:dyDescent="0.25">
      <c r="A55" s="89"/>
      <c r="B55" s="89"/>
      <c r="C55" s="89"/>
      <c r="D55" s="89"/>
      <c r="E55" s="89"/>
      <c r="F55" s="89"/>
      <c r="G55" s="89"/>
      <c r="H55" s="89"/>
    </row>
  </sheetData>
  <mergeCells count="3">
    <mergeCell ref="A55:H55"/>
    <mergeCell ref="A1:E1"/>
    <mergeCell ref="A2:E2"/>
  </mergeCells>
  <pageMargins left="0.7" right="0.7" top="0.75" bottom="0.75" header="0.3" footer="0.3"/>
  <pageSetup scale="89" orientation="portrait" r:id="rId1"/>
  <headerFooter scaleWithDoc="0">
    <oddHeader>&amp;R&amp;"Times New Roman,Bold"&amp;12Rebuttal Exhibit CMG-10
Page &amp;P of &amp;N</oddHeader>
  </headerFooter>
  <rowBreaks count="1" manualBreakCount="1">
    <brk id="5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Rebuttal Testimony</Document_x0020_Type>
    <Witness_x0020_Testimony xmlns="54fcda00-7b58-44a7-b108-8bd10a8a08ba">Garrett, Christopher M.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8F0039A-9D5E-43F7-8ABE-EC27A489C935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2A68705C-0F15-4001-9166-74C275725E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B26C9-F69D-4C11-93F6-503ADDF421C9}">
  <ds:schemaRefs/>
</ds:datastoreItem>
</file>

<file path=customXml/itemProps4.xml><?xml version="1.0" encoding="utf-8"?>
<ds:datastoreItem xmlns:ds="http://schemas.openxmlformats.org/officeDocument/2006/customXml" ds:itemID="{1E0FEA0E-0606-4481-809C-20FD5CEC4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2F2290F-8BB0-44EE-A4B4-E1D65EBA5453}">
  <ds:schemaRefs>
    <ds:schemaRef ds:uri="54fcda00-7b58-44a7-b108-8bd10a8a08ba"/>
    <ds:schemaRef ds:uri="http://purl.org/dc/elements/1.1/"/>
    <ds:schemaRef ds:uri="http://purl.org/dc/terms/"/>
    <ds:schemaRef ds:uri="http://schemas.microsoft.com/sharepoint/v3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CMG-10</vt:lpstr>
      <vt:lpstr>KU SCH J-1.1 Errata Filing</vt:lpstr>
      <vt:lpstr>KU TYE June 2022</vt:lpstr>
      <vt:lpstr>KU FERC TYE June 2022</vt:lpstr>
      <vt:lpstr>LGE SCH J-1.1 Errata Filing</vt:lpstr>
      <vt:lpstr>LGE TYE June 2022</vt:lpstr>
      <vt:lpstr>LGEE FERC TYE June 2022</vt:lpstr>
      <vt:lpstr>LGEG FERC TYE June 2022</vt:lpstr>
      <vt:lpstr>'KU FERC TYE June 2022'!Print_Area</vt:lpstr>
      <vt:lpstr>'KU SCH J-1.1 Errata Filing'!Print_Area</vt:lpstr>
      <vt:lpstr>'KU TYE June 2022'!Print_Area</vt:lpstr>
      <vt:lpstr>'LGE SCH J-1.1 Errata Filing'!Print_Area</vt:lpstr>
      <vt:lpstr>'LGE TYE June 2022'!Print_Area</vt:lpstr>
      <vt:lpstr>'LGEE FERC TYE June 2022'!Print_Area</vt:lpstr>
      <vt:lpstr>'LGEG FERC TYE June 2022'!Print_Area</vt:lpstr>
      <vt:lpstr>'KU FERC TYE June 2022'!Print_Titles</vt:lpstr>
      <vt:lpstr>'LGEE FERC TYE June 2022'!Print_Titles</vt:lpstr>
      <vt:lpstr>'LGEG FERC TYE June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2021-03-24T13:19:15Z</dcterms:created>
  <dcterms:modified xsi:type="dcterms:W3CDTF">2021-04-02T17:57:09Z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2021-03-24T20:33:10Z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771e4f4b-4518-4c0a-9f06-0000de146376</vt:lpwstr>
  </property>
  <property fmtid="{D5CDD505-2E9C-101B-9397-08002B2CF9AE}" pid="9" name="MSIP_Label_d662fcd2-3ff9-4261-9b26-9dd5808d0bb4_ContentBits">
    <vt:lpwstr>0</vt:lpwstr>
  </property>
</Properties>
</file>