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iecon.sharepoint.com/Cases/20 Cases/20.20 KU - LG&amp;E/Watkins Responses to DRs/PSC/"/>
    </mc:Choice>
  </mc:AlternateContent>
  <xr:revisionPtr revIDLastSave="51" documentId="8_{CB251A65-DE47-471C-9D7E-9E178E75DE88}" xr6:coauthVersionLast="46" xr6:coauthVersionMax="46" xr10:uidLastSave="{3777E83C-F8AC-48A5-A852-05AC486C8F25}"/>
  <bookViews>
    <workbookView xWindow="-110" yWindow="-110" windowWidth="19420" windowHeight="10420" xr2:uid="{C729261F-82BA-45C3-86B5-19D30297749B}"/>
  </bookViews>
  <sheets>
    <sheet name="LGE Gas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0" i="1"/>
  <c r="E39" i="1"/>
  <c r="E38" i="1"/>
  <c r="E37" i="1"/>
  <c r="E18" i="1"/>
  <c r="M18" i="1" s="1"/>
  <c r="K18" i="1"/>
  <c r="J8" i="1"/>
  <c r="K8" i="1" s="1"/>
  <c r="H9" i="1"/>
  <c r="H17" i="1"/>
  <c r="M17" i="1" s="1"/>
  <c r="H16" i="1"/>
  <c r="M16" i="1" s="1"/>
  <c r="H8" i="1"/>
  <c r="E8" i="1"/>
  <c r="E36" i="1" s="1"/>
  <c r="M8" i="1" l="1"/>
  <c r="N18" i="1"/>
  <c r="E21" i="1"/>
  <c r="N8" i="1"/>
  <c r="H21" i="1"/>
  <c r="K17" i="1"/>
  <c r="N17" i="1" s="1"/>
  <c r="K16" i="1"/>
  <c r="H14" i="1"/>
  <c r="E9" i="1"/>
  <c r="E14" i="1" s="1"/>
  <c r="M21" i="1" l="1"/>
  <c r="E22" i="1"/>
  <c r="K21" i="1"/>
  <c r="N21" i="1" s="1"/>
  <c r="N16" i="1"/>
  <c r="H22" i="1"/>
  <c r="H25" i="1" s="1"/>
  <c r="M14" i="1"/>
  <c r="M9" i="1"/>
  <c r="E35" i="1" l="1"/>
  <c r="E25" i="1"/>
  <c r="M22" i="1"/>
  <c r="H26" i="1" l="1"/>
  <c r="M25" i="1" l="1"/>
  <c r="E44" i="1" l="1"/>
  <c r="E45" i="1" s="1"/>
  <c r="J9" i="1" l="1"/>
  <c r="K9" i="1" s="1"/>
  <c r="N9" i="1" s="1"/>
  <c r="K14" i="1" l="1"/>
  <c r="K22" i="1" l="1"/>
  <c r="K25" i="1" s="1"/>
  <c r="N14" i="1"/>
  <c r="N22" i="1" l="1"/>
  <c r="N25" i="1" l="1"/>
  <c r="K26" i="1"/>
</calcChain>
</file>

<file path=xl/sharedStrings.xml><?xml version="1.0" encoding="utf-8"?>
<sst xmlns="http://schemas.openxmlformats.org/spreadsheetml/2006/main" count="50" uniqueCount="34">
  <si>
    <t>Rate</t>
  </si>
  <si>
    <t>Rate RS</t>
  </si>
  <si>
    <t>Billing</t>
  </si>
  <si>
    <t>Determinants</t>
  </si>
  <si>
    <t>Current</t>
  </si>
  <si>
    <t>Basic Service Charge-Daily</t>
  </si>
  <si>
    <t>Revenue</t>
  </si>
  <si>
    <t>OAG</t>
  </si>
  <si>
    <t>Proposed</t>
  </si>
  <si>
    <t>DSM Revenue</t>
  </si>
  <si>
    <t>Total RS Revenue</t>
  </si>
  <si>
    <t xml:space="preserve">Subtotal Base Rates </t>
  </si>
  <si>
    <t>Subtotal Other Rate Revenue</t>
  </si>
  <si>
    <t>TOTAL RESIDENTIAL REVENUE</t>
  </si>
  <si>
    <t>Proposed Increase</t>
  </si>
  <si>
    <t>Percent</t>
  </si>
  <si>
    <t>Change</t>
  </si>
  <si>
    <t>Total RS</t>
  </si>
  <si>
    <t>Less Customer Charge</t>
  </si>
  <si>
    <t>Subtotal</t>
  </si>
  <si>
    <t>RS Total Increase</t>
  </si>
  <si>
    <t>RS Design Increase</t>
  </si>
  <si>
    <t>RS Design Pct Increase</t>
  </si>
  <si>
    <t>Total Residential Increase</t>
  </si>
  <si>
    <t>RS Rate Design Calcs</t>
  </si>
  <si>
    <t>LGE</t>
  </si>
  <si>
    <t>LGE Gas - OAG Residential Rate Design @ LGE Proposed Overall Increase</t>
  </si>
  <si>
    <t>Delivery Charge</t>
  </si>
  <si>
    <t>Gas Supply Clause</t>
  </si>
  <si>
    <t>Gas Line Tracker</t>
  </si>
  <si>
    <t>Less Gas Supply Clause</t>
  </si>
  <si>
    <t>Less DSM Revenue</t>
  </si>
  <si>
    <t>Less Gas Line Tracker</t>
  </si>
  <si>
    <t>Less GLT 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</si>
</sst>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"/>
    <numFmt numFmtId="166" formatCode="&quot;$&quot;#,##0.00000"/>
    <numFmt numFmtId="167" formatCode="&quot;$&quot;#,##0"/>
    <numFmt numFmtId="168" formatCode="&quot;$&quot;#,##0.00"/>
    <numFmt numFmtId="169" formatCode="_(&quot;$&quot;* #,##0_);_(&quot;$&quot;* \(#,##0\);_(&quot;$&quot;* &quot;-&quot;??_);_(@_)"/>
    <numFmt numFmtId="170" formatCode="0.000%"/>
    <numFmt numFmtId="171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5" fontId="0" fillId="0" borderId="1" xfId="0" applyNumberFormat="1" applyBorder="1"/>
    <xf numFmtId="167" fontId="0" fillId="0" borderId="1" xfId="0" applyNumberFormat="1" applyBorder="1"/>
    <xf numFmtId="0" fontId="2" fillId="0" borderId="0" xfId="0" applyFont="1"/>
    <xf numFmtId="0" fontId="0" fillId="0" borderId="2" xfId="0" applyBorder="1"/>
    <xf numFmtId="167" fontId="0" fillId="0" borderId="2" xfId="0" applyNumberFormat="1" applyBorder="1"/>
    <xf numFmtId="168" fontId="0" fillId="0" borderId="0" xfId="2" applyNumberFormat="1" applyFont="1"/>
    <xf numFmtId="0" fontId="3" fillId="0" borderId="0" xfId="0" applyFont="1"/>
    <xf numFmtId="167" fontId="3" fillId="0" borderId="0" xfId="0" applyNumberFormat="1" applyFont="1"/>
    <xf numFmtId="0" fontId="0" fillId="0" borderId="0" xfId="0" applyFill="1" applyBorder="1" applyAlignment="1">
      <alignment horizontal="center"/>
    </xf>
    <xf numFmtId="10" fontId="0" fillId="0" borderId="0" xfId="3" applyNumberFormat="1" applyFont="1"/>
    <xf numFmtId="169" fontId="0" fillId="0" borderId="0" xfId="2" applyNumberFormat="1" applyFont="1"/>
    <xf numFmtId="170" fontId="0" fillId="0" borderId="0" xfId="3" applyNumberFormat="1" applyFont="1"/>
    <xf numFmtId="171" fontId="0" fillId="0" borderId="0" xfId="3" applyNumberFormat="1" applyFont="1"/>
    <xf numFmtId="169" fontId="0" fillId="0" borderId="0" xfId="0" applyNumberFormat="1"/>
    <xf numFmtId="167" fontId="4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8C465-A5CF-4227-92EE-7DF298C3EA0D}">
  <dimension ref="A1:O45"/>
  <sheetViews>
    <sheetView tabSelected="1" zoomScale="106" zoomScaleNormal="106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42" sqref="M42"/>
    </sheetView>
  </sheetViews>
  <sheetFormatPr defaultRowHeight="14.5" x14ac:dyDescent="0.35"/>
  <cols>
    <col min="1" max="1" width="3.54296875" customWidth="1"/>
    <col min="2" max="2" width="37.26953125" customWidth="1"/>
    <col min="3" max="3" width="16.08984375" bestFit="1" customWidth="1"/>
    <col min="4" max="4" width="11.08984375" customWidth="1"/>
    <col min="5" max="5" width="13.1796875" customWidth="1"/>
    <col min="6" max="6" width="3.54296875" customWidth="1"/>
    <col min="8" max="8" width="12.08984375" bestFit="1" customWidth="1"/>
    <col min="9" max="9" width="3.6328125" customWidth="1"/>
    <col min="10" max="10" width="8.81640625" bestFit="1" customWidth="1"/>
    <col min="11" max="11" width="12.08984375" bestFit="1" customWidth="1"/>
    <col min="12" max="12" width="3.36328125" customWidth="1"/>
  </cols>
  <sheetData>
    <row r="1" spans="1:15" x14ac:dyDescent="0.3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3" t="s">
        <v>25</v>
      </c>
      <c r="N3" s="23" t="s">
        <v>7</v>
      </c>
    </row>
    <row r="4" spans="1:15" x14ac:dyDescent="0.35">
      <c r="A4" s="10"/>
      <c r="B4" s="10"/>
      <c r="C4" s="23"/>
      <c r="D4" s="23"/>
      <c r="E4" s="23"/>
      <c r="F4" s="23"/>
      <c r="G4" s="23" t="s">
        <v>25</v>
      </c>
      <c r="H4" s="23" t="s">
        <v>25</v>
      </c>
      <c r="I4" s="10"/>
      <c r="J4" s="23" t="s">
        <v>7</v>
      </c>
      <c r="K4" s="23" t="s">
        <v>7</v>
      </c>
      <c r="L4" s="10"/>
      <c r="M4" s="23" t="s">
        <v>8</v>
      </c>
      <c r="N4" s="23" t="s">
        <v>8</v>
      </c>
    </row>
    <row r="5" spans="1:15" x14ac:dyDescent="0.35">
      <c r="A5" s="10"/>
      <c r="B5" s="10"/>
      <c r="C5" s="23" t="s">
        <v>2</v>
      </c>
      <c r="D5" s="23" t="s">
        <v>4</v>
      </c>
      <c r="E5" s="23" t="s">
        <v>4</v>
      </c>
      <c r="F5" s="23"/>
      <c r="G5" s="23" t="s">
        <v>8</v>
      </c>
      <c r="H5" s="23" t="s">
        <v>8</v>
      </c>
      <c r="I5" s="10"/>
      <c r="J5" s="23" t="s">
        <v>8</v>
      </c>
      <c r="K5" s="23" t="s">
        <v>8</v>
      </c>
      <c r="L5" s="10"/>
      <c r="M5" s="23" t="s">
        <v>15</v>
      </c>
      <c r="N5" s="23" t="s">
        <v>15</v>
      </c>
    </row>
    <row r="6" spans="1:15" x14ac:dyDescent="0.35">
      <c r="A6" s="10"/>
      <c r="B6" s="10"/>
      <c r="C6" s="24" t="s">
        <v>3</v>
      </c>
      <c r="D6" s="24" t="s">
        <v>0</v>
      </c>
      <c r="E6" s="24" t="s">
        <v>6</v>
      </c>
      <c r="F6" s="23"/>
      <c r="G6" s="24" t="s">
        <v>0</v>
      </c>
      <c r="H6" s="24" t="s">
        <v>6</v>
      </c>
      <c r="I6" s="10"/>
      <c r="J6" s="24" t="s">
        <v>0</v>
      </c>
      <c r="K6" s="24" t="s">
        <v>6</v>
      </c>
      <c r="L6" s="10"/>
      <c r="M6" s="25" t="s">
        <v>16</v>
      </c>
      <c r="N6" s="25" t="s">
        <v>16</v>
      </c>
    </row>
    <row r="7" spans="1:15" x14ac:dyDescent="0.35">
      <c r="A7" s="10" t="s">
        <v>1</v>
      </c>
    </row>
    <row r="8" spans="1:15" x14ac:dyDescent="0.35">
      <c r="B8" t="s">
        <v>5</v>
      </c>
      <c r="C8" s="1">
        <v>110103074</v>
      </c>
      <c r="D8" s="13">
        <v>0.65</v>
      </c>
      <c r="E8" s="4">
        <f>C8*D8</f>
        <v>71566998.100000009</v>
      </c>
      <c r="G8" s="13">
        <v>0.78</v>
      </c>
      <c r="H8" s="4">
        <f>G8*C8</f>
        <v>85880397.719999999</v>
      </c>
      <c r="J8" s="13">
        <f>D8</f>
        <v>0.65</v>
      </c>
      <c r="K8" s="4">
        <f>J8*C8</f>
        <v>71566998.100000009</v>
      </c>
      <c r="M8" s="17">
        <f>+H8/E8-1</f>
        <v>0.19999999999999973</v>
      </c>
      <c r="N8" s="17">
        <f>+K8/E8-1</f>
        <v>0</v>
      </c>
      <c r="O8" s="5"/>
    </row>
    <row r="9" spans="1:15" x14ac:dyDescent="0.35">
      <c r="B9" t="s">
        <v>27</v>
      </c>
      <c r="C9" s="1">
        <v>19501502</v>
      </c>
      <c r="D9" s="2">
        <v>3.6781999999999999</v>
      </c>
      <c r="E9" s="4">
        <f>C9*D9</f>
        <v>71730424.656399995</v>
      </c>
      <c r="G9" s="2">
        <v>4.8398000000000003</v>
      </c>
      <c r="H9" s="4">
        <f>G9*C9</f>
        <v>94383369.379600003</v>
      </c>
      <c r="J9" s="2">
        <f>+D9*(1+E$45)</f>
        <v>5.4638361525384047</v>
      </c>
      <c r="K9" s="4">
        <f>J9*C9</f>
        <v>106553011.65640001</v>
      </c>
      <c r="M9" s="17">
        <f t="shared" ref="M9:M25" si="0">+H9/E9-1</f>
        <v>0.31580664455440166</v>
      </c>
      <c r="N9" s="17">
        <f t="shared" ref="N9:N25" si="1">+K9/E9-1</f>
        <v>0.4854646709092505</v>
      </c>
      <c r="O9" s="5"/>
    </row>
    <row r="10" spans="1:15" x14ac:dyDescent="0.35">
      <c r="C10" s="1"/>
      <c r="D10" s="3"/>
      <c r="E10" s="4"/>
      <c r="G10" s="3"/>
      <c r="H10" s="4"/>
      <c r="J10" s="3"/>
      <c r="K10" s="4"/>
      <c r="M10" s="17"/>
      <c r="N10" s="17"/>
      <c r="O10" s="5"/>
    </row>
    <row r="11" spans="1:15" x14ac:dyDescent="0.35">
      <c r="C11" s="1"/>
      <c r="D11" s="3"/>
      <c r="E11" s="4"/>
      <c r="G11" s="3"/>
      <c r="H11" s="4"/>
      <c r="J11" s="3"/>
      <c r="K11" s="4"/>
      <c r="M11" s="17"/>
      <c r="N11" s="17"/>
      <c r="O11" s="16"/>
    </row>
    <row r="12" spans="1:15" x14ac:dyDescent="0.35">
      <c r="C12" s="1"/>
      <c r="D12" s="3"/>
      <c r="E12" s="4"/>
      <c r="G12" s="3"/>
      <c r="H12" s="4"/>
      <c r="J12" s="3"/>
      <c r="K12" s="4"/>
      <c r="M12" s="17"/>
      <c r="N12" s="17"/>
    </row>
    <row r="13" spans="1:15" x14ac:dyDescent="0.35">
      <c r="B13" s="6"/>
      <c r="C13" s="7"/>
      <c r="D13" s="8"/>
      <c r="E13" s="9"/>
      <c r="F13" s="6"/>
      <c r="G13" s="6"/>
      <c r="H13" s="6"/>
      <c r="J13" s="6"/>
      <c r="K13" s="6"/>
      <c r="M13" s="17"/>
      <c r="N13" s="17"/>
    </row>
    <row r="14" spans="1:15" x14ac:dyDescent="0.35">
      <c r="B14" t="s">
        <v>11</v>
      </c>
      <c r="C14" s="1"/>
      <c r="D14" s="2"/>
      <c r="E14" s="4">
        <f>SUM(E8:E12)</f>
        <v>143297422.75639999</v>
      </c>
      <c r="H14" s="4">
        <f>SUM(H8:H12)</f>
        <v>180263767.09960002</v>
      </c>
      <c r="K14" s="4">
        <f>SUM(K8:K12)</f>
        <v>178120009.75640002</v>
      </c>
      <c r="M14" s="17">
        <f t="shared" si="0"/>
        <v>0.257969359337616</v>
      </c>
      <c r="N14" s="17">
        <f t="shared" si="1"/>
        <v>0.24300916464629707</v>
      </c>
    </row>
    <row r="15" spans="1:15" x14ac:dyDescent="0.35">
      <c r="C15" s="1"/>
      <c r="D15" s="2"/>
      <c r="E15" s="4"/>
      <c r="M15" s="17"/>
      <c r="N15" s="17"/>
    </row>
    <row r="16" spans="1:15" x14ac:dyDescent="0.35">
      <c r="B16" t="s">
        <v>28</v>
      </c>
      <c r="C16" s="1"/>
      <c r="D16" s="2"/>
      <c r="E16" s="4">
        <v>73041197</v>
      </c>
      <c r="H16" s="4">
        <f>E16</f>
        <v>73041197</v>
      </c>
      <c r="K16" s="4">
        <f>H16</f>
        <v>73041197</v>
      </c>
      <c r="M16" s="17">
        <f t="shared" si="0"/>
        <v>0</v>
      </c>
      <c r="N16" s="17">
        <f t="shared" si="1"/>
        <v>0</v>
      </c>
    </row>
    <row r="17" spans="1:14" x14ac:dyDescent="0.35">
      <c r="B17" t="s">
        <v>9</v>
      </c>
      <c r="C17" s="1"/>
      <c r="D17" s="2"/>
      <c r="E17" s="4">
        <v>235706</v>
      </c>
      <c r="H17" s="4">
        <f>E17</f>
        <v>235706</v>
      </c>
      <c r="K17" s="4">
        <f>H17</f>
        <v>235706</v>
      </c>
      <c r="M17" s="17">
        <f t="shared" si="0"/>
        <v>0</v>
      </c>
      <c r="N17" s="17">
        <f t="shared" si="1"/>
        <v>0</v>
      </c>
    </row>
    <row r="18" spans="1:14" x14ac:dyDescent="0.35">
      <c r="B18" t="s">
        <v>29</v>
      </c>
      <c r="C18" s="1"/>
      <c r="E18" s="4">
        <f>6886665+14648187</f>
        <v>21534852</v>
      </c>
      <c r="H18" s="4">
        <v>6886665</v>
      </c>
      <c r="K18" s="4">
        <f>H18</f>
        <v>6886665</v>
      </c>
      <c r="M18" s="17">
        <f t="shared" si="0"/>
        <v>-0.68020838963741193</v>
      </c>
      <c r="N18" s="17">
        <f t="shared" si="1"/>
        <v>-0.68020838963741193</v>
      </c>
    </row>
    <row r="19" spans="1:14" x14ac:dyDescent="0.35">
      <c r="C19" s="1"/>
      <c r="E19" s="4"/>
      <c r="H19" s="4"/>
      <c r="K19" s="4"/>
      <c r="M19" s="17"/>
      <c r="N19" s="17"/>
    </row>
    <row r="20" spans="1:14" x14ac:dyDescent="0.35">
      <c r="B20" s="14"/>
      <c r="C20" s="14"/>
      <c r="D20" s="14"/>
      <c r="E20" s="15"/>
      <c r="F20" s="14"/>
      <c r="G20" s="14"/>
      <c r="H20" s="15"/>
      <c r="I20" s="14"/>
      <c r="J20" s="14"/>
      <c r="K20" s="15"/>
      <c r="M20" s="19"/>
      <c r="N20" s="17"/>
    </row>
    <row r="21" spans="1:14" x14ac:dyDescent="0.35">
      <c r="B21" s="6" t="s">
        <v>12</v>
      </c>
      <c r="C21" s="6"/>
      <c r="D21" s="6"/>
      <c r="E21" s="9">
        <f>SUM(E16:E20)</f>
        <v>94811755</v>
      </c>
      <c r="F21" s="6"/>
      <c r="G21" s="6"/>
      <c r="H21" s="9">
        <f>SUM(H16:H20)</f>
        <v>80163568</v>
      </c>
      <c r="J21" s="6"/>
      <c r="K21" s="9">
        <f>SUM(K16:K20)</f>
        <v>80163568</v>
      </c>
      <c r="M21" s="17">
        <f t="shared" si="0"/>
        <v>-0.15449758313196504</v>
      </c>
      <c r="N21" s="17">
        <f t="shared" si="1"/>
        <v>-0.15449758313196504</v>
      </c>
    </row>
    <row r="22" spans="1:14" x14ac:dyDescent="0.35">
      <c r="B22" t="s">
        <v>10</v>
      </c>
      <c r="E22" s="4">
        <f>E14+E21</f>
        <v>238109177.75639999</v>
      </c>
      <c r="H22" s="4">
        <f>H14+H21</f>
        <v>260427335.09960002</v>
      </c>
      <c r="K22" s="4">
        <f>K14+K21</f>
        <v>258283577.75640002</v>
      </c>
      <c r="L22" s="4"/>
      <c r="M22" s="17">
        <f t="shared" si="0"/>
        <v>9.3730773225519481E-2</v>
      </c>
      <c r="N22" s="17">
        <f t="shared" si="1"/>
        <v>8.4727519493766223E-2</v>
      </c>
    </row>
    <row r="23" spans="1:14" ht="15" thickBot="1" x14ac:dyDescent="0.4">
      <c r="A23" s="11"/>
      <c r="B23" s="11"/>
      <c r="C23" s="11"/>
      <c r="D23" s="11"/>
      <c r="E23" s="12"/>
      <c r="F23" s="11"/>
      <c r="G23" s="11"/>
      <c r="H23" s="11"/>
      <c r="J23" s="11"/>
      <c r="K23" s="11"/>
      <c r="M23" s="17"/>
      <c r="N23" s="17"/>
    </row>
    <row r="24" spans="1:14" ht="15" thickTop="1" x14ac:dyDescent="0.35">
      <c r="E24" s="4"/>
      <c r="M24" s="17"/>
      <c r="N24" s="17"/>
    </row>
    <row r="25" spans="1:14" x14ac:dyDescent="0.35">
      <c r="B25" t="s">
        <v>13</v>
      </c>
      <c r="E25" s="4">
        <f>+E22</f>
        <v>238109177.75639999</v>
      </c>
      <c r="H25" s="4">
        <f>+H22</f>
        <v>260427335.09960002</v>
      </c>
      <c r="K25" s="4">
        <f>+K22</f>
        <v>258283577.75640002</v>
      </c>
      <c r="L25" s="4"/>
      <c r="M25" s="17">
        <f t="shared" si="0"/>
        <v>9.3730773225519481E-2</v>
      </c>
      <c r="N25" s="17">
        <f t="shared" si="1"/>
        <v>8.4727519493766223E-2</v>
      </c>
    </row>
    <row r="26" spans="1:14" x14ac:dyDescent="0.35">
      <c r="B26" t="s">
        <v>14</v>
      </c>
      <c r="H26" s="4">
        <f>+H25-E25</f>
        <v>22318157.343200028</v>
      </c>
      <c r="K26" s="22">
        <f>+K25-E25</f>
        <v>20174400.00000003</v>
      </c>
      <c r="M26" s="17"/>
      <c r="N26" s="17"/>
    </row>
    <row r="28" spans="1:14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x14ac:dyDescent="0.35">
      <c r="A29" s="26"/>
      <c r="B29" s="27" t="s">
        <v>24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4" x14ac:dyDescent="0.35">
      <c r="B30" t="s">
        <v>23</v>
      </c>
      <c r="E30" s="18">
        <v>20174400</v>
      </c>
    </row>
    <row r="31" spans="1:14" x14ac:dyDescent="0.35">
      <c r="E31" s="20"/>
    </row>
    <row r="32" spans="1:14" x14ac:dyDescent="0.35">
      <c r="E32" s="18"/>
      <c r="H32" s="4"/>
    </row>
    <row r="33" spans="2:14" x14ac:dyDescent="0.35">
      <c r="E33" s="21"/>
      <c r="H33" s="4"/>
    </row>
    <row r="34" spans="2:14" x14ac:dyDescent="0.35">
      <c r="E34" s="15"/>
      <c r="H34" s="15"/>
    </row>
    <row r="35" spans="2:14" x14ac:dyDescent="0.35">
      <c r="B35" t="s">
        <v>17</v>
      </c>
      <c r="E35" s="21">
        <f>+E22</f>
        <v>238109177.75639999</v>
      </c>
      <c r="H35" s="4"/>
      <c r="K35" s="21"/>
    </row>
    <row r="36" spans="2:14" x14ac:dyDescent="0.35">
      <c r="B36" t="s">
        <v>18</v>
      </c>
      <c r="E36" s="4">
        <f>E8</f>
        <v>71566998.100000009</v>
      </c>
      <c r="K36" s="4"/>
    </row>
    <row r="37" spans="2:14" x14ac:dyDescent="0.35">
      <c r="B37" t="s">
        <v>30</v>
      </c>
      <c r="E37" s="4">
        <f>E16</f>
        <v>73041197</v>
      </c>
      <c r="H37" s="4"/>
      <c r="K37" s="4"/>
    </row>
    <row r="38" spans="2:14" x14ac:dyDescent="0.35">
      <c r="B38" t="s">
        <v>31</v>
      </c>
      <c r="E38" s="4">
        <f>E17</f>
        <v>235706</v>
      </c>
      <c r="H38" s="4"/>
      <c r="K38" s="4"/>
    </row>
    <row r="39" spans="2:14" x14ac:dyDescent="0.35">
      <c r="B39" t="s">
        <v>32</v>
      </c>
      <c r="E39" s="4">
        <f>E18</f>
        <v>21534852</v>
      </c>
      <c r="H39" s="4"/>
      <c r="K39" s="4"/>
    </row>
    <row r="40" spans="2:14" x14ac:dyDescent="0.35">
      <c r="B40" t="s">
        <v>19</v>
      </c>
      <c r="E40" s="4">
        <f>+E35-E36-E37-E38-E39</f>
        <v>71730424.656399965</v>
      </c>
      <c r="H40" s="4"/>
    </row>
    <row r="41" spans="2:14" x14ac:dyDescent="0.35">
      <c r="E41" s="15"/>
      <c r="H41" s="15"/>
    </row>
    <row r="42" spans="2:14" x14ac:dyDescent="0.35">
      <c r="B42" t="s">
        <v>20</v>
      </c>
      <c r="E42" s="4">
        <f>E30</f>
        <v>20174400</v>
      </c>
      <c r="H42" s="4"/>
    </row>
    <row r="43" spans="2:14" x14ac:dyDescent="0.35">
      <c r="B43" t="s">
        <v>33</v>
      </c>
      <c r="E43" s="9">
        <f>+H18-E18</f>
        <v>-14648187</v>
      </c>
    </row>
    <row r="44" spans="2:14" x14ac:dyDescent="0.35">
      <c r="B44" t="s">
        <v>21</v>
      </c>
      <c r="E44" s="4">
        <f>+E42-E43</f>
        <v>34822587</v>
      </c>
      <c r="H44" s="4"/>
      <c r="M44" s="17"/>
    </row>
    <row r="45" spans="2:14" x14ac:dyDescent="0.35">
      <c r="B45" t="s">
        <v>22</v>
      </c>
      <c r="E45" s="17">
        <f>+E44/E40</f>
        <v>0.48546467090925055</v>
      </c>
      <c r="H45" s="4"/>
      <c r="K45" s="18"/>
      <c r="N45" s="17"/>
    </row>
  </sheetData>
  <mergeCells count="2">
    <mergeCell ref="A1:N1"/>
    <mergeCell ref="A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6B2FDCA5E0F4286BAC6B79B3C73BE" ma:contentTypeVersion="6" ma:contentTypeDescription="Create a new document." ma:contentTypeScope="" ma:versionID="c361dac65aaf585faa4a5796004d5552">
  <xsd:schema xmlns:xsd="http://www.w3.org/2001/XMLSchema" xmlns:xs="http://www.w3.org/2001/XMLSchema" xmlns:p="http://schemas.microsoft.com/office/2006/metadata/properties" xmlns:ns2="7f951e58-41a2-4bf3-9155-aa863c7baa62" xmlns:ns3="89a46536-e78d-4d6c-8a03-83d02364c101" targetNamespace="http://schemas.microsoft.com/office/2006/metadata/properties" ma:root="true" ma:fieldsID="469c634806545500d466bf0e737c3950" ns2:_="" ns3:_="">
    <xsd:import namespace="7f951e58-41a2-4bf3-9155-aa863c7baa62"/>
    <xsd:import namespace="89a46536-e78d-4d6c-8a03-83d02364c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51e58-41a2-4bf3-9155-aa863c7ba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46536-e78d-4d6c-8a03-83d02364c10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B46CE4-710D-4B5F-BE74-817F0E7E7B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51e58-41a2-4bf3-9155-aa863c7baa62"/>
    <ds:schemaRef ds:uri="89a46536-e78d-4d6c-8a03-83d02364c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45631C-E08E-4EDA-8A62-2DA46C82579F}">
  <ds:schemaRefs>
    <ds:schemaRef ds:uri="http://schemas.microsoft.com/office/2006/metadata/properties"/>
    <ds:schemaRef ds:uri="http://purl.org/dc/dcmitype/"/>
    <ds:schemaRef ds:uri="http://purl.org/dc/terms/"/>
    <ds:schemaRef ds:uri="7f951e58-41a2-4bf3-9155-aa863c7baa62"/>
    <ds:schemaRef ds:uri="89a46536-e78d-4d6c-8a03-83d02364c101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967A748-C389-4AB7-9021-99B56EF4E3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LGE 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dcterms:created xsi:type="dcterms:W3CDTF">2021-03-19T18:54:32Z</dcterms:created>
  <dcterms:modified xsi:type="dcterms:W3CDTF">2021-03-22T14:31:16Z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0x010100D236B2FDCA5E0F4286BAC6B79B3C73BE</vt:lpwstr>
  </property>
</Properties>
</file>