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7A740FD7-B6F8-4923-B843-A0EF207D3B22}" xr6:coauthVersionLast="45" xr6:coauthVersionMax="46" xr10:uidLastSave="{00000000-0000-0000-0000-000000000000}"/>
  <bookViews>
    <workbookView xWindow="28680" yWindow="-120" windowWidth="29040" windowHeight="15840" xr2:uid="{ECC5CD42-66FF-4037-8629-6C2515AFBDBE}"/>
  </bookViews>
  <sheets>
    <sheet name="Sheet1" sheetId="1" r:id="rId1"/>
  </sheets>
  <definedNames>
    <definedName name="_xlnm.Print_Area" localSheetId="0">Sheet1!$A$1:$K$53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G29" i="1" s="1"/>
  <c r="D48" i="1"/>
  <c r="E47" i="1"/>
  <c r="E46" i="1"/>
  <c r="E45" i="1"/>
  <c r="E44" i="1"/>
  <c r="G34" i="1" s="1"/>
  <c r="C40" i="1"/>
  <c r="J31" i="1" s="1"/>
  <c r="C39" i="1"/>
  <c r="G32" i="1"/>
  <c r="B23" i="1"/>
  <c r="D20" i="1"/>
  <c r="E20" i="1" s="1"/>
  <c r="D19" i="1"/>
  <c r="E19" i="1" s="1"/>
  <c r="D18" i="1"/>
  <c r="E18" i="1" s="1"/>
  <c r="C15" i="1"/>
  <c r="C11" i="1"/>
  <c r="G5" i="1"/>
  <c r="G4" i="1"/>
  <c r="G3" i="1"/>
  <c r="F45" i="1" l="1"/>
  <c r="F47" i="1"/>
  <c r="G28" i="1"/>
  <c r="H29" i="1" s="1"/>
  <c r="B36" i="1"/>
  <c r="F46" i="1"/>
  <c r="C23" i="1"/>
  <c r="H4" i="1"/>
  <c r="H7" i="1"/>
  <c r="H5" i="1"/>
  <c r="C24" i="1"/>
  <c r="H3" i="1"/>
  <c r="H6" i="1"/>
  <c r="C28" i="1"/>
  <c r="F44" i="1"/>
  <c r="B29" i="1"/>
  <c r="C29" i="1" s="1"/>
  <c r="B33" i="1" l="1"/>
  <c r="G33" i="1"/>
  <c r="H28" i="1"/>
  <c r="K44" i="1"/>
  <c r="K47" i="1"/>
  <c r="K45" i="1"/>
  <c r="K46" i="1"/>
  <c r="G35" i="1" l="1"/>
  <c r="H34" i="1" s="1"/>
  <c r="J34" i="1" s="1"/>
  <c r="J35" i="1" s="1"/>
  <c r="G36" i="1"/>
  <c r="H36" i="1" s="1"/>
  <c r="J36" i="1" s="1"/>
  <c r="J37" i="1" s="1"/>
  <c r="J40" i="1" s="1"/>
  <c r="H46" i="1"/>
  <c r="H51" i="1" s="1"/>
  <c r="J46" i="1" s="1"/>
  <c r="H44" i="1"/>
  <c r="H49" i="1" s="1"/>
  <c r="H47" i="1"/>
  <c r="H52" i="1" s="1"/>
  <c r="J47" i="1" s="1"/>
  <c r="H45" i="1"/>
  <c r="H50" i="1" s="1"/>
  <c r="J45" i="1" s="1"/>
  <c r="J44" i="1" l="1"/>
  <c r="H53" i="1"/>
</calcChain>
</file>

<file path=xl/sharedStrings.xml><?xml version="1.0" encoding="utf-8"?>
<sst xmlns="http://schemas.openxmlformats.org/spreadsheetml/2006/main" count="66" uniqueCount="59">
  <si>
    <t>Capital</t>
  </si>
  <si>
    <t>Capital Total</t>
  </si>
  <si>
    <t>OM</t>
  </si>
  <si>
    <t>OM Total</t>
  </si>
  <si>
    <t>Grand Total</t>
  </si>
  <si>
    <t>Annual Non-Fix Maintenance per pole</t>
  </si>
  <si>
    <t>KU Spend</t>
  </si>
  <si>
    <t>NEW BUSINESS/STREET LIGHTING</t>
  </si>
  <si>
    <t>REPAIR / REPLACE DEF ST LIGHTING</t>
  </si>
  <si>
    <t>REPAIR / REP DEF ST LIGHTING</t>
  </si>
  <si>
    <t>Average</t>
  </si>
  <si>
    <t>Forcasted test year</t>
  </si>
  <si>
    <t>Average bulb and PEC cost (burdened)</t>
  </si>
  <si>
    <t>Estimated labor cost / bulb (burdened)</t>
  </si>
  <si>
    <t>Average HID fixture cost (burdened)</t>
  </si>
  <si>
    <t>Fixtures replaced</t>
  </si>
  <si>
    <t>Fix Replace Cost</t>
  </si>
  <si>
    <t>KU lights</t>
  </si>
  <si>
    <t>ODP Lights</t>
  </si>
  <si>
    <t>KU</t>
  </si>
  <si>
    <t>Weighted average invest per unit</t>
  </si>
  <si>
    <t>Total fixture</t>
  </si>
  <si>
    <t>Avg OH Fix Invest per unit</t>
  </si>
  <si>
    <t>OH Fixtures</t>
  </si>
  <si>
    <t>Avg UG Fixture Invest Per unit</t>
  </si>
  <si>
    <t>UG Fixtures</t>
  </si>
  <si>
    <t>Avg UG Pole Invest Per Unit</t>
  </si>
  <si>
    <t>Calculated Present day NBV</t>
  </si>
  <si>
    <t>2020 NBV</t>
  </si>
  <si>
    <t>New Bus Cap poles NBV</t>
  </si>
  <si>
    <t>OH Fix</t>
  </si>
  <si>
    <t>UG Fix</t>
  </si>
  <si>
    <t>Poles</t>
  </si>
  <si>
    <t>Poles NBV</t>
  </si>
  <si>
    <t>Pole Replacement NBV per year</t>
  </si>
  <si>
    <t>Total</t>
  </si>
  <si>
    <t>NBV / pole</t>
  </si>
  <si>
    <t>Total Fix</t>
  </si>
  <si>
    <t>Fix NBV</t>
  </si>
  <si>
    <t>NBV / fix</t>
  </si>
  <si>
    <t>Per Month</t>
  </si>
  <si>
    <t>Estimated NBV</t>
  </si>
  <si>
    <t>Excess Facilities</t>
  </si>
  <si>
    <t>Annual Converison Fee</t>
  </si>
  <si>
    <t>Excess Facilities CIAC</t>
  </si>
  <si>
    <t>Monthly Conversion Fee</t>
  </si>
  <si>
    <t>Pole Type</t>
  </si>
  <si>
    <t>Present Day Invest Per Unit</t>
  </si>
  <si>
    <t># of Poles</t>
  </si>
  <si>
    <t>% of total calcualted present day pole NBV</t>
  </si>
  <si>
    <t>NBV per pole type</t>
  </si>
  <si>
    <t>New Bus NBV per pole type</t>
  </si>
  <si>
    <t>Replacement NBV per year</t>
  </si>
  <si>
    <t>Adjusted Invest per unit</t>
  </si>
  <si>
    <t>Post Top - Decorative Smooth</t>
  </si>
  <si>
    <t>Post Top - Historic Fluted</t>
  </si>
  <si>
    <t>Contemporary</t>
  </si>
  <si>
    <t>Cobra</t>
  </si>
  <si>
    <t>New Bus number of 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</si>
</sst>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\-#,##0.00;#,##0.00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/>
      <right/>
      <top/>
      <bottom style="thin">
        <color rgb="FF9BC2E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3" borderId="0" xfId="0" applyFont="1" applyFill="1"/>
    <xf numFmtId="0" fontId="4" fillId="2" borderId="1" xfId="0" applyFont="1" applyFill="1" applyBorder="1"/>
    <xf numFmtId="0" fontId="4" fillId="3" borderId="1" xfId="0" applyFont="1" applyFill="1" applyBorder="1"/>
    <xf numFmtId="164" fontId="3" fillId="0" borderId="0" xfId="0" applyNumberFormat="1" applyFont="1"/>
    <xf numFmtId="164" fontId="0" fillId="0" borderId="0" xfId="2" applyNumberFormat="1" applyFont="1"/>
    <xf numFmtId="44" fontId="0" fillId="0" borderId="0" xfId="0" applyNumberFormat="1"/>
    <xf numFmtId="9" fontId="0" fillId="0" borderId="0" xfId="3" applyFont="1"/>
    <xf numFmtId="44" fontId="0" fillId="0" borderId="0" xfId="2" applyFont="1"/>
    <xf numFmtId="165" fontId="0" fillId="0" borderId="0" xfId="0" applyNumberFormat="1"/>
    <xf numFmtId="10" fontId="0" fillId="0" borderId="0" xfId="3" applyNumberFormat="1" applyFont="1"/>
    <xf numFmtId="0" fontId="5" fillId="0" borderId="0" xfId="0" applyFont="1"/>
    <xf numFmtId="165" fontId="0" fillId="0" borderId="0" xfId="1" applyNumberFormat="1" applyFont="1"/>
    <xf numFmtId="0" fontId="0" fillId="0" borderId="2" xfId="0" applyBorder="1"/>
    <xf numFmtId="0" fontId="0" fillId="0" borderId="3" xfId="0" applyBorder="1"/>
    <xf numFmtId="44" fontId="0" fillId="0" borderId="4" xfId="0" applyNumberFormat="1" applyBorder="1"/>
    <xf numFmtId="1" fontId="0" fillId="0" borderId="0" xfId="0" applyNumberFormat="1"/>
    <xf numFmtId="0" fontId="0" fillId="0" borderId="5" xfId="0" applyBorder="1"/>
    <xf numFmtId="0" fontId="0" fillId="0" borderId="6" xfId="0" applyBorder="1"/>
    <xf numFmtId="10" fontId="0" fillId="0" borderId="5" xfId="0" applyNumberFormat="1" applyBorder="1"/>
    <xf numFmtId="44" fontId="0" fillId="0" borderId="6" xfId="2" applyFont="1" applyBorder="1"/>
    <xf numFmtId="44" fontId="0" fillId="0" borderId="6" xfId="0" applyNumberFormat="1" applyBorder="1"/>
    <xf numFmtId="166" fontId="0" fillId="0" borderId="0" xfId="0" applyNumberFormat="1"/>
    <xf numFmtId="44" fontId="0" fillId="0" borderId="5" xfId="0" applyNumberFormat="1" applyBorder="1"/>
    <xf numFmtId="44" fontId="0" fillId="0" borderId="7" xfId="0" applyNumberFormat="1" applyBorder="1"/>
    <xf numFmtId="0" fontId="0" fillId="0" borderId="8" xfId="0" applyBorder="1"/>
    <xf numFmtId="44" fontId="0" fillId="0" borderId="9" xfId="0" applyNumberFormat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4" fontId="2" fillId="0" borderId="0" xfId="0" applyNumberFormat="1" applyFont="1"/>
    <xf numFmtId="165" fontId="0" fillId="0" borderId="8" xfId="1" applyNumberFormat="1" applyFon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1626-B592-48D5-9D57-D86C8B7403D6}">
  <sheetPr>
    <pageSetUpPr fitToPage="1"/>
  </sheetPr>
  <dimension ref="A1:M53"/>
  <sheetViews>
    <sheetView tabSelected="1" zoomScaleNormal="100" workbookViewId="0"/>
  </sheetViews>
  <sheetFormatPr defaultRowHeight="14.5" x14ac:dyDescent="0.35"/>
  <cols>
    <col min="1" max="1" width="10" bestFit="1" customWidth="1"/>
    <col min="2" max="2" width="38.54296875" customWidth="1"/>
    <col min="3" max="3" width="34.26953125" bestFit="1" customWidth="1"/>
    <col min="4" max="4" width="31.453125" bestFit="1" customWidth="1"/>
    <col min="5" max="5" width="29.81640625" bestFit="1" customWidth="1"/>
    <col min="6" max="6" width="10.7265625" bestFit="1" customWidth="1"/>
    <col min="7" max="7" width="17.26953125" bestFit="1" customWidth="1"/>
    <col min="8" max="8" width="26.7265625" bestFit="1" customWidth="1"/>
    <col min="9" max="9" width="40.54296875" bestFit="1" customWidth="1"/>
    <col min="10" max="10" width="37.26953125" bestFit="1" customWidth="1"/>
    <col min="11" max="11" width="41.54296875" bestFit="1" customWidth="1"/>
    <col min="12" max="12" width="32.453125" bestFit="1" customWidth="1"/>
    <col min="13" max="13" width="39.26953125" bestFit="1" customWidth="1"/>
  </cols>
  <sheetData>
    <row r="1" spans="1:13" x14ac:dyDescent="0.35">
      <c r="A1" s="1"/>
      <c r="B1" s="2" t="s">
        <v>0</v>
      </c>
      <c r="C1" s="2"/>
      <c r="D1" s="3" t="s">
        <v>1</v>
      </c>
      <c r="E1" s="2" t="s">
        <v>2</v>
      </c>
      <c r="F1" s="3" t="s">
        <v>3</v>
      </c>
      <c r="G1" s="2" t="s">
        <v>4</v>
      </c>
      <c r="H1" s="34" t="s">
        <v>5</v>
      </c>
      <c r="I1" s="34"/>
      <c r="J1" s="34"/>
      <c r="K1" s="34"/>
      <c r="L1" s="34"/>
      <c r="M1" s="34"/>
    </row>
    <row r="2" spans="1:13" x14ac:dyDescent="0.35">
      <c r="A2" s="1" t="s">
        <v>6</v>
      </c>
      <c r="B2" s="4" t="s">
        <v>7</v>
      </c>
      <c r="C2" s="4" t="s">
        <v>8</v>
      </c>
      <c r="D2" s="5"/>
      <c r="E2" s="4" t="s">
        <v>9</v>
      </c>
      <c r="F2" s="5"/>
      <c r="G2" s="4"/>
      <c r="H2" s="34"/>
      <c r="I2" s="34"/>
      <c r="J2" s="34"/>
      <c r="K2" s="34"/>
      <c r="L2" s="34"/>
      <c r="M2" s="34"/>
    </row>
    <row r="3" spans="1:13" x14ac:dyDescent="0.35">
      <c r="A3" s="1">
        <v>2017</v>
      </c>
      <c r="B3" s="6">
        <v>3876402</v>
      </c>
      <c r="C3" s="6">
        <v>3111105</v>
      </c>
      <c r="D3" s="6">
        <v>6987508</v>
      </c>
      <c r="E3" s="6">
        <v>553896</v>
      </c>
      <c r="F3" s="6">
        <v>553896</v>
      </c>
      <c r="G3" s="7">
        <f>SUM(F3,D3)</f>
        <v>7541404</v>
      </c>
      <c r="H3" s="8">
        <f>L3/B23</f>
        <v>0</v>
      </c>
      <c r="I3" s="8"/>
      <c r="J3" s="8"/>
      <c r="K3" s="8"/>
      <c r="L3" s="8"/>
      <c r="M3" s="8"/>
    </row>
    <row r="4" spans="1:13" x14ac:dyDescent="0.35">
      <c r="A4" s="1">
        <v>2018</v>
      </c>
      <c r="B4" s="6">
        <v>3331742</v>
      </c>
      <c r="C4" s="6">
        <v>3182958</v>
      </c>
      <c r="D4" s="6">
        <v>6514701</v>
      </c>
      <c r="E4" s="6">
        <v>499284</v>
      </c>
      <c r="F4" s="6">
        <v>499284</v>
      </c>
      <c r="G4" s="7">
        <f t="shared" ref="G4:G5" si="0">SUM(F4,D4)</f>
        <v>7013985</v>
      </c>
      <c r="H4" s="8">
        <f>L4/B23</f>
        <v>0</v>
      </c>
      <c r="I4" s="8"/>
      <c r="J4" s="8"/>
      <c r="K4" s="8"/>
      <c r="L4" s="8"/>
      <c r="M4" s="8"/>
    </row>
    <row r="5" spans="1:13" x14ac:dyDescent="0.35">
      <c r="A5" s="1">
        <v>2019</v>
      </c>
      <c r="B5" s="6">
        <v>3796529</v>
      </c>
      <c r="C5" s="6">
        <v>4349018</v>
      </c>
      <c r="D5" s="6">
        <v>8145547</v>
      </c>
      <c r="E5" s="6">
        <v>568604</v>
      </c>
      <c r="F5" s="6">
        <v>568604</v>
      </c>
      <c r="G5" s="7">
        <f t="shared" si="0"/>
        <v>8714151</v>
      </c>
      <c r="H5" s="8">
        <f>L5/B23</f>
        <v>0</v>
      </c>
      <c r="I5" s="8"/>
      <c r="J5" s="8"/>
      <c r="K5" s="8"/>
      <c r="L5" s="8"/>
      <c r="M5" s="8"/>
    </row>
    <row r="6" spans="1:13" x14ac:dyDescent="0.35">
      <c r="G6" t="s">
        <v>10</v>
      </c>
      <c r="H6" s="8">
        <f>L6/B23</f>
        <v>0</v>
      </c>
      <c r="I6" s="8"/>
      <c r="J6" s="8"/>
      <c r="K6" s="8"/>
      <c r="L6" s="8"/>
      <c r="M6" s="8"/>
    </row>
    <row r="7" spans="1:13" x14ac:dyDescent="0.35">
      <c r="A7" t="s">
        <v>11</v>
      </c>
      <c r="B7" s="6">
        <v>4467051.25</v>
      </c>
      <c r="C7" s="6">
        <v>4957330.5999999996</v>
      </c>
      <c r="E7" s="6">
        <v>467585.06</v>
      </c>
      <c r="H7" s="8">
        <f>E7/(B23)</f>
        <v>2.7056345656438237</v>
      </c>
      <c r="I7" s="8"/>
      <c r="J7" s="8"/>
      <c r="K7" s="8"/>
      <c r="L7" s="8"/>
      <c r="M7" s="8"/>
    </row>
    <row r="9" spans="1:13" x14ac:dyDescent="0.35">
      <c r="B9" t="s">
        <v>12</v>
      </c>
      <c r="C9" s="8">
        <v>14.537735190600447</v>
      </c>
    </row>
    <row r="10" spans="1:13" x14ac:dyDescent="0.35">
      <c r="B10" t="s">
        <v>13</v>
      </c>
      <c r="C10" s="8">
        <v>55.605000000000004</v>
      </c>
    </row>
    <row r="11" spans="1:13" x14ac:dyDescent="0.35">
      <c r="C11" s="8">
        <f>SUM(C9:C10)</f>
        <v>70.142735190600447</v>
      </c>
    </row>
    <row r="12" spans="1:13" x14ac:dyDescent="0.35">
      <c r="L12" s="9"/>
    </row>
    <row r="13" spans="1:13" x14ac:dyDescent="0.35">
      <c r="B13" t="s">
        <v>14</v>
      </c>
      <c r="C13" s="10">
        <v>229.65</v>
      </c>
      <c r="L13" s="9"/>
    </row>
    <row r="14" spans="1:13" x14ac:dyDescent="0.35">
      <c r="B14" t="s">
        <v>13</v>
      </c>
      <c r="C14" s="8">
        <v>62</v>
      </c>
      <c r="L14" s="9"/>
    </row>
    <row r="15" spans="1:13" x14ac:dyDescent="0.35">
      <c r="C15" s="8">
        <f>SUM(C13:C14)</f>
        <v>291.64999999999998</v>
      </c>
    </row>
    <row r="17" spans="1:11" x14ac:dyDescent="0.35">
      <c r="C17" t="s">
        <v>15</v>
      </c>
      <c r="D17" t="s">
        <v>16</v>
      </c>
    </row>
    <row r="18" spans="1:11" x14ac:dyDescent="0.35">
      <c r="A18">
        <v>2017</v>
      </c>
      <c r="C18">
        <v>1339</v>
      </c>
      <c r="D18" s="8">
        <f>$C$15</f>
        <v>291.64999999999998</v>
      </c>
      <c r="E18" s="8">
        <f>C18*D18</f>
        <v>390519.35</v>
      </c>
    </row>
    <row r="19" spans="1:11" x14ac:dyDescent="0.35">
      <c r="A19">
        <v>2018</v>
      </c>
      <c r="C19">
        <v>1636</v>
      </c>
      <c r="D19" s="8">
        <f t="shared" ref="D19:D20" si="1">$C$15</f>
        <v>291.64999999999998</v>
      </c>
      <c r="E19" s="8">
        <f t="shared" ref="E19:E20" si="2">C19*D19</f>
        <v>477139.39999999997</v>
      </c>
    </row>
    <row r="20" spans="1:11" x14ac:dyDescent="0.35">
      <c r="A20">
        <v>2019</v>
      </c>
      <c r="C20">
        <v>1520</v>
      </c>
      <c r="D20" s="8">
        <f t="shared" si="1"/>
        <v>291.64999999999998</v>
      </c>
      <c r="E20" s="8">
        <f t="shared" si="2"/>
        <v>443307.99999999994</v>
      </c>
    </row>
    <row r="21" spans="1:11" x14ac:dyDescent="0.35">
      <c r="A21" t="s">
        <v>10</v>
      </c>
      <c r="D21" s="8"/>
      <c r="E21" s="8"/>
    </row>
    <row r="23" spans="1:11" x14ac:dyDescent="0.35">
      <c r="A23" t="s">
        <v>17</v>
      </c>
      <c r="B23" s="11">
        <f>B27</f>
        <v>172819</v>
      </c>
      <c r="C23" s="12">
        <f>B23/SUM($B$23:$B$24)</f>
        <v>0.94898659593979429</v>
      </c>
    </row>
    <row r="24" spans="1:11" x14ac:dyDescent="0.35">
      <c r="A24" t="s">
        <v>18</v>
      </c>
      <c r="B24">
        <v>9290</v>
      </c>
      <c r="C24" s="12">
        <f>B24/SUM($B$23:$B$24)</f>
        <v>5.10134040602057E-2</v>
      </c>
    </row>
    <row r="26" spans="1:11" x14ac:dyDescent="0.35">
      <c r="A26" t="s">
        <v>19</v>
      </c>
      <c r="D26" s="13" t="s">
        <v>20</v>
      </c>
    </row>
    <row r="27" spans="1:11" x14ac:dyDescent="0.35">
      <c r="A27" t="s">
        <v>21</v>
      </c>
      <c r="B27" s="11">
        <v>172819</v>
      </c>
      <c r="D27" t="s">
        <v>22</v>
      </c>
      <c r="G27" s="8">
        <v>516.67999999999995</v>
      </c>
    </row>
    <row r="28" spans="1:11" x14ac:dyDescent="0.35">
      <c r="A28" t="s">
        <v>23</v>
      </c>
      <c r="B28" s="14">
        <v>127820</v>
      </c>
      <c r="C28" s="9">
        <f>B28/B27</f>
        <v>0.73961775036309663</v>
      </c>
      <c r="D28" t="s">
        <v>24</v>
      </c>
      <c r="G28" s="8">
        <f>G30-G29</f>
        <v>310.74192345148026</v>
      </c>
      <c r="H28" s="9">
        <f>G28/(G28+G29)</f>
        <v>0.13260302272402502</v>
      </c>
    </row>
    <row r="29" spans="1:11" x14ac:dyDescent="0.35">
      <c r="A29" t="s">
        <v>25</v>
      </c>
      <c r="B29" s="14">
        <f>B27-B28</f>
        <v>44999</v>
      </c>
      <c r="C29" s="9">
        <f>B29/B27</f>
        <v>0.26038224963690337</v>
      </c>
      <c r="D29" t="s">
        <v>26</v>
      </c>
      <c r="G29" s="10">
        <f>E48</f>
        <v>2032.6580765485198</v>
      </c>
      <c r="H29" s="9">
        <f>G29/(G28+G29)</f>
        <v>0.86739697727597498</v>
      </c>
    </row>
    <row r="30" spans="1:11" x14ac:dyDescent="0.35">
      <c r="G30" s="10">
        <v>2343.4</v>
      </c>
    </row>
    <row r="31" spans="1:11" x14ac:dyDescent="0.35">
      <c r="D31" t="s">
        <v>27</v>
      </c>
      <c r="H31" s="15"/>
      <c r="I31" s="16" t="s">
        <v>28</v>
      </c>
      <c r="J31" s="17">
        <f>85256406.84-C39-C40</f>
        <v>73343106.326426998</v>
      </c>
      <c r="K31" s="18"/>
    </row>
    <row r="32" spans="1:11" x14ac:dyDescent="0.35">
      <c r="B32" t="s">
        <v>29</v>
      </c>
      <c r="D32" t="s">
        <v>30</v>
      </c>
      <c r="G32" s="8">
        <f>G27*B28</f>
        <v>66042037.599999994</v>
      </c>
      <c r="H32" s="19"/>
      <c r="J32" s="20"/>
      <c r="K32" s="18"/>
    </row>
    <row r="33" spans="1:11" x14ac:dyDescent="0.35">
      <c r="A33" t="s">
        <v>19</v>
      </c>
      <c r="B33" s="10">
        <f>B7*C29*H29</f>
        <v>1008904.8606614863</v>
      </c>
      <c r="D33" t="s">
        <v>31</v>
      </c>
      <c r="G33" s="8">
        <f>G28*B29</f>
        <v>13983075.813393161</v>
      </c>
      <c r="H33" s="19"/>
      <c r="J33" s="20"/>
      <c r="K33" s="18"/>
    </row>
    <row r="34" spans="1:11" x14ac:dyDescent="0.35">
      <c r="D34" t="s">
        <v>32</v>
      </c>
      <c r="G34" s="8">
        <f>SUM(E44:E47)</f>
        <v>92227794.907235995</v>
      </c>
      <c r="H34" s="21">
        <f>G34/G35</f>
        <v>0.53542082863160989</v>
      </c>
      <c r="I34" t="s">
        <v>33</v>
      </c>
      <c r="J34" s="22">
        <f>J31*H34</f>
        <v>39269426.76371181</v>
      </c>
      <c r="K34" s="18"/>
    </row>
    <row r="35" spans="1:11" x14ac:dyDescent="0.35">
      <c r="B35" t="s">
        <v>34</v>
      </c>
      <c r="D35" t="s">
        <v>35</v>
      </c>
      <c r="G35" s="8">
        <f>SUM(G32:G34)</f>
        <v>172252908.32062915</v>
      </c>
      <c r="H35" s="19"/>
      <c r="I35" t="s">
        <v>36</v>
      </c>
      <c r="J35" s="23">
        <f>J34/B29</f>
        <v>872.6733208229474</v>
      </c>
      <c r="K35" s="18"/>
    </row>
    <row r="36" spans="1:11" x14ac:dyDescent="0.35">
      <c r="A36" t="s">
        <v>19</v>
      </c>
      <c r="B36" s="8">
        <f>G29/43</f>
        <v>47.271118059267906</v>
      </c>
      <c r="D36" t="s">
        <v>37</v>
      </c>
      <c r="G36" s="8">
        <f>SUM(G32:G33)</f>
        <v>80025113.413393155</v>
      </c>
      <c r="H36" s="21">
        <f>G36/G35</f>
        <v>0.46457917136839005</v>
      </c>
      <c r="I36" t="s">
        <v>38</v>
      </c>
      <c r="J36" s="23">
        <f>J31*H36</f>
        <v>34073679.56271518</v>
      </c>
    </row>
    <row r="37" spans="1:11" x14ac:dyDescent="0.35">
      <c r="G37" s="8"/>
      <c r="H37" s="19"/>
      <c r="I37" t="s">
        <v>39</v>
      </c>
      <c r="J37" s="23">
        <f>J36/B27</f>
        <v>197.16396670918812</v>
      </c>
    </row>
    <row r="38" spans="1:11" x14ac:dyDescent="0.35">
      <c r="B38" t="s">
        <v>40</v>
      </c>
      <c r="C38" t="s">
        <v>41</v>
      </c>
      <c r="H38" s="19"/>
      <c r="J38" s="20"/>
    </row>
    <row r="39" spans="1:11" x14ac:dyDescent="0.35">
      <c r="A39" t="s">
        <v>42</v>
      </c>
      <c r="B39" s="24">
        <v>114159.16</v>
      </c>
      <c r="C39" s="10">
        <f>B39/0.0116</f>
        <v>9841306.8965517245</v>
      </c>
      <c r="H39" s="25" t="s">
        <v>43</v>
      </c>
      <c r="J39" s="23">
        <v>60.108637241529678</v>
      </c>
    </row>
    <row r="40" spans="1:11" x14ac:dyDescent="0.35">
      <c r="A40" t="s">
        <v>44</v>
      </c>
      <c r="B40" s="24">
        <v>9738.3700000000008</v>
      </c>
      <c r="C40" s="10">
        <f>B40/0.0047</f>
        <v>2071993.6170212766</v>
      </c>
      <c r="H40" s="26" t="s">
        <v>45</v>
      </c>
      <c r="I40" s="27"/>
      <c r="J40" s="28">
        <f>J39/12</f>
        <v>5.0090531034608068</v>
      </c>
    </row>
    <row r="42" spans="1:11" x14ac:dyDescent="0.35">
      <c r="D42" s="12"/>
      <c r="E42" s="8"/>
      <c r="G42" s="8"/>
    </row>
    <row r="43" spans="1:11" ht="58" x14ac:dyDescent="0.35">
      <c r="B43" t="s">
        <v>46</v>
      </c>
      <c r="C43" s="29" t="s">
        <v>47</v>
      </c>
      <c r="D43" s="29" t="s">
        <v>48</v>
      </c>
      <c r="E43" s="29" t="s">
        <v>27</v>
      </c>
      <c r="F43" s="29" t="s">
        <v>49</v>
      </c>
      <c r="G43" s="29" t="s">
        <v>50</v>
      </c>
      <c r="H43" s="29" t="s">
        <v>51</v>
      </c>
      <c r="I43" s="29" t="s">
        <v>52</v>
      </c>
      <c r="J43" s="30" t="s">
        <v>53</v>
      </c>
      <c r="K43" s="29" t="s">
        <v>5</v>
      </c>
    </row>
    <row r="44" spans="1:11" x14ac:dyDescent="0.35">
      <c r="A44" t="s">
        <v>19</v>
      </c>
      <c r="B44" t="s">
        <v>54</v>
      </c>
      <c r="C44" s="10">
        <v>1485.301152</v>
      </c>
      <c r="D44" s="14">
        <v>7633</v>
      </c>
      <c r="E44" s="8">
        <f>C44*D44</f>
        <v>11337303.693216</v>
      </c>
      <c r="F44" s="12">
        <f>E44/G34</f>
        <v>0.12292719027511412</v>
      </c>
      <c r="G44" s="8">
        <v>4823529.9135434516</v>
      </c>
      <c r="H44" s="8">
        <f>B33*F44</f>
        <v>124021.83977602203</v>
      </c>
      <c r="I44" s="8">
        <v>0</v>
      </c>
      <c r="J44" s="31">
        <f>(SUM(G44:H44)/(D44+H49))+I44</f>
        <v>641.20681095379393</v>
      </c>
      <c r="K44" s="10">
        <f>$H$7</f>
        <v>2.7056345656438237</v>
      </c>
    </row>
    <row r="45" spans="1:11" x14ac:dyDescent="0.35">
      <c r="B45" t="s">
        <v>55</v>
      </c>
      <c r="C45" s="10">
        <v>2509.7923020000003</v>
      </c>
      <c r="D45" s="14">
        <v>1589</v>
      </c>
      <c r="E45" s="8">
        <f>C45*D45</f>
        <v>3988059.9678780003</v>
      </c>
      <c r="F45" s="12">
        <f>E45/G34</f>
        <v>4.324141081210113E-2</v>
      </c>
      <c r="G45" s="8">
        <v>1696746.1640438719</v>
      </c>
      <c r="H45" s="8">
        <f>B33*F45</f>
        <v>43626.46955018898</v>
      </c>
      <c r="I45" s="8">
        <v>0</v>
      </c>
      <c r="J45" s="31">
        <f t="shared" ref="J45:J47" si="3">(SUM(G45:H45)/(D45+H50))+I45</f>
        <v>1083.6691367335372</v>
      </c>
      <c r="K45" s="10">
        <f>$H$7</f>
        <v>2.7056345656438237</v>
      </c>
    </row>
    <row r="46" spans="1:11" x14ac:dyDescent="0.35">
      <c r="B46" t="s">
        <v>56</v>
      </c>
      <c r="C46" s="10">
        <v>2014.2779919999998</v>
      </c>
      <c r="D46" s="14">
        <v>11598</v>
      </c>
      <c r="E46" s="8">
        <f t="shared" ref="E46:E47" si="4">C46*D46</f>
        <v>23361596.151215997</v>
      </c>
      <c r="F46" s="12">
        <f>E46/G34</f>
        <v>0.25330320620495606</v>
      </c>
      <c r="G46" s="8">
        <v>9939343.6845958736</v>
      </c>
      <c r="H46" s="8">
        <f>B33*F46</f>
        <v>255558.83596131892</v>
      </c>
      <c r="I46" s="8">
        <v>0</v>
      </c>
      <c r="J46" s="31">
        <f t="shared" si="3"/>
        <v>869.50128107097601</v>
      </c>
      <c r="K46" s="10">
        <f>$H$7</f>
        <v>2.7056345656438237</v>
      </c>
    </row>
    <row r="47" spans="1:11" x14ac:dyDescent="0.35">
      <c r="B47" t="s">
        <v>57</v>
      </c>
      <c r="C47" s="10">
        <v>2180.622942</v>
      </c>
      <c r="D47" s="32">
        <v>24553</v>
      </c>
      <c r="E47" s="8">
        <f t="shared" si="4"/>
        <v>53540835.094926</v>
      </c>
      <c r="F47" s="12">
        <f>E47/G34</f>
        <v>0.58052819270782874</v>
      </c>
      <c r="G47" s="8">
        <v>22779298.029301923</v>
      </c>
      <c r="H47" s="8">
        <f>B33*F47</f>
        <v>585697.71537395637</v>
      </c>
      <c r="I47" s="8">
        <v>0</v>
      </c>
      <c r="J47" s="31">
        <f t="shared" si="3"/>
        <v>941.30189931012319</v>
      </c>
      <c r="K47" s="10">
        <f>$H$7</f>
        <v>2.7056345656438237</v>
      </c>
    </row>
    <row r="48" spans="1:11" x14ac:dyDescent="0.35">
      <c r="D48" s="11">
        <f>SUM(D44:D47)</f>
        <v>45373</v>
      </c>
      <c r="E48" s="8">
        <f>SUM(E44:E47)/D48</f>
        <v>2032.6580765485198</v>
      </c>
      <c r="H48" t="s">
        <v>58</v>
      </c>
    </row>
    <row r="49" spans="2:8" x14ac:dyDescent="0.35">
      <c r="H49">
        <f>ROUND(H44/C44,0)</f>
        <v>83</v>
      </c>
    </row>
    <row r="50" spans="2:8" x14ac:dyDescent="0.35">
      <c r="B50" s="33"/>
      <c r="H50">
        <f t="shared" ref="H50:H52" si="5">ROUND(H45/C45,0)</f>
        <v>17</v>
      </c>
    </row>
    <row r="51" spans="2:8" x14ac:dyDescent="0.35">
      <c r="B51" s="33"/>
      <c r="H51">
        <f t="shared" si="5"/>
        <v>127</v>
      </c>
    </row>
    <row r="52" spans="2:8" x14ac:dyDescent="0.35">
      <c r="B52" s="33"/>
      <c r="H52" s="27">
        <f t="shared" si="5"/>
        <v>269</v>
      </c>
    </row>
    <row r="53" spans="2:8" x14ac:dyDescent="0.35">
      <c r="B53" s="33"/>
      <c r="H53">
        <f>SUM(H49:H52)</f>
        <v>496</v>
      </c>
    </row>
  </sheetData>
  <mergeCells count="6">
    <mergeCell ref="M1:M2"/>
    <mergeCell ref="H1:H2"/>
    <mergeCell ref="I1:I2"/>
    <mergeCell ref="J1:J2"/>
    <mergeCell ref="K1:K2"/>
    <mergeCell ref="L1:L2"/>
  </mergeCells>
  <pageMargins left="1" right="1" top="1" bottom="1.75" header="0.5" footer="0.5"/>
  <pageSetup scale="50" fitToWidth="2" orientation="landscape" r:id="rId1"/>
  <headerFooter scaleWithDoc="0">
    <oddFooter xml:space="preserve">&amp;R&amp;"Times New Roman,Bold"&amp;12 Case No. 2020-00349
Attachment to Response to LFUCG-2 Question No. 3
Page &amp;P of &amp;N
Seelye
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003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Lexington-Fayette Urban County Govt - LFUCG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B09D7D1D-8EAE-4884-9417-AEEDD4D981AD}"/>
</file>

<file path=customXml/itemProps2.xml><?xml version="1.0" encoding="utf-8"?>
<ds:datastoreItem xmlns:ds="http://schemas.openxmlformats.org/officeDocument/2006/customXml" ds:itemID="{55874637-DA9B-43F1-B849-71C3CD1651F5}"/>
</file>

<file path=customXml/itemProps3.xml><?xml version="1.0" encoding="utf-8"?>
<ds:datastoreItem xmlns:ds="http://schemas.openxmlformats.org/officeDocument/2006/customXml" ds:itemID="{773724D1-5748-4364-94AC-67213585C506}"/>
</file>

<file path=customXml/itemProps4.xml><?xml version="1.0" encoding="utf-8"?>
<ds:datastoreItem xmlns:ds="http://schemas.openxmlformats.org/officeDocument/2006/customXml" ds:itemID="{04123ABD-FBC1-49F5-8FA0-08B7E54E7B11}"/>
</file>

<file path=customXml/itemProps5.xml><?xml version="1.0" encoding="utf-8"?>
<ds:datastoreItem xmlns:ds="http://schemas.openxmlformats.org/officeDocument/2006/customXml" ds:itemID="{2EB918DD-433D-44EF-9450-280E14A1B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2021-02-12T23:14:19Z</dcterms:created>
  <dcterms:modified xsi:type="dcterms:W3CDTF">2021-02-12T23:14:28Z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2021-02-12T23:14:27Z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dcadd96c-2fd4-41ea-9bea-292a2f51ace4</vt:lpwstr>
  </property>
  <property fmtid="{D5CDD505-2E9C-101B-9397-08002B2CF9AE}" pid="8" name="MSIP_Label_d662fcd2-3ff9-4261-9b26-9dd5808d0bb4_ContentBits">
    <vt:lpwstr>0</vt:lpwstr>
  </property>
  <property fmtid="{D5CDD505-2E9C-101B-9397-08002B2CF9AE}" pid="9" name="ContentTypeId">
    <vt:lpwstr>0x0101002D0103853DF7894DB347713A7250CD66</vt:lpwstr>
  </property>
</Properties>
</file>