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C053A69D-EDC9-4C78-89BD-80A30CAF1FF1}" xr6:coauthVersionLast="45" xr6:coauthVersionMax="45" xr10:uidLastSave="{00000000-0000-0000-0000-000000000000}"/>
  <bookViews>
    <workbookView xWindow="-110" yWindow="-110" windowWidth="19420" windowHeight="9800" xr2:uid="{00000000-000D-0000-FFFF-FFFF00000000}"/>
  </bookViews>
  <sheets>
    <sheet name="Terminal Net Salvage" sheetId="14" r:id="rId1"/>
  </sheets>
  <definedNames>
    <definedName name="_xlnm.Print_Titles" localSheetId="0">'Terminal Net Salvage'!$1:$11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" i="14" l="1"/>
  <c r="F61" i="14"/>
  <c r="J61" i="14" s="1"/>
  <c r="L61" i="14" l="1"/>
  <c r="L62" i="14" s="1"/>
  <c r="J62" i="14"/>
  <c r="F41" i="14"/>
  <c r="F73" i="14" l="1"/>
  <c r="F72" i="14"/>
  <c r="F71" i="14"/>
  <c r="F70" i="14"/>
  <c r="F68" i="14"/>
  <c r="F67" i="14"/>
  <c r="F53" i="14"/>
  <c r="F52" i="14"/>
  <c r="F51" i="14"/>
  <c r="F47" i="14"/>
  <c r="F16" i="14" l="1"/>
  <c r="J42" i="14" l="1"/>
  <c r="L42" i="14" s="1"/>
  <c r="J48" i="14"/>
  <c r="L48" i="14" s="1"/>
  <c r="J58" i="14" l="1"/>
  <c r="L58" i="14" s="1"/>
  <c r="J57" i="14"/>
  <c r="L57" i="14" s="1"/>
  <c r="J56" i="14"/>
  <c r="L56" i="14" s="1"/>
  <c r="J55" i="14"/>
  <c r="L55" i="14" s="1"/>
  <c r="J54" i="14"/>
  <c r="L54" i="14" s="1"/>
  <c r="J53" i="14"/>
  <c r="L53" i="14" s="1"/>
  <c r="J52" i="14"/>
  <c r="L52" i="14" s="1"/>
  <c r="J51" i="14"/>
  <c r="L51" i="14" s="1"/>
  <c r="J59" i="14" l="1"/>
  <c r="L59" i="14"/>
  <c r="J41" i="14" l="1"/>
  <c r="L41" i="14" l="1"/>
  <c r="L43" i="14" s="1"/>
  <c r="J43" i="14"/>
  <c r="J69" i="14"/>
  <c r="L69" i="14" s="1"/>
  <c r="J14" i="14" l="1"/>
  <c r="L14" i="14" s="1"/>
  <c r="J20" i="14" l="1"/>
  <c r="L20" i="14" s="1"/>
  <c r="J19" i="14"/>
  <c r="L19" i="14" s="1"/>
  <c r="J18" i="14"/>
  <c r="L18" i="14" s="1"/>
  <c r="J16" i="14"/>
  <c r="L16" i="14" s="1"/>
  <c r="J73" i="14"/>
  <c r="L73" i="14" s="1"/>
  <c r="J72" i="14"/>
  <c r="L72" i="14" s="1"/>
  <c r="J71" i="14"/>
  <c r="L71" i="14" s="1"/>
  <c r="J70" i="14"/>
  <c r="L70" i="14" s="1"/>
  <c r="J68" i="14"/>
  <c r="L68" i="14" s="1"/>
  <c r="J67" i="14"/>
  <c r="L67" i="14" s="1"/>
  <c r="J64" i="14"/>
  <c r="L64" i="14" s="1"/>
  <c r="J47" i="14"/>
  <c r="L47" i="14" s="1"/>
  <c r="J45" i="14"/>
  <c r="L45" i="14" s="1"/>
  <c r="J34" i="14"/>
  <c r="J26" i="14"/>
  <c r="L26" i="14" s="1"/>
  <c r="J25" i="14"/>
  <c r="L25" i="14" s="1"/>
  <c r="J24" i="14"/>
  <c r="L24" i="14" s="1"/>
  <c r="J23" i="14"/>
  <c r="J36" i="14" l="1"/>
  <c r="L34" i="14"/>
  <c r="L36" i="14" s="1"/>
  <c r="L23" i="14"/>
  <c r="L27" i="14" s="1"/>
  <c r="J27" i="14"/>
  <c r="L21" i="14"/>
  <c r="J21" i="14"/>
  <c r="L49" i="14"/>
  <c r="J49" i="14"/>
  <c r="L74" i="14"/>
  <c r="J74" i="14"/>
  <c r="J65" i="14"/>
  <c r="J29" i="14" l="1"/>
  <c r="J78" i="14" s="1"/>
  <c r="J76" i="14"/>
  <c r="L65" i="14"/>
  <c r="L76" i="14" s="1"/>
  <c r="L29" i="14"/>
  <c r="L78" i="14" l="1"/>
  <c r="P62" i="14" l="1"/>
  <c r="P59" i="14"/>
  <c r="P43" i="14"/>
  <c r="P16" i="14"/>
  <c r="P49" i="14"/>
  <c r="P45" i="14"/>
  <c r="P74" i="14"/>
  <c r="P27" i="14"/>
  <c r="P65" i="14" l="1"/>
  <c r="P14" i="14"/>
  <c r="N76" i="14" l="1"/>
  <c r="N36" i="14"/>
  <c r="P34" i="14"/>
  <c r="P21" i="14" l="1"/>
  <c r="N29" i="14"/>
  <c r="N78" i="14" s="1"/>
</calcChain>
</file>

<file path=xl/sharedStrings.xml><?xml version="1.0" encoding="utf-8"?>
<sst xmlns="http://schemas.openxmlformats.org/spreadsheetml/2006/main" count="80" uniqueCount="70">
  <si>
    <t>(1)</t>
  </si>
  <si>
    <t>SYSTEM LABORATORY</t>
  </si>
  <si>
    <t>DIX DAM</t>
  </si>
  <si>
    <t>CANE RUN CC 7</t>
  </si>
  <si>
    <t xml:space="preserve">  DECOMMISSIONING COSTS RELATED TO GENERATING UNITS</t>
  </si>
  <si>
    <t>ESTIMATED</t>
  </si>
  <si>
    <t>TOTAL</t>
  </si>
  <si>
    <t>DECOMMISSIONING</t>
  </si>
  <si>
    <t>TERMINAL</t>
  </si>
  <si>
    <t>RETIREMENT</t>
  </si>
  <si>
    <t>COSTS</t>
  </si>
  <si>
    <t>NET</t>
  </si>
  <si>
    <t>UNIT</t>
  </si>
  <si>
    <t>YEAR</t>
  </si>
  <si>
    <t>MW</t>
  </si>
  <si>
    <t>($/KW)</t>
  </si>
  <si>
    <t>(CURRENT $)</t>
  </si>
  <si>
    <t>(FUTURE $)</t>
  </si>
  <si>
    <t>RETIREMENTS</t>
  </si>
  <si>
    <t>SALVAGE (%)</t>
  </si>
  <si>
    <t>(2)</t>
  </si>
  <si>
    <t>(3)</t>
  </si>
  <si>
    <t>(4)</t>
  </si>
  <si>
    <t>(5)=(3)*(4)</t>
  </si>
  <si>
    <t>(6)</t>
  </si>
  <si>
    <t>(7)</t>
  </si>
  <si>
    <t>(8)=(6)/(7)</t>
  </si>
  <si>
    <t>STEAM</t>
  </si>
  <si>
    <t xml:space="preserve">     TOTAL TRIMBLE COUNTY</t>
  </si>
  <si>
    <t>TOTAL STEAM</t>
  </si>
  <si>
    <t>HYDRO</t>
  </si>
  <si>
    <t>TOTAL HYDRO</t>
  </si>
  <si>
    <t>OTHER</t>
  </si>
  <si>
    <t>PADDY'S RUN 13</t>
  </si>
  <si>
    <t>BROWN 5</t>
  </si>
  <si>
    <t>BROWN 6</t>
  </si>
  <si>
    <t>BROWN 7</t>
  </si>
  <si>
    <t xml:space="preserve">     TOTAL BROWN</t>
  </si>
  <si>
    <t>TRIMBLE COUNTY 5</t>
  </si>
  <si>
    <t>TRIMBLE COUNTY 6</t>
  </si>
  <si>
    <t>TRIMBLE COUNTY 7</t>
  </si>
  <si>
    <t>TRIMBLE COUNTY 8</t>
  </si>
  <si>
    <t>TRIMBLE COUNTY 9</t>
  </si>
  <si>
    <t>TRIMBLE COUNTY 10</t>
  </si>
  <si>
    <t>TOTAL OTHER</t>
  </si>
  <si>
    <t>KENTUCKY UTILITIES</t>
  </si>
  <si>
    <t>GHENT 1</t>
  </si>
  <si>
    <t>GHENT 2</t>
  </si>
  <si>
    <t>GHENT 3</t>
  </si>
  <si>
    <t>GHENT 4</t>
  </si>
  <si>
    <t>BROWN 1</t>
  </si>
  <si>
    <t>BROWN 2</t>
  </si>
  <si>
    <t>BROWN 3</t>
  </si>
  <si>
    <t xml:space="preserve">     TOTAL GHENT</t>
  </si>
  <si>
    <t>BROWN 8</t>
  </si>
  <si>
    <t>BROWN 9</t>
  </si>
  <si>
    <t>BROWN 10</t>
  </si>
  <si>
    <t>BROWN 11</t>
  </si>
  <si>
    <t>HAEFLING 1, 2 AND 3</t>
  </si>
  <si>
    <t>TRIMBLE COUNTY GAS PIPELINE</t>
  </si>
  <si>
    <t>BROWN GAS PIPELINE</t>
  </si>
  <si>
    <t>BROWN SOLAR</t>
  </si>
  <si>
    <t xml:space="preserve">     TOTAL BROWN SOLAR</t>
  </si>
  <si>
    <t>TRIMBLE COUNTY UNIT 2</t>
  </si>
  <si>
    <t xml:space="preserve">     TOTAL PADDY'S RUN</t>
  </si>
  <si>
    <t>PADDY'S RUN GAS PIPELINE</t>
  </si>
  <si>
    <t>CANE RUN GAS PIPELINE</t>
  </si>
  <si>
    <t xml:space="preserve">Calculation Year = </t>
  </si>
  <si>
    <t>SIMPSONVILLE SOLAR</t>
  </si>
  <si>
    <t xml:space="preserve">     TOTAL SIMPSONVILLE 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</si>
</sst>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u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/>
  </cellStyleXfs>
  <cellXfs count="54">
    <xf numFmtId="0" fontId="0" fillId="0" borderId="0" xfId="0"/>
    <xf numFmtId="164" fontId="20" fillId="0" borderId="0" xfId="43" applyFont="1" applyFill="1" applyAlignment="1"/>
    <xf numFmtId="164" fontId="21" fillId="0" borderId="0" xfId="43" applyFont="1" applyFill="1" applyAlignment="1"/>
    <xf numFmtId="164" fontId="22" fillId="0" borderId="0" xfId="43" applyFont="1" applyFill="1" applyAlignment="1"/>
    <xf numFmtId="164" fontId="21" fillId="0" borderId="0" xfId="43" applyNumberFormat="1" applyFont="1" applyFill="1" applyAlignment="1">
      <alignment horizontal="center"/>
    </xf>
    <xf numFmtId="164" fontId="21" fillId="0" borderId="0" xfId="43" applyFont="1" applyFill="1" applyAlignment="1">
      <alignment horizontal="center"/>
    </xf>
    <xf numFmtId="164" fontId="22" fillId="0" borderId="0" xfId="43" applyNumberFormat="1" applyFont="1" applyFill="1" applyAlignment="1"/>
    <xf numFmtId="164" fontId="23" fillId="0" borderId="0" xfId="43" applyNumberFormat="1" applyFont="1" applyFill="1" applyAlignment="1">
      <alignment horizontal="center"/>
    </xf>
    <xf numFmtId="164" fontId="24" fillId="0" borderId="0" xfId="43" applyNumberFormat="1" applyFont="1" applyFill="1" applyAlignment="1"/>
    <xf numFmtId="164" fontId="23" fillId="0" borderId="0" xfId="43" applyNumberFormat="1" applyFont="1" applyFill="1" applyAlignment="1"/>
    <xf numFmtId="164" fontId="20" fillId="0" borderId="0" xfId="43" applyFont="1" applyFill="1" applyAlignment="1">
      <alignment vertical="center"/>
    </xf>
    <xf numFmtId="3" fontId="21" fillId="0" borderId="12" xfId="43" quotePrefix="1" applyNumberFormat="1" applyFont="1" applyFill="1" applyBorder="1" applyAlignment="1">
      <alignment horizontal="center" vertical="center"/>
    </xf>
    <xf numFmtId="3" fontId="21" fillId="0" borderId="0" xfId="43" applyNumberFormat="1" applyFont="1" applyFill="1" applyAlignment="1">
      <alignment vertical="center"/>
    </xf>
    <xf numFmtId="3" fontId="22" fillId="0" borderId="0" xfId="43" applyNumberFormat="1" applyFont="1" applyFill="1" applyAlignment="1">
      <alignment vertical="center"/>
    </xf>
    <xf numFmtId="3" fontId="21" fillId="0" borderId="0" xfId="43" applyNumberFormat="1" applyFont="1" applyFill="1"/>
    <xf numFmtId="3" fontId="21" fillId="0" borderId="0" xfId="43" applyNumberFormat="1" applyFont="1" applyFill="1" applyAlignment="1">
      <alignment horizontal="center"/>
    </xf>
    <xf numFmtId="3" fontId="22" fillId="0" borderId="0" xfId="43" applyNumberFormat="1" applyFont="1" applyFill="1"/>
    <xf numFmtId="164" fontId="21" fillId="0" borderId="0" xfId="43" applyNumberFormat="1" applyFont="1" applyFill="1" applyAlignment="1">
      <alignment horizontal="left" indent="1"/>
    </xf>
    <xf numFmtId="164" fontId="21" fillId="0" borderId="0" xfId="43" applyFont="1" applyFill="1"/>
    <xf numFmtId="164" fontId="22" fillId="0" borderId="0" xfId="43" applyFont="1" applyFill="1"/>
    <xf numFmtId="37" fontId="22" fillId="0" borderId="0" xfId="43" applyNumberFormat="1" applyFont="1" applyFill="1" applyAlignment="1"/>
    <xf numFmtId="37" fontId="21" fillId="0" borderId="0" xfId="43" applyNumberFormat="1" applyFont="1" applyFill="1" applyAlignment="1"/>
    <xf numFmtId="164" fontId="20" fillId="0" borderId="0" xfId="43" applyNumberFormat="1" applyFont="1" applyFill="1" applyAlignment="1">
      <alignment horizontal="left"/>
    </xf>
    <xf numFmtId="164" fontId="25" fillId="0" borderId="0" xfId="43" applyFont="1" applyFill="1" applyAlignment="1"/>
    <xf numFmtId="37" fontId="20" fillId="0" borderId="0" xfId="43" applyNumberFormat="1" applyFont="1" applyFill="1" applyAlignment="1">
      <alignment horizontal="center"/>
    </xf>
    <xf numFmtId="37" fontId="25" fillId="0" borderId="0" xfId="43" applyNumberFormat="1" applyFont="1" applyFill="1" applyAlignment="1"/>
    <xf numFmtId="37" fontId="20" fillId="0" borderId="0" xfId="43" applyNumberFormat="1" applyFont="1" applyFill="1" applyAlignment="1"/>
    <xf numFmtId="37" fontId="20" fillId="0" borderId="1" xfId="43" applyNumberFormat="1" applyFont="1" applyFill="1" applyBorder="1" applyAlignment="1"/>
    <xf numFmtId="0" fontId="20" fillId="0" borderId="0" xfId="43" applyNumberFormat="1" applyFont="1" applyFill="1" applyAlignment="1"/>
    <xf numFmtId="37" fontId="21" fillId="0" borderId="0" xfId="43" applyNumberFormat="1" applyFont="1" applyFill="1" applyBorder="1" applyAlignment="1"/>
    <xf numFmtId="164" fontId="20" fillId="0" borderId="0" xfId="43" applyFont="1" applyFill="1" applyAlignment="1">
      <alignment horizontal="left"/>
    </xf>
    <xf numFmtId="37" fontId="20" fillId="0" borderId="0" xfId="43" applyNumberFormat="1" applyFont="1" applyFill="1" applyBorder="1" applyAlignment="1"/>
    <xf numFmtId="0" fontId="0" fillId="0" borderId="0" xfId="0" applyFill="1"/>
    <xf numFmtId="0" fontId="0" fillId="0" borderId="0" xfId="0" applyFill="1" applyAlignment="1">
      <alignment horizontal="left"/>
    </xf>
    <xf numFmtId="37" fontId="0" fillId="0" borderId="0" xfId="0" applyNumberFormat="1" applyFill="1" applyAlignment="1"/>
    <xf numFmtId="164" fontId="20" fillId="0" borderId="0" xfId="43" applyFont="1" applyFill="1" applyBorder="1" applyAlignment="1"/>
    <xf numFmtId="0" fontId="0" fillId="0" borderId="0" xfId="0" quotePrefix="1" applyFill="1"/>
    <xf numFmtId="37" fontId="20" fillId="0" borderId="11" xfId="43" applyNumberFormat="1" applyFont="1" applyFill="1" applyBorder="1" applyAlignment="1"/>
    <xf numFmtId="37" fontId="21" fillId="0" borderId="1" xfId="43" applyNumberFormat="1" applyFont="1" applyFill="1" applyBorder="1" applyAlignment="1"/>
    <xf numFmtId="164" fontId="21" fillId="0" borderId="0" xfId="43" applyFont="1" applyFill="1" applyAlignment="1">
      <alignment horizontal="left"/>
    </xf>
    <xf numFmtId="0" fontId="16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37" fontId="0" fillId="0" borderId="0" xfId="0" applyNumberFormat="1" applyFill="1" applyAlignment="1">
      <alignment horizontal="center"/>
    </xf>
    <xf numFmtId="164" fontId="21" fillId="0" borderId="0" xfId="43" applyNumberFormat="1" applyFont="1" applyFill="1" applyAlignment="1">
      <alignment horizontal="center"/>
    </xf>
    <xf numFmtId="0" fontId="20" fillId="0" borderId="0" xfId="43" applyNumberFormat="1" applyFont="1" applyFill="1" applyAlignment="1">
      <alignment horizontal="center"/>
    </xf>
    <xf numFmtId="164" fontId="20" fillId="0" borderId="0" xfId="43" applyFont="1" applyFill="1" applyAlignment="1">
      <alignment horizontal="center"/>
    </xf>
    <xf numFmtId="3" fontId="22" fillId="0" borderId="0" xfId="43" applyNumberFormat="1" applyFont="1" applyFill="1" applyAlignment="1">
      <alignment horizontal="center"/>
    </xf>
    <xf numFmtId="37" fontId="22" fillId="0" borderId="0" xfId="43" applyNumberFormat="1" applyFont="1" applyFill="1" applyAlignment="1">
      <alignment horizontal="center"/>
    </xf>
    <xf numFmtId="37" fontId="21" fillId="0" borderId="0" xfId="43" applyNumberFormat="1" applyFont="1" applyFill="1" applyAlignment="1">
      <alignment horizontal="center"/>
    </xf>
    <xf numFmtId="3" fontId="21" fillId="0" borderId="12" xfId="43" applyNumberFormat="1" applyFont="1" applyFill="1" applyBorder="1" applyAlignment="1">
      <alignment horizontal="center" vertical="center"/>
    </xf>
    <xf numFmtId="164" fontId="23" fillId="0" borderId="0" xfId="43" quotePrefix="1" applyNumberFormat="1" applyFont="1" applyFill="1" applyAlignment="1">
      <alignment horizontal="center"/>
    </xf>
    <xf numFmtId="3" fontId="20" fillId="0" borderId="0" xfId="43" applyNumberFormat="1" applyFont="1" applyFill="1" applyAlignment="1">
      <alignment horizontal="center"/>
    </xf>
    <xf numFmtId="164" fontId="21" fillId="0" borderId="0" xfId="43" applyNumberFormat="1" applyFont="1" applyFill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4" xfId="43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83"/>
  <sheetViews>
    <sheetView tabSelected="1" zoomScaleNormal="100" workbookViewId="0"/>
  </sheetViews>
  <sheetFormatPr defaultColWidth="9.1796875" defaultRowHeight="14.5" x14ac:dyDescent="0.35"/>
  <cols>
    <col min="1" max="1" width="9.1796875" style="32"/>
    <col min="2" max="2" width="33.26953125" style="32" bestFit="1" customWidth="1"/>
    <col min="3" max="3" width="5" style="32" bestFit="1" customWidth="1"/>
    <col min="4" max="4" width="11.26953125" style="32" bestFit="1" customWidth="1"/>
    <col min="5" max="5" width="2.7265625" style="32" customWidth="1"/>
    <col min="6" max="6" width="9.1796875" style="32"/>
    <col min="7" max="7" width="2.7265625" style="32" customWidth="1"/>
    <col min="8" max="8" width="16.81640625" style="32" bestFit="1" customWidth="1"/>
    <col min="9" max="9" width="2.7265625" style="32" customWidth="1"/>
    <col min="10" max="10" width="16.81640625" style="32" bestFit="1" customWidth="1"/>
    <col min="11" max="11" width="2.7265625" style="32" customWidth="1"/>
    <col min="12" max="12" width="16.81640625" style="32" bestFit="1" customWidth="1"/>
    <col min="13" max="13" width="2.7265625" style="32" customWidth="1"/>
    <col min="14" max="14" width="13.54296875" style="32" bestFit="1" customWidth="1"/>
    <col min="15" max="15" width="2.7265625" style="32" customWidth="1"/>
    <col min="16" max="16" width="11.54296875" style="32" bestFit="1" customWidth="1"/>
    <col min="17" max="16384" width="9.1796875" style="32"/>
  </cols>
  <sheetData>
    <row r="1" spans="1:16" x14ac:dyDescent="0.35">
      <c r="A1" s="1"/>
      <c r="B1" s="53" t="s">
        <v>45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x14ac:dyDescent="0.35">
      <c r="A2" s="1"/>
      <c r="B2" s="1"/>
      <c r="C2" s="1"/>
      <c r="D2" s="1"/>
      <c r="E2" s="1"/>
      <c r="F2" s="1"/>
      <c r="G2" s="1"/>
      <c r="H2" s="46"/>
      <c r="I2" s="1"/>
      <c r="J2" s="1"/>
      <c r="K2" s="1"/>
      <c r="L2" s="1"/>
      <c r="M2" s="1"/>
      <c r="N2" s="1"/>
      <c r="O2" s="1"/>
      <c r="P2" s="1"/>
    </row>
    <row r="3" spans="1:16" x14ac:dyDescent="0.35">
      <c r="A3" s="1"/>
      <c r="B3" s="53" t="s">
        <v>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x14ac:dyDescent="0.35">
      <c r="A4" s="1"/>
      <c r="B4" s="1"/>
      <c r="C4" s="1"/>
      <c r="D4" s="1"/>
      <c r="E4" s="1"/>
      <c r="F4" s="1"/>
      <c r="G4" s="1"/>
      <c r="H4" s="46"/>
      <c r="I4" s="1"/>
      <c r="J4" s="1"/>
      <c r="K4" s="1"/>
      <c r="L4" s="1"/>
      <c r="M4" s="1"/>
      <c r="N4" s="1"/>
      <c r="O4" s="1"/>
      <c r="P4" s="1"/>
    </row>
    <row r="5" spans="1:16" x14ac:dyDescent="0.35">
      <c r="A5" s="1"/>
      <c r="B5" s="1"/>
      <c r="C5" s="1"/>
      <c r="D5" s="1"/>
      <c r="E5" s="1"/>
      <c r="F5" s="1"/>
      <c r="G5" s="1"/>
      <c r="H5" s="46"/>
      <c r="I5" s="1"/>
      <c r="J5" s="1"/>
      <c r="K5" s="1"/>
      <c r="L5" s="1"/>
      <c r="M5" s="1"/>
      <c r="N5" s="1"/>
      <c r="O5" s="1"/>
      <c r="P5" s="1"/>
    </row>
    <row r="6" spans="1:16" x14ac:dyDescent="0.35">
      <c r="A6" s="1"/>
      <c r="B6" s="2"/>
      <c r="C6" s="2"/>
      <c r="D6" s="2"/>
      <c r="E6" s="2"/>
      <c r="F6" s="2"/>
      <c r="G6" s="3"/>
      <c r="H6" s="44" t="s">
        <v>5</v>
      </c>
      <c r="I6" s="2"/>
      <c r="J6" s="5" t="s">
        <v>6</v>
      </c>
      <c r="K6" s="3"/>
      <c r="L6" s="5" t="s">
        <v>6</v>
      </c>
      <c r="M6" s="2"/>
      <c r="N6" s="2"/>
      <c r="O6" s="2"/>
      <c r="P6" s="2"/>
    </row>
    <row r="7" spans="1:16" x14ac:dyDescent="0.35">
      <c r="A7" s="1"/>
      <c r="B7" s="2"/>
      <c r="C7" s="2"/>
      <c r="D7" s="44" t="s">
        <v>5</v>
      </c>
      <c r="E7" s="2"/>
      <c r="F7" s="2"/>
      <c r="G7" s="3"/>
      <c r="H7" s="44" t="s">
        <v>7</v>
      </c>
      <c r="I7" s="2"/>
      <c r="J7" s="44" t="s">
        <v>7</v>
      </c>
      <c r="K7" s="3"/>
      <c r="L7" s="4" t="s">
        <v>7</v>
      </c>
      <c r="M7" s="2"/>
      <c r="N7" s="44" t="s">
        <v>5</v>
      </c>
      <c r="O7" s="2"/>
      <c r="P7" s="4" t="s">
        <v>8</v>
      </c>
    </row>
    <row r="8" spans="1:16" x14ac:dyDescent="0.35">
      <c r="A8" s="1"/>
      <c r="B8" s="2"/>
      <c r="C8" s="2"/>
      <c r="D8" s="44" t="s">
        <v>9</v>
      </c>
      <c r="E8" s="2"/>
      <c r="F8" s="2"/>
      <c r="G8" s="3"/>
      <c r="H8" s="44" t="s">
        <v>10</v>
      </c>
      <c r="I8" s="2"/>
      <c r="J8" s="44" t="s">
        <v>10</v>
      </c>
      <c r="K8" s="3"/>
      <c r="L8" s="4" t="s">
        <v>10</v>
      </c>
      <c r="M8" s="2"/>
      <c r="N8" s="44" t="s">
        <v>8</v>
      </c>
      <c r="O8" s="2"/>
      <c r="P8" s="5" t="s">
        <v>11</v>
      </c>
    </row>
    <row r="9" spans="1:16" x14ac:dyDescent="0.35">
      <c r="A9" s="1"/>
      <c r="B9" s="4" t="s">
        <v>12</v>
      </c>
      <c r="C9" s="6"/>
      <c r="D9" s="7" t="s">
        <v>13</v>
      </c>
      <c r="E9" s="8"/>
      <c r="F9" s="7" t="s">
        <v>14</v>
      </c>
      <c r="G9" s="8"/>
      <c r="H9" s="7" t="s">
        <v>15</v>
      </c>
      <c r="I9" s="9"/>
      <c r="J9" s="7" t="s">
        <v>16</v>
      </c>
      <c r="K9" s="8"/>
      <c r="L9" s="7" t="s">
        <v>17</v>
      </c>
      <c r="M9" s="8"/>
      <c r="N9" s="51" t="s">
        <v>18</v>
      </c>
      <c r="O9" s="8"/>
      <c r="P9" s="7" t="s">
        <v>19</v>
      </c>
    </row>
    <row r="10" spans="1:16" x14ac:dyDescent="0.35">
      <c r="A10" s="10"/>
      <c r="B10" s="11" t="s">
        <v>0</v>
      </c>
      <c r="C10" s="12"/>
      <c r="D10" s="11" t="s">
        <v>20</v>
      </c>
      <c r="E10" s="12"/>
      <c r="F10" s="11" t="s">
        <v>21</v>
      </c>
      <c r="G10" s="13"/>
      <c r="H10" s="11" t="s">
        <v>22</v>
      </c>
      <c r="I10" s="13"/>
      <c r="J10" s="50" t="s">
        <v>23</v>
      </c>
      <c r="K10" s="13"/>
      <c r="L10" s="11" t="s">
        <v>24</v>
      </c>
      <c r="M10" s="12"/>
      <c r="N10" s="11" t="s">
        <v>25</v>
      </c>
      <c r="O10" s="12"/>
      <c r="P10" s="11" t="s">
        <v>26</v>
      </c>
    </row>
    <row r="11" spans="1:16" x14ac:dyDescent="0.35">
      <c r="A11" s="1"/>
      <c r="B11" s="14"/>
      <c r="C11" s="14"/>
      <c r="D11" s="15"/>
      <c r="E11" s="14"/>
      <c r="F11" s="15"/>
      <c r="G11" s="16"/>
      <c r="H11" s="47"/>
      <c r="I11" s="16"/>
      <c r="J11" s="16"/>
      <c r="K11" s="16"/>
      <c r="L11" s="14"/>
      <c r="M11" s="14"/>
      <c r="N11" s="15"/>
      <c r="O11" s="14"/>
      <c r="P11" s="15"/>
    </row>
    <row r="12" spans="1:16" x14ac:dyDescent="0.35">
      <c r="A12" s="1"/>
      <c r="B12" s="17" t="s">
        <v>27</v>
      </c>
      <c r="C12" s="18"/>
      <c r="D12" s="18"/>
      <c r="E12" s="18"/>
      <c r="F12" s="5"/>
      <c r="G12" s="19"/>
      <c r="H12" s="48"/>
      <c r="I12" s="20"/>
      <c r="J12" s="20"/>
      <c r="K12" s="20"/>
      <c r="L12" s="21"/>
      <c r="M12" s="21"/>
      <c r="N12" s="21"/>
      <c r="O12" s="18"/>
      <c r="P12" s="18"/>
    </row>
    <row r="13" spans="1:16" x14ac:dyDescent="0.35">
      <c r="A13" s="1"/>
      <c r="B13" s="17"/>
      <c r="C13" s="18"/>
      <c r="D13" s="18"/>
      <c r="E13" s="18"/>
      <c r="F13" s="5"/>
      <c r="G13" s="19"/>
      <c r="H13" s="48"/>
      <c r="I13" s="20"/>
      <c r="J13" s="20"/>
      <c r="K13" s="20"/>
      <c r="L13" s="21"/>
      <c r="M13" s="21"/>
      <c r="N13" s="21"/>
      <c r="O13" s="18"/>
      <c r="P13" s="18"/>
    </row>
    <row r="14" spans="1:16" x14ac:dyDescent="0.35">
      <c r="A14" s="1"/>
      <c r="B14" s="22" t="s">
        <v>1</v>
      </c>
      <c r="C14" s="1"/>
      <c r="D14" s="45">
        <v>2040</v>
      </c>
      <c r="E14" s="1"/>
      <c r="F14" s="52">
        <v>0</v>
      </c>
      <c r="G14" s="23"/>
      <c r="H14" s="24">
        <v>40</v>
      </c>
      <c r="I14" s="25"/>
      <c r="J14" s="26">
        <f>ROUND((F14*H14*1000),0)</f>
        <v>0</v>
      </c>
      <c r="K14" s="25"/>
      <c r="L14" s="26">
        <f>ROUND((J14*(1.025^(D14-$C$81))),0)</f>
        <v>0</v>
      </c>
      <c r="M14" s="26"/>
      <c r="N14" s="26">
        <v>-4808654.07</v>
      </c>
      <c r="O14" s="1"/>
      <c r="P14" s="24">
        <f t="shared" ref="P14" si="0">ROUND(L14/N14*100,0)</f>
        <v>0</v>
      </c>
    </row>
    <row r="15" spans="1:16" x14ac:dyDescent="0.35">
      <c r="A15" s="1"/>
      <c r="B15" s="22"/>
      <c r="C15" s="1"/>
      <c r="D15" s="45"/>
      <c r="E15" s="1"/>
      <c r="F15" s="52"/>
      <c r="G15" s="23"/>
      <c r="H15" s="24"/>
      <c r="I15" s="25"/>
      <c r="J15" s="26"/>
      <c r="K15" s="25"/>
      <c r="L15" s="26"/>
      <c r="M15" s="26"/>
      <c r="N15" s="26"/>
      <c r="O15" s="1"/>
      <c r="P15" s="24"/>
    </row>
    <row r="16" spans="1:16" x14ac:dyDescent="0.35">
      <c r="A16" s="1"/>
      <c r="B16" s="22" t="s">
        <v>63</v>
      </c>
      <c r="C16" s="1"/>
      <c r="D16" s="45">
        <v>2066</v>
      </c>
      <c r="E16" s="1"/>
      <c r="F16" s="52">
        <f>ROUND(0.6075*628.5,0)</f>
        <v>382</v>
      </c>
      <c r="G16" s="23"/>
      <c r="H16" s="24">
        <v>40</v>
      </c>
      <c r="I16" s="25"/>
      <c r="J16" s="26">
        <f>ROUND((F16*H16*1000),0)</f>
        <v>15280000</v>
      </c>
      <c r="K16" s="25"/>
      <c r="L16" s="26">
        <f>ROUND((J16*(1.025^(D16-$C$81))),0)</f>
        <v>47579641</v>
      </c>
      <c r="M16" s="26"/>
      <c r="N16" s="26">
        <v>-707149753.68000007</v>
      </c>
      <c r="O16" s="1"/>
      <c r="P16" s="24">
        <f t="shared" ref="P16" si="1">ROUND(L16/N16*100,0)</f>
        <v>-7</v>
      </c>
    </row>
    <row r="17" spans="1:16" x14ac:dyDescent="0.35">
      <c r="A17" s="1"/>
      <c r="B17" s="22"/>
      <c r="C17" s="1"/>
      <c r="D17" s="45"/>
      <c r="E17" s="1"/>
      <c r="F17" s="52"/>
      <c r="G17" s="23"/>
      <c r="H17" s="24"/>
      <c r="I17" s="25"/>
      <c r="J17" s="26"/>
      <c r="K17" s="25"/>
      <c r="L17" s="26"/>
      <c r="M17" s="26"/>
      <c r="N17" s="26"/>
      <c r="O17" s="1"/>
      <c r="P17" s="24"/>
    </row>
    <row r="18" spans="1:16" x14ac:dyDescent="0.35">
      <c r="A18" s="1"/>
      <c r="B18" s="22" t="s">
        <v>50</v>
      </c>
      <c r="C18" s="1"/>
      <c r="D18" s="45">
        <v>2019</v>
      </c>
      <c r="E18" s="1"/>
      <c r="F18" s="52">
        <v>106</v>
      </c>
      <c r="G18" s="23"/>
      <c r="H18" s="24">
        <v>40</v>
      </c>
      <c r="I18" s="25"/>
      <c r="J18" s="26">
        <f t="shared" ref="J18:J20" si="2">ROUND((F18*H18*1000),0)</f>
        <v>4240000</v>
      </c>
      <c r="K18" s="25"/>
      <c r="L18" s="26">
        <f>ROUND((J18*(1.025^(D18-$C$81))),0)</f>
        <v>4136585</v>
      </c>
      <c r="M18" s="26"/>
      <c r="N18" s="26"/>
      <c r="O18" s="1"/>
      <c r="P18" s="24"/>
    </row>
    <row r="19" spans="1:16" x14ac:dyDescent="0.35">
      <c r="A19" s="1"/>
      <c r="B19" s="22" t="s">
        <v>51</v>
      </c>
      <c r="C19" s="1"/>
      <c r="D19" s="45">
        <v>2019</v>
      </c>
      <c r="E19" s="1"/>
      <c r="F19" s="52">
        <v>166</v>
      </c>
      <c r="G19" s="23"/>
      <c r="H19" s="24">
        <v>40</v>
      </c>
      <c r="I19" s="25"/>
      <c r="J19" s="26">
        <f t="shared" si="2"/>
        <v>6640000</v>
      </c>
      <c r="K19" s="25"/>
      <c r="L19" s="26">
        <f>ROUND((J19*(1.025^(D19-$C$81))),0)</f>
        <v>6478049</v>
      </c>
      <c r="M19" s="26"/>
      <c r="N19" s="26"/>
      <c r="O19" s="1"/>
      <c r="P19" s="24"/>
    </row>
    <row r="20" spans="1:16" x14ac:dyDescent="0.35">
      <c r="A20" s="1"/>
      <c r="B20" s="22" t="s">
        <v>52</v>
      </c>
      <c r="C20" s="1"/>
      <c r="D20" s="45">
        <v>2028</v>
      </c>
      <c r="E20" s="1"/>
      <c r="F20" s="52">
        <v>464</v>
      </c>
      <c r="G20" s="23"/>
      <c r="H20" s="24">
        <v>40</v>
      </c>
      <c r="I20" s="25"/>
      <c r="J20" s="27">
        <f t="shared" si="2"/>
        <v>18560000</v>
      </c>
      <c r="K20" s="25"/>
      <c r="L20" s="27">
        <f>ROUND((J20*(1.025^(D20-$C$81))),0)</f>
        <v>22613558</v>
      </c>
      <c r="M20" s="26"/>
      <c r="N20" s="27"/>
      <c r="O20" s="1"/>
      <c r="P20" s="24"/>
    </row>
    <row r="21" spans="1:16" x14ac:dyDescent="0.35">
      <c r="A21" s="1"/>
      <c r="B21" s="22" t="s">
        <v>37</v>
      </c>
      <c r="C21" s="1"/>
      <c r="D21" s="45"/>
      <c r="E21" s="1"/>
      <c r="F21" s="52"/>
      <c r="G21" s="23"/>
      <c r="H21" s="24"/>
      <c r="I21" s="25"/>
      <c r="J21" s="26">
        <f>SUBTOTAL(9,J18:J20)</f>
        <v>29440000</v>
      </c>
      <c r="K21" s="25"/>
      <c r="L21" s="26">
        <f>SUBTOTAL(9,L18:L20)</f>
        <v>33228192</v>
      </c>
      <c r="M21" s="26"/>
      <c r="N21" s="26">
        <v>-980986848.15999985</v>
      </c>
      <c r="O21" s="1"/>
      <c r="P21" s="24">
        <f t="shared" ref="P21" si="3">ROUND(L21/N21*100,0)</f>
        <v>-3</v>
      </c>
    </row>
    <row r="22" spans="1:16" x14ac:dyDescent="0.35">
      <c r="A22" s="1"/>
      <c r="B22" s="22"/>
      <c r="C22" s="1"/>
      <c r="D22" s="45"/>
      <c r="E22" s="1"/>
      <c r="F22" s="52"/>
      <c r="G22" s="23"/>
      <c r="H22" s="24"/>
      <c r="I22" s="25"/>
      <c r="J22" s="26"/>
      <c r="K22" s="25"/>
      <c r="L22" s="26"/>
      <c r="M22" s="26"/>
      <c r="N22" s="26"/>
      <c r="O22" s="1"/>
      <c r="P22" s="24"/>
    </row>
    <row r="23" spans="1:16" x14ac:dyDescent="0.35">
      <c r="A23" s="1"/>
      <c r="B23" s="22" t="s">
        <v>46</v>
      </c>
      <c r="C23" s="1"/>
      <c r="D23" s="45">
        <v>2034</v>
      </c>
      <c r="E23" s="1"/>
      <c r="F23" s="52">
        <v>556.9</v>
      </c>
      <c r="G23" s="23"/>
      <c r="H23" s="24">
        <v>40</v>
      </c>
      <c r="I23" s="25"/>
      <c r="J23" s="26">
        <f t="shared" ref="J23:J26" si="4">ROUND((F23*H23*1000),0)</f>
        <v>22276000</v>
      </c>
      <c r="K23" s="25"/>
      <c r="L23" s="26">
        <f>ROUND((J23*(1.025^(D23-$C$81))),0)</f>
        <v>31475405</v>
      </c>
      <c r="M23" s="26"/>
      <c r="N23" s="26"/>
      <c r="O23" s="1"/>
      <c r="P23" s="24"/>
    </row>
    <row r="24" spans="1:16" x14ac:dyDescent="0.35">
      <c r="A24" s="1"/>
      <c r="B24" s="22" t="s">
        <v>47</v>
      </c>
      <c r="C24" s="1"/>
      <c r="D24" s="45">
        <v>2034</v>
      </c>
      <c r="E24" s="1"/>
      <c r="F24" s="52">
        <v>556.4</v>
      </c>
      <c r="G24" s="23"/>
      <c r="H24" s="24">
        <v>40</v>
      </c>
      <c r="I24" s="25"/>
      <c r="J24" s="26">
        <f t="shared" si="4"/>
        <v>22256000</v>
      </c>
      <c r="K24" s="25"/>
      <c r="L24" s="26">
        <f>ROUND((J24*(1.025^(D24-$C$81))),0)</f>
        <v>31447145</v>
      </c>
      <c r="M24" s="26"/>
      <c r="N24" s="26"/>
      <c r="O24" s="1"/>
      <c r="P24" s="24"/>
    </row>
    <row r="25" spans="1:16" x14ac:dyDescent="0.35">
      <c r="A25" s="1"/>
      <c r="B25" s="22" t="s">
        <v>48</v>
      </c>
      <c r="C25" s="1"/>
      <c r="D25" s="45">
        <v>2037</v>
      </c>
      <c r="E25" s="1"/>
      <c r="F25" s="52">
        <v>556.6</v>
      </c>
      <c r="G25" s="23"/>
      <c r="H25" s="24">
        <v>40</v>
      </c>
      <c r="I25" s="25"/>
      <c r="J25" s="26">
        <f t="shared" si="4"/>
        <v>22264000</v>
      </c>
      <c r="K25" s="25"/>
      <c r="L25" s="26">
        <f>ROUND((J25*(1.025^(D25-$C$81))),0)</f>
        <v>33877309</v>
      </c>
      <c r="M25" s="26"/>
      <c r="N25" s="26"/>
      <c r="O25" s="1"/>
      <c r="P25" s="24"/>
    </row>
    <row r="26" spans="1:16" x14ac:dyDescent="0.35">
      <c r="A26" s="1"/>
      <c r="B26" s="22" t="s">
        <v>49</v>
      </c>
      <c r="C26" s="1"/>
      <c r="D26" s="45">
        <v>2037</v>
      </c>
      <c r="E26" s="1"/>
      <c r="F26" s="52">
        <v>556.20000000000005</v>
      </c>
      <c r="G26" s="23"/>
      <c r="H26" s="24">
        <v>40</v>
      </c>
      <c r="I26" s="25"/>
      <c r="J26" s="27">
        <f t="shared" si="4"/>
        <v>22248000</v>
      </c>
      <c r="K26" s="25"/>
      <c r="L26" s="27">
        <f>ROUND((J26*(1.025^(D26-$C$81))),0)</f>
        <v>33852963</v>
      </c>
      <c r="M26" s="26"/>
      <c r="N26" s="27"/>
      <c r="O26" s="1"/>
      <c r="P26" s="24"/>
    </row>
    <row r="27" spans="1:16" x14ac:dyDescent="0.35">
      <c r="A27" s="1"/>
      <c r="B27" s="22" t="s">
        <v>53</v>
      </c>
      <c r="C27" s="1"/>
      <c r="D27" s="45"/>
      <c r="E27" s="1"/>
      <c r="F27" s="52"/>
      <c r="G27" s="23"/>
      <c r="H27" s="24"/>
      <c r="I27" s="25"/>
      <c r="J27" s="26">
        <f>SUBTOTAL(9,J23:J26)</f>
        <v>89044000</v>
      </c>
      <c r="K27" s="25"/>
      <c r="L27" s="26">
        <f>SUBTOTAL(9,L23:L26)</f>
        <v>130652822</v>
      </c>
      <c r="M27" s="26"/>
      <c r="N27" s="26">
        <v>-2892838248.6699982</v>
      </c>
      <c r="O27" s="1"/>
      <c r="P27" s="24">
        <f t="shared" ref="P27" si="5">ROUND(L27/N27*100,0)</f>
        <v>-5</v>
      </c>
    </row>
    <row r="28" spans="1:16" x14ac:dyDescent="0.35">
      <c r="A28" s="1"/>
      <c r="B28" s="22"/>
      <c r="C28" s="1"/>
      <c r="D28" s="45"/>
      <c r="E28" s="1"/>
      <c r="F28" s="52"/>
      <c r="G28" s="23"/>
      <c r="H28" s="24"/>
      <c r="I28" s="25"/>
      <c r="J28" s="26"/>
      <c r="K28" s="25"/>
      <c r="L28" s="26"/>
      <c r="M28" s="26"/>
      <c r="N28" s="26"/>
      <c r="O28" s="1"/>
      <c r="P28" s="24"/>
    </row>
    <row r="29" spans="1:16" x14ac:dyDescent="0.35">
      <c r="A29" s="1"/>
      <c r="B29" s="17" t="s">
        <v>29</v>
      </c>
      <c r="C29" s="1"/>
      <c r="D29" s="28"/>
      <c r="E29" s="28"/>
      <c r="F29" s="15"/>
      <c r="G29" s="2"/>
      <c r="H29" s="24"/>
      <c r="I29" s="21"/>
      <c r="J29" s="29">
        <f>SUBTOTAL(9,J12:J28)</f>
        <v>133764000</v>
      </c>
      <c r="K29" s="29"/>
      <c r="L29" s="29">
        <f>SUBTOTAL(9,L12:L28)</f>
        <v>211460655</v>
      </c>
      <c r="M29" s="29"/>
      <c r="N29" s="29">
        <f>SUBTOTAL(9,N12:N28)</f>
        <v>-4585783504.579998</v>
      </c>
      <c r="O29" s="4"/>
      <c r="P29" s="24"/>
    </row>
    <row r="30" spans="1:16" x14ac:dyDescent="0.35">
      <c r="A30" s="1"/>
      <c r="B30" s="30"/>
      <c r="C30" s="1"/>
      <c r="D30" s="1"/>
      <c r="E30" s="1"/>
      <c r="F30" s="1"/>
      <c r="G30" s="1"/>
      <c r="H30" s="24"/>
      <c r="I30" s="26"/>
      <c r="J30" s="31"/>
      <c r="K30" s="31"/>
      <c r="L30" s="31"/>
      <c r="M30" s="31"/>
      <c r="N30" s="31"/>
      <c r="O30" s="1"/>
      <c r="P30" s="24"/>
    </row>
    <row r="31" spans="1:16" x14ac:dyDescent="0.35">
      <c r="A31" s="1"/>
      <c r="B31" s="30"/>
      <c r="C31" s="1"/>
      <c r="D31" s="1"/>
      <c r="E31" s="1"/>
      <c r="F31" s="1"/>
      <c r="G31" s="1"/>
      <c r="H31" s="24"/>
      <c r="I31" s="26"/>
      <c r="J31" s="31"/>
      <c r="K31" s="31"/>
      <c r="L31" s="31"/>
      <c r="M31" s="31"/>
      <c r="N31" s="31"/>
      <c r="O31" s="1"/>
      <c r="P31" s="24"/>
    </row>
    <row r="32" spans="1:16" x14ac:dyDescent="0.35">
      <c r="A32" s="1"/>
      <c r="B32" s="17" t="s">
        <v>30</v>
      </c>
      <c r="C32" s="1"/>
      <c r="D32" s="1"/>
      <c r="E32" s="1"/>
      <c r="F32" s="52"/>
      <c r="G32" s="1"/>
      <c r="H32" s="24"/>
      <c r="I32" s="26"/>
      <c r="J32" s="26"/>
      <c r="K32" s="26"/>
      <c r="L32" s="26"/>
      <c r="M32" s="26"/>
      <c r="N32" s="26"/>
      <c r="O32" s="1"/>
      <c r="P32" s="24"/>
    </row>
    <row r="33" spans="1:16" x14ac:dyDescent="0.35">
      <c r="A33" s="1"/>
      <c r="B33" s="22"/>
      <c r="C33" s="1"/>
      <c r="D33" s="45"/>
      <c r="E33" s="1"/>
      <c r="F33" s="52"/>
      <c r="G33" s="1"/>
      <c r="H33" s="24"/>
      <c r="I33" s="26"/>
      <c r="J33" s="26"/>
      <c r="K33" s="26"/>
      <c r="L33" s="26"/>
      <c r="M33" s="26"/>
      <c r="N33" s="31"/>
      <c r="O33" s="1"/>
      <c r="P33" s="24"/>
    </row>
    <row r="34" spans="1:16" x14ac:dyDescent="0.35">
      <c r="A34" s="1"/>
      <c r="B34" s="22" t="s">
        <v>2</v>
      </c>
      <c r="C34" s="1"/>
      <c r="D34" s="45">
        <v>2041</v>
      </c>
      <c r="E34" s="1"/>
      <c r="F34" s="52">
        <v>33.6</v>
      </c>
      <c r="G34" s="1"/>
      <c r="H34" s="24">
        <v>10</v>
      </c>
      <c r="I34" s="26"/>
      <c r="J34" s="27">
        <f t="shared" ref="J34" si="6">ROUND((F34*H34*1000),0)</f>
        <v>336000</v>
      </c>
      <c r="K34" s="26"/>
      <c r="L34" s="27">
        <f>ROUND((J34*(1.025^(D34-$C$81))),0)</f>
        <v>564340</v>
      </c>
      <c r="M34" s="26"/>
      <c r="N34" s="27">
        <v>-39723278.869999997</v>
      </c>
      <c r="O34" s="1"/>
      <c r="P34" s="24">
        <f t="shared" ref="P34" si="7">ROUND(L34/N34*100,0)</f>
        <v>-1</v>
      </c>
    </row>
    <row r="35" spans="1:16" x14ac:dyDescent="0.35">
      <c r="A35" s="1"/>
      <c r="B35" s="30"/>
      <c r="C35" s="1"/>
      <c r="D35" s="1"/>
      <c r="E35" s="1"/>
      <c r="F35" s="52"/>
      <c r="G35" s="1"/>
      <c r="H35" s="24"/>
      <c r="I35" s="26"/>
      <c r="J35" s="26"/>
      <c r="K35" s="26"/>
      <c r="L35" s="26"/>
      <c r="M35" s="26"/>
      <c r="N35" s="26"/>
      <c r="O35" s="1"/>
      <c r="P35" s="24"/>
    </row>
    <row r="36" spans="1:16" x14ac:dyDescent="0.35">
      <c r="A36" s="1"/>
      <c r="B36" s="17" t="s">
        <v>31</v>
      </c>
      <c r="C36" s="1"/>
      <c r="D36" s="1"/>
      <c r="E36" s="1"/>
      <c r="F36" s="52"/>
      <c r="G36" s="1"/>
      <c r="H36" s="24"/>
      <c r="I36" s="26"/>
      <c r="J36" s="29">
        <f>SUBTOTAL(9,J34:J35)</f>
        <v>336000</v>
      </c>
      <c r="K36" s="26"/>
      <c r="L36" s="21">
        <f>SUBTOTAL(9,L34:L35)</f>
        <v>564340</v>
      </c>
      <c r="M36" s="26"/>
      <c r="N36" s="21">
        <f>SUBTOTAL(9,N34:N35)</f>
        <v>-39723278.869999997</v>
      </c>
      <c r="O36" s="1"/>
      <c r="P36" s="24"/>
    </row>
    <row r="37" spans="1:16" x14ac:dyDescent="0.35">
      <c r="A37" s="1"/>
      <c r="B37" s="30"/>
      <c r="C37" s="1"/>
      <c r="D37" s="1"/>
      <c r="E37" s="1"/>
      <c r="F37" s="52"/>
      <c r="G37" s="1"/>
      <c r="H37" s="24"/>
      <c r="I37" s="26"/>
      <c r="J37" s="26"/>
      <c r="K37" s="26"/>
      <c r="L37" s="26"/>
      <c r="M37" s="26"/>
      <c r="N37" s="26"/>
      <c r="O37" s="1"/>
      <c r="P37" s="24"/>
    </row>
    <row r="38" spans="1:16" x14ac:dyDescent="0.35">
      <c r="A38" s="1"/>
      <c r="B38" s="30"/>
      <c r="C38" s="1"/>
      <c r="D38" s="1"/>
      <c r="E38" s="1"/>
      <c r="F38" s="52"/>
      <c r="G38" s="1"/>
      <c r="H38" s="24"/>
      <c r="I38" s="26"/>
      <c r="J38" s="26"/>
      <c r="K38" s="26"/>
      <c r="L38" s="26"/>
      <c r="M38" s="26"/>
      <c r="N38" s="26"/>
      <c r="O38" s="1"/>
      <c r="P38" s="24"/>
    </row>
    <row r="39" spans="1:16" x14ac:dyDescent="0.35">
      <c r="A39" s="1"/>
      <c r="B39" s="17" t="s">
        <v>32</v>
      </c>
      <c r="C39" s="1"/>
      <c r="D39" s="1"/>
      <c r="E39" s="1"/>
      <c r="F39" s="1"/>
      <c r="G39" s="1"/>
      <c r="H39" s="24"/>
      <c r="I39" s="26"/>
      <c r="J39" s="26"/>
      <c r="K39" s="26"/>
      <c r="L39" s="26"/>
      <c r="M39" s="26"/>
      <c r="N39" s="26"/>
      <c r="O39" s="1"/>
      <c r="P39" s="24"/>
    </row>
    <row r="40" spans="1:16" x14ac:dyDescent="0.35">
      <c r="A40" s="1"/>
      <c r="B40" s="22"/>
      <c r="C40" s="1"/>
      <c r="D40" s="45"/>
      <c r="E40" s="1"/>
      <c r="F40" s="52"/>
      <c r="G40" s="1"/>
      <c r="H40" s="24"/>
      <c r="I40" s="26"/>
      <c r="J40" s="26"/>
      <c r="K40" s="26"/>
      <c r="L40" s="26"/>
      <c r="M40" s="26"/>
      <c r="N40" s="31"/>
      <c r="O40" s="1"/>
      <c r="P40" s="24"/>
    </row>
    <row r="41" spans="1:16" x14ac:dyDescent="0.35">
      <c r="A41" s="1"/>
      <c r="B41" s="22" t="s">
        <v>3</v>
      </c>
      <c r="C41" s="1"/>
      <c r="D41" s="45">
        <v>2055</v>
      </c>
      <c r="E41" s="1"/>
      <c r="F41" s="52">
        <f>ROUND(0.78*808,0)</f>
        <v>630</v>
      </c>
      <c r="G41" s="1"/>
      <c r="H41" s="24">
        <v>20</v>
      </c>
      <c r="I41" s="26"/>
      <c r="J41" s="26">
        <f t="shared" ref="J41" si="8">ROUND((F41*H41*1000),0)</f>
        <v>12600000</v>
      </c>
      <c r="K41" s="26"/>
      <c r="L41" s="26">
        <f t="shared" ref="L41:L42" si="9">ROUND((J41*(1.025^(D41-$C$81))),0)</f>
        <v>29902385</v>
      </c>
      <c r="M41" s="26"/>
      <c r="N41" s="31"/>
      <c r="O41" s="1"/>
      <c r="P41" s="24"/>
    </row>
    <row r="42" spans="1:16" x14ac:dyDescent="0.35">
      <c r="A42" s="1"/>
      <c r="B42" s="22" t="s">
        <v>66</v>
      </c>
      <c r="C42" s="1"/>
      <c r="D42" s="45">
        <v>2055</v>
      </c>
      <c r="E42" s="1"/>
      <c r="F42" s="52">
        <v>0</v>
      </c>
      <c r="G42" s="1"/>
      <c r="H42" s="24">
        <v>20</v>
      </c>
      <c r="I42" s="26"/>
      <c r="J42" s="27">
        <f t="shared" ref="J42" si="10">ROUND((F42*H42*1000),0)</f>
        <v>0</v>
      </c>
      <c r="K42" s="26"/>
      <c r="L42" s="27">
        <f t="shared" si="9"/>
        <v>0</v>
      </c>
      <c r="M42" s="26"/>
      <c r="N42" s="27"/>
      <c r="O42" s="1"/>
      <c r="P42" s="24"/>
    </row>
    <row r="43" spans="1:16" x14ac:dyDescent="0.35">
      <c r="A43" s="1"/>
      <c r="B43" s="22"/>
      <c r="C43" s="1"/>
      <c r="D43" s="45"/>
      <c r="E43" s="1"/>
      <c r="F43" s="52"/>
      <c r="G43" s="1"/>
      <c r="H43" s="24"/>
      <c r="I43" s="26"/>
      <c r="J43" s="26">
        <f>SUBTOTAL(9,J41:J42)</f>
        <v>12600000</v>
      </c>
      <c r="K43" s="26"/>
      <c r="L43" s="26">
        <f>SUBTOTAL(9,L41:L42)</f>
        <v>29902385</v>
      </c>
      <c r="M43" s="26"/>
      <c r="N43" s="31">
        <v>-298562526.48999995</v>
      </c>
      <c r="O43" s="1"/>
      <c r="P43" s="24">
        <f t="shared" ref="P43" si="11">ROUND(L43/N43*100,0)</f>
        <v>-10</v>
      </c>
    </row>
    <row r="44" spans="1:16" x14ac:dyDescent="0.35">
      <c r="A44" s="1"/>
      <c r="B44" s="22"/>
      <c r="C44" s="1"/>
      <c r="D44" s="45"/>
      <c r="E44" s="1"/>
      <c r="F44" s="52"/>
      <c r="G44" s="1"/>
      <c r="H44" s="24"/>
      <c r="I44" s="26"/>
      <c r="J44" s="26"/>
      <c r="K44" s="26"/>
      <c r="L44" s="26"/>
      <c r="M44" s="26"/>
      <c r="N44" s="31"/>
      <c r="O44" s="1"/>
      <c r="P44" s="24"/>
    </row>
    <row r="45" spans="1:16" x14ac:dyDescent="0.35">
      <c r="A45" s="1"/>
      <c r="B45" s="22" t="s">
        <v>58</v>
      </c>
      <c r="C45" s="1"/>
      <c r="D45" s="45">
        <v>2025</v>
      </c>
      <c r="E45" s="1"/>
      <c r="F45" s="52">
        <v>41.4</v>
      </c>
      <c r="G45" s="1"/>
      <c r="H45" s="24">
        <v>10</v>
      </c>
      <c r="I45" s="26"/>
      <c r="J45" s="26">
        <f t="shared" ref="J45" si="12">ROUND((F45*H45*1000),0)</f>
        <v>414000</v>
      </c>
      <c r="K45" s="26"/>
      <c r="L45" s="26">
        <f>ROUND((J45*(1.025^(D45-$C$81))),0)</f>
        <v>468403</v>
      </c>
      <c r="M45" s="26"/>
      <c r="N45" s="31">
        <v>-4044323.78</v>
      </c>
      <c r="O45" s="1"/>
      <c r="P45" s="24">
        <f t="shared" ref="P45:P49" si="13">ROUND(L45/N45*100,0)</f>
        <v>-12</v>
      </c>
    </row>
    <row r="46" spans="1:16" x14ac:dyDescent="0.35">
      <c r="A46" s="1"/>
      <c r="B46" s="22"/>
      <c r="C46" s="1"/>
      <c r="D46" s="45"/>
      <c r="E46" s="1"/>
      <c r="F46" s="52"/>
      <c r="G46" s="1"/>
      <c r="H46" s="24"/>
      <c r="I46" s="26"/>
      <c r="J46" s="26"/>
      <c r="K46" s="26"/>
      <c r="L46" s="26"/>
      <c r="M46" s="26"/>
      <c r="N46" s="31"/>
      <c r="O46" s="1"/>
      <c r="P46" s="24"/>
    </row>
    <row r="47" spans="1:16" x14ac:dyDescent="0.35">
      <c r="A47" s="1"/>
      <c r="B47" s="22" t="s">
        <v>33</v>
      </c>
      <c r="C47" s="1"/>
      <c r="D47" s="45">
        <v>2041</v>
      </c>
      <c r="E47" s="1"/>
      <c r="F47" s="52">
        <f>ROUND(0.47*178.2,0)</f>
        <v>84</v>
      </c>
      <c r="G47" s="1"/>
      <c r="H47" s="24">
        <v>10</v>
      </c>
      <c r="I47" s="26"/>
      <c r="J47" s="31">
        <f t="shared" ref="J47:J48" si="14">ROUND((F47*H47*1000),0)</f>
        <v>840000</v>
      </c>
      <c r="K47" s="31"/>
      <c r="L47" s="31">
        <f t="shared" ref="L47:L48" si="15">ROUND((J47*(1.025^(D47-$C$81))),0)</f>
        <v>1410849</v>
      </c>
      <c r="M47" s="31"/>
      <c r="N47" s="31"/>
      <c r="O47" s="1"/>
      <c r="P47" s="24"/>
    </row>
    <row r="48" spans="1:16" x14ac:dyDescent="0.35">
      <c r="A48" s="1"/>
      <c r="B48" s="22" t="s">
        <v>65</v>
      </c>
      <c r="C48" s="1"/>
      <c r="D48" s="45">
        <v>2041</v>
      </c>
      <c r="E48" s="1"/>
      <c r="F48" s="52">
        <v>0</v>
      </c>
      <c r="G48" s="1"/>
      <c r="H48" s="24">
        <v>10</v>
      </c>
      <c r="I48" s="26"/>
      <c r="J48" s="27">
        <f t="shared" si="14"/>
        <v>0</v>
      </c>
      <c r="K48" s="31"/>
      <c r="L48" s="27">
        <f t="shared" si="15"/>
        <v>0</v>
      </c>
      <c r="M48" s="31"/>
      <c r="N48" s="27"/>
      <c r="O48" s="1"/>
      <c r="P48" s="24"/>
    </row>
    <row r="49" spans="1:16" x14ac:dyDescent="0.35">
      <c r="A49" s="1"/>
      <c r="B49" s="22" t="s">
        <v>64</v>
      </c>
      <c r="C49" s="1"/>
      <c r="D49" s="45"/>
      <c r="E49" s="1"/>
      <c r="F49" s="52"/>
      <c r="G49" s="1"/>
      <c r="H49" s="24"/>
      <c r="I49" s="26"/>
      <c r="J49" s="31">
        <f>SUBTOTAL(9,J47:J48)</f>
        <v>840000</v>
      </c>
      <c r="K49" s="31"/>
      <c r="L49" s="31">
        <f>SUBTOTAL(9,L47:L48)</f>
        <v>1410849</v>
      </c>
      <c r="M49" s="31"/>
      <c r="N49" s="31">
        <v>-30262946.940000001</v>
      </c>
      <c r="O49" s="1"/>
      <c r="P49" s="24">
        <f t="shared" si="13"/>
        <v>-5</v>
      </c>
    </row>
    <row r="50" spans="1:16" x14ac:dyDescent="0.35">
      <c r="A50" s="1"/>
      <c r="B50" s="22"/>
      <c r="C50" s="1"/>
      <c r="D50" s="45"/>
      <c r="E50" s="1"/>
      <c r="F50" s="52"/>
      <c r="G50" s="1"/>
      <c r="H50" s="24"/>
      <c r="I50" s="26"/>
      <c r="J50" s="31"/>
      <c r="K50" s="31"/>
      <c r="L50" s="31"/>
      <c r="M50" s="31"/>
      <c r="N50" s="31"/>
      <c r="O50" s="1"/>
      <c r="P50" s="24"/>
    </row>
    <row r="51" spans="1:16" x14ac:dyDescent="0.35">
      <c r="A51" s="1"/>
      <c r="B51" s="22" t="s">
        <v>34</v>
      </c>
      <c r="C51" s="1"/>
      <c r="D51" s="45">
        <v>2041</v>
      </c>
      <c r="E51" s="1"/>
      <c r="F51" s="52">
        <f>ROUND(0.47*123.3,0)</f>
        <v>58</v>
      </c>
      <c r="G51" s="1"/>
      <c r="H51" s="24">
        <v>10</v>
      </c>
      <c r="I51" s="26"/>
      <c r="J51" s="31">
        <f t="shared" ref="J51:J58" si="16">ROUND((F51*H51*1000),0)</f>
        <v>580000</v>
      </c>
      <c r="K51" s="31"/>
      <c r="L51" s="31">
        <f t="shared" ref="L51:L58" si="17">ROUND((J51*(1.025^(D51-$C$81))),0)</f>
        <v>974157</v>
      </c>
      <c r="M51" s="31"/>
      <c r="N51" s="31"/>
      <c r="O51" s="1"/>
      <c r="P51" s="24"/>
    </row>
    <row r="52" spans="1:16" x14ac:dyDescent="0.35">
      <c r="A52" s="1"/>
      <c r="B52" s="22" t="s">
        <v>35</v>
      </c>
      <c r="C52" s="1"/>
      <c r="D52" s="45">
        <v>2039</v>
      </c>
      <c r="E52" s="1"/>
      <c r="F52" s="52">
        <f>ROUND(0.62*177,0)</f>
        <v>110</v>
      </c>
      <c r="G52" s="1"/>
      <c r="H52" s="24">
        <v>10</v>
      </c>
      <c r="I52" s="26"/>
      <c r="J52" s="31">
        <f t="shared" si="16"/>
        <v>1100000</v>
      </c>
      <c r="K52" s="31"/>
      <c r="L52" s="31">
        <f t="shared" si="17"/>
        <v>1758515</v>
      </c>
      <c r="M52" s="31"/>
      <c r="N52" s="31"/>
      <c r="O52" s="1"/>
      <c r="P52" s="24"/>
    </row>
    <row r="53" spans="1:16" x14ac:dyDescent="0.35">
      <c r="A53" s="1"/>
      <c r="B53" s="22" t="s">
        <v>36</v>
      </c>
      <c r="C53" s="1"/>
      <c r="D53" s="45">
        <v>2039</v>
      </c>
      <c r="E53" s="1"/>
      <c r="F53" s="52">
        <f>ROUND(0.62*177,0)</f>
        <v>110</v>
      </c>
      <c r="G53" s="1"/>
      <c r="H53" s="24">
        <v>10</v>
      </c>
      <c r="I53" s="26"/>
      <c r="J53" s="31">
        <f t="shared" si="16"/>
        <v>1100000</v>
      </c>
      <c r="K53" s="31"/>
      <c r="L53" s="31">
        <f t="shared" si="17"/>
        <v>1758515</v>
      </c>
      <c r="M53" s="31"/>
      <c r="N53" s="31"/>
      <c r="O53" s="1"/>
      <c r="P53" s="24"/>
    </row>
    <row r="54" spans="1:16" x14ac:dyDescent="0.35">
      <c r="A54" s="1"/>
      <c r="B54" s="22" t="s">
        <v>54</v>
      </c>
      <c r="C54" s="1"/>
      <c r="D54" s="45">
        <v>2035</v>
      </c>
      <c r="E54" s="1"/>
      <c r="F54" s="52">
        <v>126</v>
      </c>
      <c r="G54" s="1"/>
      <c r="H54" s="24">
        <v>10</v>
      </c>
      <c r="I54" s="26"/>
      <c r="J54" s="31">
        <f t="shared" si="16"/>
        <v>1260000</v>
      </c>
      <c r="K54" s="31"/>
      <c r="L54" s="31">
        <f t="shared" si="17"/>
        <v>1824856</v>
      </c>
      <c r="M54" s="31"/>
      <c r="N54" s="31"/>
      <c r="O54" s="1"/>
      <c r="P54" s="24"/>
    </row>
    <row r="55" spans="1:16" x14ac:dyDescent="0.35">
      <c r="A55" s="1"/>
      <c r="B55" s="22" t="s">
        <v>55</v>
      </c>
      <c r="C55" s="1"/>
      <c r="D55" s="45">
        <v>2034</v>
      </c>
      <c r="E55" s="1"/>
      <c r="F55" s="52">
        <v>126</v>
      </c>
      <c r="G55" s="1"/>
      <c r="H55" s="24">
        <v>10</v>
      </c>
      <c r="I55" s="26"/>
      <c r="J55" s="31">
        <f t="shared" si="16"/>
        <v>1260000</v>
      </c>
      <c r="K55" s="31"/>
      <c r="L55" s="31">
        <f t="shared" si="17"/>
        <v>1780347</v>
      </c>
      <c r="M55" s="31"/>
      <c r="N55" s="31"/>
      <c r="O55" s="1"/>
      <c r="P55" s="24"/>
    </row>
    <row r="56" spans="1:16" x14ac:dyDescent="0.35">
      <c r="A56" s="1"/>
      <c r="B56" s="22" t="s">
        <v>56</v>
      </c>
      <c r="C56" s="1"/>
      <c r="D56" s="45">
        <v>2035</v>
      </c>
      <c r="E56" s="1"/>
      <c r="F56" s="52">
        <v>126</v>
      </c>
      <c r="G56" s="1"/>
      <c r="H56" s="24">
        <v>10</v>
      </c>
      <c r="I56" s="26"/>
      <c r="J56" s="31">
        <f t="shared" si="16"/>
        <v>1260000</v>
      </c>
      <c r="K56" s="31"/>
      <c r="L56" s="31">
        <f t="shared" si="17"/>
        <v>1824856</v>
      </c>
      <c r="M56" s="31"/>
      <c r="N56" s="31"/>
      <c r="O56" s="1"/>
      <c r="P56" s="24"/>
    </row>
    <row r="57" spans="1:16" x14ac:dyDescent="0.35">
      <c r="A57" s="1"/>
      <c r="B57" s="22" t="s">
        <v>57</v>
      </c>
      <c r="C57" s="1"/>
      <c r="D57" s="45">
        <v>2036</v>
      </c>
      <c r="E57" s="1"/>
      <c r="F57" s="52">
        <v>126</v>
      </c>
      <c r="G57" s="1"/>
      <c r="H57" s="24">
        <v>10</v>
      </c>
      <c r="I57" s="26"/>
      <c r="J57" s="31">
        <f t="shared" si="16"/>
        <v>1260000</v>
      </c>
      <c r="K57" s="31"/>
      <c r="L57" s="31">
        <f t="shared" si="17"/>
        <v>1870477</v>
      </c>
      <c r="M57" s="31"/>
      <c r="N57" s="31"/>
      <c r="O57" s="35"/>
      <c r="P57" s="24"/>
    </row>
    <row r="58" spans="1:16" x14ac:dyDescent="0.35">
      <c r="A58" s="1"/>
      <c r="B58" s="22" t="s">
        <v>60</v>
      </c>
      <c r="C58" s="1"/>
      <c r="D58" s="45">
        <v>2041</v>
      </c>
      <c r="E58" s="1"/>
      <c r="F58" s="52">
        <v>0</v>
      </c>
      <c r="G58" s="1"/>
      <c r="H58" s="24">
        <v>10</v>
      </c>
      <c r="I58" s="26"/>
      <c r="J58" s="27">
        <f t="shared" si="16"/>
        <v>0</v>
      </c>
      <c r="K58" s="31"/>
      <c r="L58" s="27">
        <f t="shared" si="17"/>
        <v>0</v>
      </c>
      <c r="M58" s="31"/>
      <c r="N58" s="27"/>
      <c r="O58" s="1"/>
      <c r="P58" s="24"/>
    </row>
    <row r="59" spans="1:16" x14ac:dyDescent="0.35">
      <c r="A59" s="1"/>
      <c r="B59" s="22" t="s">
        <v>37</v>
      </c>
      <c r="C59" s="1"/>
      <c r="D59" s="45"/>
      <c r="E59" s="1"/>
      <c r="F59" s="52"/>
      <c r="G59" s="1"/>
      <c r="H59" s="24"/>
      <c r="I59" s="26"/>
      <c r="J59" s="31">
        <f>SUBTOTAL(9,J51:J58)</f>
        <v>7820000</v>
      </c>
      <c r="K59" s="31"/>
      <c r="L59" s="31">
        <f>SUBTOTAL(9,L51:L58)</f>
        <v>11791723</v>
      </c>
      <c r="M59" s="31"/>
      <c r="N59" s="31">
        <v>-229898795.94</v>
      </c>
      <c r="O59" s="1"/>
      <c r="P59" s="24">
        <f t="shared" ref="P59" si="18">ROUND(L59/N59*100,0)</f>
        <v>-5</v>
      </c>
    </row>
    <row r="60" spans="1:16" x14ac:dyDescent="0.35">
      <c r="A60" s="1"/>
      <c r="B60" s="22"/>
      <c r="C60" s="1"/>
      <c r="D60" s="45"/>
      <c r="E60" s="1"/>
      <c r="F60" s="52"/>
      <c r="G60" s="1"/>
      <c r="H60" s="24"/>
      <c r="I60" s="26"/>
      <c r="J60" s="31"/>
      <c r="K60" s="31"/>
      <c r="L60" s="31"/>
      <c r="M60" s="31"/>
      <c r="N60" s="31"/>
      <c r="O60" s="1"/>
      <c r="P60" s="24"/>
    </row>
    <row r="61" spans="1:16" x14ac:dyDescent="0.35">
      <c r="A61" s="1"/>
      <c r="B61" s="22" t="s">
        <v>61</v>
      </c>
      <c r="C61" s="1"/>
      <c r="D61" s="45">
        <v>2041</v>
      </c>
      <c r="E61" s="1"/>
      <c r="F61" s="52">
        <f>ROUND(0.61*10,0)</f>
        <v>6</v>
      </c>
      <c r="G61" s="1"/>
      <c r="H61" s="24">
        <v>10</v>
      </c>
      <c r="I61" s="26"/>
      <c r="J61" s="27">
        <f t="shared" ref="J61" si="19">ROUND((F61*H61*1000),0)</f>
        <v>60000</v>
      </c>
      <c r="K61" s="31"/>
      <c r="L61" s="27">
        <f>ROUND((J61*(1.025^(D61-$C$81))),0)</f>
        <v>100775</v>
      </c>
      <c r="M61" s="31"/>
      <c r="N61" s="27"/>
      <c r="O61" s="1"/>
      <c r="P61" s="24"/>
    </row>
    <row r="62" spans="1:16" x14ac:dyDescent="0.35">
      <c r="A62" s="1"/>
      <c r="B62" s="22" t="s">
        <v>62</v>
      </c>
      <c r="C62" s="1"/>
      <c r="D62" s="45"/>
      <c r="E62" s="1"/>
      <c r="F62" s="52"/>
      <c r="G62" s="1"/>
      <c r="H62" s="24"/>
      <c r="I62" s="26"/>
      <c r="J62" s="31">
        <f>SUBTOTAL(9,J61)</f>
        <v>60000</v>
      </c>
      <c r="K62" s="31"/>
      <c r="L62" s="31">
        <f>SUBTOTAL(9,L61)</f>
        <v>100775</v>
      </c>
      <c r="M62" s="31"/>
      <c r="N62" s="31">
        <v>-11103035.510000002</v>
      </c>
      <c r="O62" s="1"/>
      <c r="P62" s="24">
        <f t="shared" ref="P62" si="20">ROUND(L62/N62*100,0)</f>
        <v>-1</v>
      </c>
    </row>
    <row r="63" spans="1:16" x14ac:dyDescent="0.35">
      <c r="A63" s="1"/>
      <c r="B63" s="22"/>
      <c r="C63" s="1"/>
      <c r="D63" s="45"/>
      <c r="E63" s="1"/>
      <c r="F63" s="52"/>
      <c r="G63" s="1"/>
      <c r="H63" s="24"/>
      <c r="I63" s="26"/>
      <c r="J63" s="31"/>
      <c r="K63" s="31"/>
      <c r="L63" s="31"/>
      <c r="M63" s="31"/>
      <c r="N63" s="31"/>
      <c r="O63" s="1"/>
      <c r="P63" s="24"/>
    </row>
    <row r="64" spans="1:16" x14ac:dyDescent="0.35">
      <c r="A64" s="1"/>
      <c r="B64" s="22" t="s">
        <v>68</v>
      </c>
      <c r="C64" s="1"/>
      <c r="D64" s="45">
        <v>2044</v>
      </c>
      <c r="E64" s="1"/>
      <c r="F64" s="52">
        <f>ROUND(0.56*0.4,0)</f>
        <v>0</v>
      </c>
      <c r="G64" s="1"/>
      <c r="H64" s="24">
        <v>10</v>
      </c>
      <c r="I64" s="26"/>
      <c r="J64" s="27">
        <f t="shared" ref="J64" si="21">ROUND((F64*H64*1000),0)</f>
        <v>0</v>
      </c>
      <c r="K64" s="31"/>
      <c r="L64" s="27">
        <f>ROUND((J64*(1.025^(D64-$C$81))),0)</f>
        <v>0</v>
      </c>
      <c r="M64" s="31"/>
      <c r="N64" s="27"/>
      <c r="O64" s="1"/>
      <c r="P64" s="24"/>
    </row>
    <row r="65" spans="1:16" x14ac:dyDescent="0.35">
      <c r="A65" s="1"/>
      <c r="B65" s="22" t="s">
        <v>69</v>
      </c>
      <c r="C65" s="1"/>
      <c r="D65" s="45"/>
      <c r="E65" s="1"/>
      <c r="F65" s="52"/>
      <c r="G65" s="1"/>
      <c r="H65" s="24"/>
      <c r="I65" s="26"/>
      <c r="J65" s="31">
        <f>SUBTOTAL(9,J64)</f>
        <v>0</v>
      </c>
      <c r="K65" s="31"/>
      <c r="L65" s="31">
        <f>SUBTOTAL(9,L64)</f>
        <v>0</v>
      </c>
      <c r="M65" s="31"/>
      <c r="N65" s="31">
        <v>-1511374.44</v>
      </c>
      <c r="O65" s="1"/>
      <c r="P65" s="24">
        <f t="shared" ref="P65" si="22">ROUND(L65/N65*100,0)</f>
        <v>0</v>
      </c>
    </row>
    <row r="66" spans="1:16" x14ac:dyDescent="0.35">
      <c r="A66" s="1"/>
      <c r="B66" s="22"/>
      <c r="C66" s="1"/>
      <c r="D66" s="45"/>
      <c r="E66" s="1"/>
      <c r="F66" s="52"/>
      <c r="G66" s="1"/>
      <c r="H66" s="24"/>
      <c r="I66" s="26"/>
      <c r="J66" s="31"/>
      <c r="K66" s="31"/>
      <c r="L66" s="31"/>
      <c r="M66" s="31"/>
      <c r="N66" s="31"/>
      <c r="O66" s="1"/>
      <c r="P66" s="24"/>
    </row>
    <row r="67" spans="1:16" x14ac:dyDescent="0.35">
      <c r="A67" s="1"/>
      <c r="B67" s="22" t="s">
        <v>38</v>
      </c>
      <c r="C67" s="1"/>
      <c r="D67" s="45">
        <v>2042</v>
      </c>
      <c r="E67" s="1"/>
      <c r="F67" s="52">
        <f>ROUND(0.71*198.9,0)</f>
        <v>141</v>
      </c>
      <c r="G67" s="1"/>
      <c r="H67" s="24">
        <v>10</v>
      </c>
      <c r="I67" s="26"/>
      <c r="J67" s="31">
        <f t="shared" ref="J67:J73" si="23">ROUND((F67*H67*1000),0)</f>
        <v>1410000</v>
      </c>
      <c r="K67" s="31"/>
      <c r="L67" s="31">
        <f t="shared" ref="L67:L73" si="24">ROUND((J67*(1.025^(D67-$C$81))),0)</f>
        <v>2427416</v>
      </c>
      <c r="M67" s="31"/>
      <c r="N67" s="31"/>
      <c r="O67" s="1"/>
      <c r="P67" s="24"/>
    </row>
    <row r="68" spans="1:16" x14ac:dyDescent="0.35">
      <c r="A68" s="1"/>
      <c r="B68" s="22" t="s">
        <v>39</v>
      </c>
      <c r="C68" s="1"/>
      <c r="D68" s="45">
        <v>2042</v>
      </c>
      <c r="E68" s="1"/>
      <c r="F68" s="52">
        <f>ROUND(0.71*198.9,0)</f>
        <v>141</v>
      </c>
      <c r="G68" s="1"/>
      <c r="H68" s="24">
        <v>10</v>
      </c>
      <c r="I68" s="26"/>
      <c r="J68" s="31">
        <f t="shared" si="23"/>
        <v>1410000</v>
      </c>
      <c r="K68" s="31"/>
      <c r="L68" s="31">
        <f t="shared" si="24"/>
        <v>2427416</v>
      </c>
      <c r="M68" s="31"/>
      <c r="N68" s="31"/>
      <c r="O68" s="1"/>
      <c r="P68" s="24"/>
    </row>
    <row r="69" spans="1:16" x14ac:dyDescent="0.35">
      <c r="A69" s="1"/>
      <c r="B69" s="22" t="s">
        <v>59</v>
      </c>
      <c r="C69" s="1"/>
      <c r="D69" s="45">
        <v>2044</v>
      </c>
      <c r="E69" s="1"/>
      <c r="F69" s="52">
        <v>0</v>
      </c>
      <c r="G69" s="1"/>
      <c r="H69" s="24">
        <v>10</v>
      </c>
      <c r="I69" s="26"/>
      <c r="J69" s="31">
        <f t="shared" ref="J69" si="25">ROUND((F69*H69*1000),0)</f>
        <v>0</v>
      </c>
      <c r="K69" s="31"/>
      <c r="L69" s="31">
        <f t="shared" si="24"/>
        <v>0</v>
      </c>
      <c r="M69" s="31"/>
      <c r="N69" s="31"/>
      <c r="O69" s="1"/>
      <c r="P69" s="24"/>
    </row>
    <row r="70" spans="1:16" x14ac:dyDescent="0.35">
      <c r="A70" s="1"/>
      <c r="B70" s="22" t="s">
        <v>40</v>
      </c>
      <c r="C70" s="1"/>
      <c r="D70" s="45">
        <v>2044</v>
      </c>
      <c r="E70" s="1"/>
      <c r="F70" s="52">
        <f>ROUND(0.63*198.9,0)</f>
        <v>125</v>
      </c>
      <c r="G70" s="1"/>
      <c r="H70" s="24">
        <v>10</v>
      </c>
      <c r="I70" s="26"/>
      <c r="J70" s="31">
        <f t="shared" si="23"/>
        <v>1250000</v>
      </c>
      <c r="K70" s="31"/>
      <c r="L70" s="31">
        <f t="shared" si="24"/>
        <v>2260907</v>
      </c>
      <c r="M70" s="31"/>
      <c r="N70" s="31"/>
      <c r="O70" s="1"/>
      <c r="P70" s="24"/>
    </row>
    <row r="71" spans="1:16" x14ac:dyDescent="0.35">
      <c r="A71" s="1"/>
      <c r="B71" s="22" t="s">
        <v>41</v>
      </c>
      <c r="C71" s="1"/>
      <c r="D71" s="45">
        <v>2044</v>
      </c>
      <c r="E71" s="1"/>
      <c r="F71" s="52">
        <f>ROUND(0.63*198.9,0)</f>
        <v>125</v>
      </c>
      <c r="G71" s="1"/>
      <c r="H71" s="24">
        <v>10</v>
      </c>
      <c r="I71" s="26"/>
      <c r="J71" s="31">
        <f t="shared" si="23"/>
        <v>1250000</v>
      </c>
      <c r="K71" s="31"/>
      <c r="L71" s="31">
        <f t="shared" si="24"/>
        <v>2260907</v>
      </c>
      <c r="M71" s="31"/>
      <c r="N71" s="31"/>
      <c r="O71" s="1"/>
      <c r="P71" s="24"/>
    </row>
    <row r="72" spans="1:16" x14ac:dyDescent="0.35">
      <c r="A72" s="1"/>
      <c r="B72" s="22" t="s">
        <v>42</v>
      </c>
      <c r="C72" s="1"/>
      <c r="D72" s="45">
        <v>2044</v>
      </c>
      <c r="E72" s="1"/>
      <c r="F72" s="52">
        <f>ROUND(0.63*198.9,0)</f>
        <v>125</v>
      </c>
      <c r="G72" s="1"/>
      <c r="H72" s="24">
        <v>10</v>
      </c>
      <c r="I72" s="26"/>
      <c r="J72" s="31">
        <f t="shared" si="23"/>
        <v>1250000</v>
      </c>
      <c r="K72" s="26"/>
      <c r="L72" s="31">
        <f t="shared" si="24"/>
        <v>2260907</v>
      </c>
      <c r="M72" s="26"/>
      <c r="N72" s="31"/>
      <c r="O72" s="1"/>
      <c r="P72" s="24"/>
    </row>
    <row r="73" spans="1:16" x14ac:dyDescent="0.35">
      <c r="A73" s="1"/>
      <c r="B73" s="22" t="s">
        <v>43</v>
      </c>
      <c r="C73" s="1"/>
      <c r="D73" s="45">
        <v>2044</v>
      </c>
      <c r="E73" s="1"/>
      <c r="F73" s="52">
        <f>ROUND(0.63*198.9,0)</f>
        <v>125</v>
      </c>
      <c r="G73" s="1"/>
      <c r="H73" s="24">
        <v>10</v>
      </c>
      <c r="I73" s="26"/>
      <c r="J73" s="27">
        <f t="shared" si="23"/>
        <v>1250000</v>
      </c>
      <c r="K73" s="26"/>
      <c r="L73" s="27">
        <f t="shared" si="24"/>
        <v>2260907</v>
      </c>
      <c r="M73" s="26"/>
      <c r="N73" s="27"/>
      <c r="O73" s="1"/>
      <c r="P73" s="24"/>
    </row>
    <row r="74" spans="1:16" x14ac:dyDescent="0.35">
      <c r="A74" s="1"/>
      <c r="B74" s="22" t="s">
        <v>28</v>
      </c>
      <c r="C74" s="1"/>
      <c r="D74" s="45"/>
      <c r="E74" s="1"/>
      <c r="F74" s="52"/>
      <c r="G74" s="1"/>
      <c r="H74" s="24"/>
      <c r="I74" s="26"/>
      <c r="J74" s="37">
        <f>SUBTOTAL(9,J67:J73)</f>
        <v>7820000</v>
      </c>
      <c r="K74" s="26"/>
      <c r="L74" s="37">
        <f>SUBTOTAL(9,L67:L73)</f>
        <v>13898460</v>
      </c>
      <c r="M74" s="26"/>
      <c r="N74" s="37">
        <v>-179617998.93000001</v>
      </c>
      <c r="O74" s="1"/>
      <c r="P74" s="24">
        <f t="shared" ref="P74" si="26">ROUND(L74/N74*100,0)</f>
        <v>-8</v>
      </c>
    </row>
    <row r="75" spans="1:16" x14ac:dyDescent="0.35">
      <c r="A75" s="1"/>
      <c r="B75" s="22"/>
      <c r="C75" s="1"/>
      <c r="D75" s="45"/>
      <c r="E75" s="1"/>
      <c r="F75" s="52"/>
      <c r="G75" s="1"/>
      <c r="H75" s="24"/>
      <c r="I75" s="26"/>
      <c r="J75" s="31"/>
      <c r="K75" s="26"/>
      <c r="L75" s="31"/>
      <c r="M75" s="26"/>
      <c r="N75" s="31"/>
      <c r="O75" s="1"/>
      <c r="P75" s="24"/>
    </row>
    <row r="76" spans="1:16" x14ac:dyDescent="0.35">
      <c r="A76" s="1"/>
      <c r="B76" s="17" t="s">
        <v>44</v>
      </c>
      <c r="C76" s="1"/>
      <c r="D76" s="1"/>
      <c r="E76" s="1"/>
      <c r="F76" s="52"/>
      <c r="G76" s="1"/>
      <c r="H76" s="24"/>
      <c r="I76" s="26"/>
      <c r="J76" s="38">
        <f>SUBTOTAL(9,J41:J75)</f>
        <v>29554000</v>
      </c>
      <c r="K76" s="26"/>
      <c r="L76" s="38">
        <f>SUBTOTAL(9,L41:L75)</f>
        <v>57572595</v>
      </c>
      <c r="M76" s="26"/>
      <c r="N76" s="38">
        <f>SUBTOTAL(9,N41:N75)</f>
        <v>-755001002.02999997</v>
      </c>
      <c r="O76" s="1"/>
      <c r="P76" s="24"/>
    </row>
    <row r="77" spans="1:16" x14ac:dyDescent="0.35">
      <c r="A77" s="1"/>
      <c r="B77" s="30"/>
      <c r="C77" s="1"/>
      <c r="D77" s="1"/>
      <c r="E77" s="1"/>
      <c r="F77" s="52"/>
      <c r="G77" s="1"/>
      <c r="H77" s="24"/>
      <c r="I77" s="26"/>
      <c r="J77" s="26"/>
      <c r="K77" s="26"/>
      <c r="L77" s="26"/>
      <c r="M77" s="26"/>
      <c r="N77" s="26"/>
      <c r="O77" s="1"/>
      <c r="P77" s="24"/>
    </row>
    <row r="78" spans="1:16" s="40" customFormat="1" x14ac:dyDescent="0.35">
      <c r="A78" s="2"/>
      <c r="B78" s="39" t="s">
        <v>6</v>
      </c>
      <c r="C78" s="2"/>
      <c r="D78" s="2"/>
      <c r="E78" s="2"/>
      <c r="F78" s="2"/>
      <c r="G78" s="2"/>
      <c r="H78" s="49"/>
      <c r="I78" s="21"/>
      <c r="J78" s="21">
        <f>SUBTOTAL(9,J12:J77)</f>
        <v>163654000</v>
      </c>
      <c r="K78" s="21"/>
      <c r="L78" s="21">
        <f>SUBTOTAL(9,L12:L77)</f>
        <v>269597590</v>
      </c>
      <c r="M78" s="21"/>
      <c r="N78" s="21">
        <f>SUBTOTAL(9,N12:N77)</f>
        <v>-5380507785.4799967</v>
      </c>
      <c r="O78" s="2"/>
      <c r="P78" s="2"/>
    </row>
    <row r="79" spans="1:16" x14ac:dyDescent="0.35">
      <c r="B79" s="33"/>
      <c r="H79" s="43"/>
      <c r="I79" s="34"/>
      <c r="J79" s="34"/>
      <c r="K79" s="34"/>
      <c r="L79" s="34"/>
      <c r="M79" s="34"/>
      <c r="N79" s="34"/>
    </row>
    <row r="80" spans="1:16" x14ac:dyDescent="0.35">
      <c r="B80" s="33"/>
      <c r="G80" s="36"/>
      <c r="H80" s="43"/>
      <c r="I80" s="34"/>
      <c r="J80" s="34"/>
      <c r="K80" s="34"/>
      <c r="L80" s="34"/>
      <c r="M80" s="34"/>
      <c r="N80" s="34"/>
    </row>
    <row r="81" spans="2:14" x14ac:dyDescent="0.35">
      <c r="B81" s="41" t="s">
        <v>67</v>
      </c>
      <c r="C81" s="42">
        <v>2020</v>
      </c>
      <c r="H81" s="43"/>
      <c r="I81" s="34"/>
      <c r="J81" s="34"/>
      <c r="K81" s="34"/>
      <c r="L81" s="34"/>
      <c r="M81" s="34"/>
      <c r="N81" s="34"/>
    </row>
    <row r="82" spans="2:14" x14ac:dyDescent="0.35">
      <c r="B82" s="33"/>
      <c r="H82" s="43"/>
      <c r="I82" s="34"/>
      <c r="J82" s="34"/>
      <c r="K82" s="34"/>
      <c r="L82" s="34"/>
      <c r="M82" s="34"/>
      <c r="N82" s="34"/>
    </row>
    <row r="83" spans="2:14" x14ac:dyDescent="0.35">
      <c r="H83" s="43"/>
      <c r="I83" s="34"/>
      <c r="J83" s="34"/>
      <c r="K83" s="34"/>
      <c r="L83" s="34"/>
      <c r="M83" s="34"/>
      <c r="N83" s="34"/>
    </row>
  </sheetData>
  <mergeCells count="2">
    <mergeCell ref="B1:P1"/>
    <mergeCell ref="B3:P3"/>
  </mergeCells>
  <pageMargins left="0.7" right="0.7" top="0.75" bottom="0.75" header="0.3" footer="0.3"/>
  <pageSetup scale="76" fitToHeight="0" orientation="landscape" r:id="rId1"/>
  <headerFooter>
    <oddHeader>&amp;R&amp;"Times New Roman,Bold"&amp;12Case No. 2020-00349
Attachment to Response to AG-KIUC-1 Question No. 12
Page &amp;P of 3
Spanos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Terminal Net Salvage</vt:lpstr>
      <vt:lpstr>'Terminal Net Salvage'!Print_Titles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2021-01-22T04:28:32Z</dcterms:created>
  <dcterms:modified xsi:type="dcterms:W3CDTF">2021-01-22T04:28:39Z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2021-01-22T04:28:39Z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efa5af8d-60b1-4d64-895f-5f620d2732fc</vt:lpwstr>
  </property>
  <property fmtid="{D5CDD505-2E9C-101B-9397-08002B2CF9AE}" pid="8" name="MSIP_Label_d662fcd2-3ff9-4261-9b26-9dd5808d0bb4_ContentBits">
    <vt:lpwstr>0</vt:lpwstr>
  </property>
</Properties>
</file>