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mc:AlternateContent xmlns:mc="http://schemas.openxmlformats.org/markup-compatibility/2006">
    <mc:Choice Requires="x15">
      <x15ac:absPath xmlns:x15ac="http://schemas.microsoft.com/office/spreadsheetml/2010/11/ac" url="\\fs2\Rates\Rate Case 2020\Cost of Service\Data Requests\Draft Responses from Seelye\AG-KIUC\"/>
    </mc:Choice>
  </mc:AlternateContent>
  <xr:revisionPtr revIDLastSave="0" documentId="13_ncr:1_{59482B5A-D4D4-42E8-9AA6-CA57DA54C7F8}" xr6:coauthVersionLast="45" xr6:coauthVersionMax="45" xr10:uidLastSave="{00000000-0000-0000-0000-000000000000}"/>
  <bookViews>
    <workbookView xWindow="-120" yWindow="-120" windowWidth="23280" windowHeight="12600" firstSheet="1" activeTab="1" xr2:uid="{00000000-000D-0000-FFFF-FFFF00000000}"/>
  </bookViews>
  <sheets>
    <sheet name="Jurisdictional Study" sheetId="12" state="hidden" r:id="rId1"/>
    <sheet name="WSS-29" sheetId="1" r:id="rId2"/>
    <sheet name="WSS-31" sheetId="2" r:id="rId3"/>
    <sheet name="Summary of Returns" sheetId="33" state="hidden" r:id="rId4"/>
    <sheet name="Billing Det" sheetId="8" state="hidden" r:id="rId5"/>
    <sheet name="RS Unit Costs" sheetId="14" r:id="rId6"/>
    <sheet name="GS Unit Costs" sheetId="27" r:id="rId7"/>
    <sheet name="AES Unit Costs" sheetId="32" r:id="rId8"/>
    <sheet name="PSS Unit Costs" sheetId="17" r:id="rId9"/>
    <sheet name="PSP Unit Costs" sheetId="19" r:id="rId10"/>
    <sheet name="TODS Unit Costs" sheetId="20" r:id="rId11"/>
    <sheet name="TODP Unit Costs" sheetId="21" r:id="rId12"/>
    <sheet name="RTS Unit Costs" sheetId="25" r:id="rId13"/>
    <sheet name="FLS Unit Costs" sheetId="26"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'WSS-29'!$C$1:$C$616</definedName>
    <definedName name="_xlnm._FilterDatabase" localSheetId="2" hidden="1">'WSS-31'!$D$2:$E$665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Costs'!$A$1:$K$57</definedName>
    <definedName name="_xlnm.Print_Area" localSheetId="4">'Billing Det'!$A$1:$F$40</definedName>
    <definedName name="_xlnm.Print_Area" localSheetId="13">'FLS Unit Costs'!$A$1:$K$57</definedName>
    <definedName name="_xlnm.Print_Area" localSheetId="6">'GS Unit Costs'!$A$1:$K$57</definedName>
    <definedName name="_xlnm.Print_Area" localSheetId="0">'Jurisdictional Study'!$D$12:$P$1466</definedName>
    <definedName name="_xlnm.Print_Area" localSheetId="14">Meters!$A$1:$J$69</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Services!$A$1:$D$62</definedName>
    <definedName name="_xlnm.Print_Area" localSheetId="3">'Summary of Returns'!$A$1:$G$71</definedName>
    <definedName name="_xlnm.Print_Area" localSheetId="11">'TODP Unit Costs'!$A$1:$K$57</definedName>
    <definedName name="_xlnm.Print_Area" localSheetId="10">'TODS Unit Costs'!$A$1:$K$57</definedName>
    <definedName name="_xlnm.Print_Area" localSheetId="1">'WSS-29'!$F$5:$AJ$617</definedName>
    <definedName name="_xlnm.Print_Area" localSheetId="2">'WSS-31'!$F$4:$V$970</definedName>
    <definedName name="_xlnm.Print_Titles" localSheetId="4">'Billing Det'!$A:$A,'Billing Det'!$75:$76</definedName>
    <definedName name="_xlnm.Print_Titles" localSheetId="0">'Jurisdictional Study'!$19:$22</definedName>
    <definedName name="_xlnm.Print_Titles" localSheetId="1">'WSS-29'!$A:$E,'WSS-29'!$1:$4</definedName>
    <definedName name="_xlnm.Print_Titles" localSheetId="2">'WSS-31'!$A:$E,'WSS-31'!$1:$3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3" i="26" l="1"/>
  <c r="I53" i="26"/>
  <c r="J53" i="25"/>
  <c r="I53" i="25"/>
  <c r="J53" i="21"/>
  <c r="I53" i="21"/>
  <c r="J53" i="20"/>
  <c r="I53" i="20"/>
  <c r="J53" i="19"/>
  <c r="I53" i="19"/>
  <c r="J53" i="17"/>
  <c r="I53" i="17"/>
  <c r="J53" i="32"/>
  <c r="I53" i="32"/>
  <c r="J53" i="27"/>
  <c r="I53" i="27"/>
  <c r="J53" i="14" l="1"/>
  <c r="I53" i="14"/>
  <c r="A56" i="33" l="1"/>
  <c r="A57" i="33"/>
  <c r="A58" i="33"/>
  <c r="A59" i="33"/>
  <c r="A60" i="33"/>
  <c r="A61" i="33"/>
  <c r="A62" i="33"/>
  <c r="A63" i="33"/>
  <c r="A64" i="33"/>
  <c r="A65" i="33"/>
  <c r="A66" i="33"/>
  <c r="A67" i="33"/>
  <c r="A68" i="33"/>
  <c r="A69" i="33"/>
  <c r="A70" i="33"/>
  <c r="A55" i="33"/>
  <c r="G781" i="2" l="1"/>
  <c r="E799" i="2" l="1"/>
  <c r="F114" i="1" l="1"/>
  <c r="V946" i="2" l="1"/>
  <c r="T948" i="2" l="1"/>
  <c r="W948" i="2" l="1"/>
  <c r="X948" i="2" s="1"/>
  <c r="Y948" i="2" s="1"/>
  <c r="D37" i="26" l="1"/>
  <c r="E37" i="26" s="1"/>
  <c r="D37" i="25"/>
  <c r="E37" i="25" s="1"/>
  <c r="D37" i="21"/>
  <c r="E37" i="21" s="1"/>
  <c r="F652" i="2" l="1"/>
  <c r="F115" i="1"/>
  <c r="F61" i="1" l="1"/>
  <c r="F60" i="1"/>
  <c r="H30" i="33" l="1"/>
  <c r="H31" i="33"/>
  <c r="H32" i="33"/>
  <c r="H34" i="33"/>
  <c r="H35" i="33"/>
  <c r="H36" i="33"/>
  <c r="H37" i="33"/>
  <c r="H38" i="33"/>
  <c r="H39" i="33"/>
  <c r="H40" i="33"/>
  <c r="H41" i="33"/>
  <c r="H42" i="33"/>
  <c r="H43" i="33"/>
  <c r="H45" i="33"/>
  <c r="H46" i="33"/>
  <c r="U897" i="2" l="1"/>
  <c r="U883" i="2" l="1"/>
  <c r="V862" i="2"/>
  <c r="V869" i="2" s="1"/>
  <c r="V876" i="2" s="1"/>
  <c r="V890" i="2"/>
  <c r="U890" i="2"/>
  <c r="U862" i="2"/>
  <c r="U869" i="2" s="1"/>
  <c r="D41" i="7"/>
  <c r="D40" i="7"/>
  <c r="E40" i="7" s="1"/>
  <c r="A40" i="7"/>
  <c r="E44" i="6"/>
  <c r="G44" i="6" s="1"/>
  <c r="U876" i="2" l="1"/>
  <c r="V830"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N970" i="2" l="1"/>
  <c r="M970" i="2"/>
  <c r="O968" i="2"/>
  <c r="N968" i="2"/>
  <c r="M968" i="2"/>
  <c r="M653" i="2"/>
  <c r="N653" i="2"/>
  <c r="O653" i="2"/>
  <c r="E18" i="6"/>
  <c r="E16" i="6"/>
  <c r="E14" i="6"/>
  <c r="E12" i="6"/>
  <c r="V825" i="2"/>
  <c r="D10" i="8"/>
  <c r="D8" i="8"/>
  <c r="G39" i="8" l="1"/>
  <c r="F39" i="8"/>
  <c r="E39" i="8"/>
  <c r="D39" i="8"/>
  <c r="C39" i="8"/>
  <c r="B39" i="8"/>
  <c r="F157" i="1" l="1"/>
  <c r="F133" i="1"/>
  <c r="F128" i="1"/>
  <c r="F116" i="1"/>
  <c r="F37" i="1"/>
  <c r="W566" i="1" l="1"/>
  <c r="V566" i="1"/>
  <c r="Y564" i="1"/>
  <c r="X564" i="1"/>
  <c r="W564" i="1"/>
  <c r="V564" i="1"/>
  <c r="X566" i="1"/>
  <c r="Y566" i="1"/>
  <c r="T912" i="2" l="1"/>
  <c r="T919" i="2" s="1"/>
  <c r="F897" i="2" l="1"/>
  <c r="T940" i="2" l="1"/>
  <c r="T842" i="2" l="1"/>
  <c r="T846" i="2" s="1"/>
  <c r="Q842" i="2"/>
  <c r="K842" i="2"/>
  <c r="J842" i="2"/>
  <c r="I842" i="2"/>
  <c r="L842" i="2"/>
  <c r="M842" i="2"/>
  <c r="R842" i="2"/>
  <c r="N842" i="2"/>
  <c r="G842" i="2"/>
  <c r="T847" i="2" l="1"/>
  <c r="T849" i="2"/>
  <c r="T850" i="2"/>
  <c r="F661" i="2"/>
  <c r="G34" i="8" l="1"/>
  <c r="G30" i="8"/>
  <c r="G28" i="8"/>
  <c r="G26" i="8"/>
  <c r="F156" i="1" l="1"/>
  <c r="B8" i="8" l="1"/>
  <c r="B26" i="8" l="1"/>
  <c r="B32" i="8"/>
  <c r="B30" i="8"/>
  <c r="B28" i="8"/>
  <c r="B24" i="8"/>
  <c r="B22" i="8"/>
  <c r="B20" i="8"/>
  <c r="B18" i="8"/>
  <c r="C18" i="8"/>
  <c r="C16" i="8"/>
  <c r="B16" i="8"/>
  <c r="C14" i="8"/>
  <c r="B14" i="8"/>
  <c r="C12" i="8"/>
  <c r="C10" i="8"/>
  <c r="B12" i="8"/>
  <c r="B10" i="8"/>
  <c r="C8" i="8"/>
  <c r="C14" i="7" l="1"/>
  <c r="C34" i="7"/>
  <c r="D38" i="6" l="1"/>
  <c r="D36" i="6"/>
  <c r="D34" i="6"/>
  <c r="T783" i="2" l="1"/>
  <c r="W783" i="2" s="1"/>
  <c r="X783" i="2" s="1"/>
  <c r="F797" i="2"/>
  <c r="F796" i="2" l="1"/>
  <c r="W782" i="2" l="1"/>
  <c r="X782"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W781" i="2" l="1"/>
  <c r="X781" i="2" s="1"/>
  <c r="W653" i="2" l="1"/>
  <c r="W940" i="2" l="1"/>
  <c r="X940" i="2" s="1"/>
  <c r="Y940" i="2" s="1"/>
  <c r="S850" i="2" l="1"/>
  <c r="R846" i="2"/>
  <c r="Q843" i="2"/>
  <c r="Q844" i="2" s="1"/>
  <c r="O842" i="2"/>
  <c r="O843" i="2" s="1"/>
  <c r="O844" i="2" s="1"/>
  <c r="N846" i="2"/>
  <c r="L847" i="2"/>
  <c r="M847" i="2"/>
  <c r="L846" i="2"/>
  <c r="J850" i="2"/>
  <c r="K847" i="2"/>
  <c r="R843" i="2"/>
  <c r="R844" i="2" s="1"/>
  <c r="R847" i="2" s="1"/>
  <c r="L843" i="2"/>
  <c r="L844" i="2" s="1"/>
  <c r="I843" i="2"/>
  <c r="I844" i="2" s="1"/>
  <c r="H848" i="2"/>
  <c r="G847" i="2"/>
  <c r="K843" i="2" l="1"/>
  <c r="K844" i="2" s="1"/>
  <c r="O846" i="2"/>
  <c r="L849" i="2"/>
  <c r="J843" i="2"/>
  <c r="J844" i="2" s="1"/>
  <c r="O847" i="2"/>
  <c r="H850" i="2"/>
  <c r="K846" i="2"/>
  <c r="M846" i="2"/>
  <c r="S846" i="2"/>
  <c r="H846" i="2"/>
  <c r="S847" i="2"/>
  <c r="H843" i="2"/>
  <c r="H844" i="2" s="1"/>
  <c r="H849" i="2"/>
  <c r="S843" i="2"/>
  <c r="S844" i="2" s="1"/>
  <c r="L850" i="2"/>
  <c r="S849" i="2"/>
  <c r="Q848" i="2"/>
  <c r="Q849" i="2"/>
  <c r="Q847" i="2"/>
  <c r="Q850" i="2"/>
  <c r="R848" i="2"/>
  <c r="G843" i="2"/>
  <c r="G844" i="2" s="1"/>
  <c r="K849" i="2"/>
  <c r="Q846" i="2"/>
  <c r="R849" i="2"/>
  <c r="G846" i="2"/>
  <c r="G850" i="2"/>
  <c r="H847" i="2"/>
  <c r="M843" i="2"/>
  <c r="M844" i="2" s="1"/>
  <c r="J846" i="2"/>
  <c r="M849" i="2"/>
  <c r="R850" i="2"/>
  <c r="G848" i="2"/>
  <c r="G849" i="2"/>
  <c r="N843" i="2"/>
  <c r="N844" i="2" s="1"/>
  <c r="N847" i="2"/>
  <c r="J847" i="2"/>
  <c r="J849" i="2"/>
  <c r="W912" i="2"/>
  <c r="X912" i="2" s="1"/>
  <c r="Y912" i="2" s="1"/>
  <c r="W933" i="2" l="1"/>
  <c r="X933" i="2" s="1"/>
  <c r="Y933" i="2" s="1"/>
  <c r="W926" i="2"/>
  <c r="X926" i="2" s="1"/>
  <c r="Y926" i="2" s="1"/>
  <c r="W919" i="2"/>
  <c r="X919" i="2" s="1"/>
  <c r="Y919" i="2" s="1"/>
  <c r="W876" i="2"/>
  <c r="X876" i="2" s="1"/>
  <c r="Y876" i="2" s="1"/>
  <c r="V895" i="2"/>
  <c r="V860" i="2"/>
  <c r="V867" i="2"/>
  <c r="V874" i="2"/>
  <c r="V881" i="2"/>
  <c r="V888" i="2"/>
  <c r="W890" i="2"/>
  <c r="X890" i="2" s="1"/>
  <c r="Y890" i="2" s="1"/>
  <c r="W883" i="2"/>
  <c r="X883" i="2" s="1"/>
  <c r="Y883" i="2" s="1"/>
  <c r="W869" i="2" l="1"/>
  <c r="X869" i="2" s="1"/>
  <c r="Y869" i="2" s="1"/>
  <c r="W905" i="2"/>
  <c r="X905" i="2" s="1"/>
  <c r="Y905" i="2" s="1"/>
  <c r="W897" i="2"/>
  <c r="X897" i="2" s="1"/>
  <c r="Y897" i="2" s="1"/>
  <c r="W862" i="2"/>
  <c r="X862" i="2" s="1"/>
  <c r="Y862" i="2" s="1"/>
  <c r="M969" i="2"/>
  <c r="O970" i="2"/>
  <c r="W968" i="2" l="1"/>
  <c r="X968" i="2" s="1"/>
  <c r="W970" i="2"/>
  <c r="X970" i="2" s="1"/>
  <c r="N969" i="2"/>
  <c r="F737" i="2"/>
  <c r="W960" i="2" l="1"/>
  <c r="X960" i="2" s="1"/>
  <c r="Y960" i="2" s="1"/>
  <c r="U962" i="2"/>
  <c r="T962" i="2"/>
  <c r="S962" i="2"/>
  <c r="R962" i="2"/>
  <c r="Q962" i="2"/>
  <c r="P962" i="2"/>
  <c r="O962" i="2"/>
  <c r="N962" i="2"/>
  <c r="M962" i="2"/>
  <c r="L962" i="2"/>
  <c r="K962" i="2"/>
  <c r="J962" i="2"/>
  <c r="I962" i="2"/>
  <c r="H962" i="2"/>
  <c r="G962" i="2"/>
  <c r="F663" i="2"/>
  <c r="F666" i="2" l="1"/>
  <c r="T666" i="2" s="1"/>
  <c r="F664" i="2"/>
  <c r="F662" i="2"/>
  <c r="F660" i="2"/>
  <c r="F659" i="2"/>
  <c r="F658" i="2"/>
  <c r="F657" i="2"/>
  <c r="F656" i="2"/>
  <c r="F655" i="2"/>
  <c r="F654" i="2"/>
  <c r="U681" i="2"/>
  <c r="V681" i="2"/>
  <c r="V861" i="2"/>
  <c r="U819" i="2"/>
  <c r="V819" i="2"/>
  <c r="U820" i="2"/>
  <c r="V820" i="2"/>
  <c r="V827" i="2"/>
  <c r="U857" i="2"/>
  <c r="T857" i="2"/>
  <c r="S857" i="2"/>
  <c r="R857" i="2"/>
  <c r="Q857" i="2"/>
  <c r="P857" i="2"/>
  <c r="O857" i="2"/>
  <c r="N857" i="2"/>
  <c r="M857" i="2"/>
  <c r="L857" i="2"/>
  <c r="K857" i="2"/>
  <c r="J857" i="2"/>
  <c r="I857" i="2"/>
  <c r="H857" i="2"/>
  <c r="G857" i="2"/>
  <c r="I881" i="2" l="1"/>
  <c r="I888" i="2"/>
  <c r="I895" i="2"/>
  <c r="U888" i="2"/>
  <c r="U895" i="2"/>
  <c r="U881" i="2"/>
  <c r="U860" i="2"/>
  <c r="J888" i="2"/>
  <c r="J895" i="2"/>
  <c r="J881" i="2"/>
  <c r="N888" i="2"/>
  <c r="N895" i="2"/>
  <c r="N881" i="2"/>
  <c r="R888" i="2"/>
  <c r="R895" i="2"/>
  <c r="R881" i="2"/>
  <c r="Q895" i="2"/>
  <c r="Q881" i="2"/>
  <c r="Q888" i="2"/>
  <c r="G895" i="2"/>
  <c r="G881" i="2"/>
  <c r="G888" i="2"/>
  <c r="K895" i="2"/>
  <c r="K881" i="2"/>
  <c r="K888" i="2"/>
  <c r="O895" i="2"/>
  <c r="O881" i="2"/>
  <c r="O888" i="2"/>
  <c r="S895" i="2"/>
  <c r="S881" i="2"/>
  <c r="S888" i="2"/>
  <c r="M888" i="2"/>
  <c r="M895" i="2"/>
  <c r="M881" i="2"/>
  <c r="H888" i="2"/>
  <c r="H895" i="2"/>
  <c r="H881" i="2"/>
  <c r="L881" i="2"/>
  <c r="L888" i="2"/>
  <c r="L895" i="2"/>
  <c r="P888" i="2"/>
  <c r="P895" i="2"/>
  <c r="P881" i="2"/>
  <c r="T860" i="2"/>
  <c r="T888" i="2"/>
  <c r="T895" i="2"/>
  <c r="T881" i="2"/>
  <c r="I874" i="2"/>
  <c r="I867" i="2"/>
  <c r="I860" i="2"/>
  <c r="Q874" i="2"/>
  <c r="Q867" i="2"/>
  <c r="Q860" i="2"/>
  <c r="J867" i="2"/>
  <c r="J874" i="2"/>
  <c r="J860" i="2"/>
  <c r="N867" i="2"/>
  <c r="N874" i="2"/>
  <c r="N860" i="2"/>
  <c r="R867" i="2"/>
  <c r="R874" i="2"/>
  <c r="R860" i="2"/>
  <c r="G867" i="2"/>
  <c r="G874" i="2"/>
  <c r="G860" i="2"/>
  <c r="K867" i="2"/>
  <c r="K874" i="2"/>
  <c r="K860" i="2"/>
  <c r="O867" i="2"/>
  <c r="O874" i="2"/>
  <c r="O860" i="2"/>
  <c r="S867" i="2"/>
  <c r="S874" i="2"/>
  <c r="S860" i="2"/>
  <c r="M874" i="2"/>
  <c r="M867" i="2"/>
  <c r="M860" i="2"/>
  <c r="U874" i="2"/>
  <c r="U867" i="2"/>
  <c r="H874" i="2"/>
  <c r="H867" i="2"/>
  <c r="H860" i="2"/>
  <c r="L874" i="2"/>
  <c r="L867" i="2"/>
  <c r="L860" i="2"/>
  <c r="P874" i="2"/>
  <c r="P867" i="2"/>
  <c r="P860" i="2"/>
  <c r="T874" i="2"/>
  <c r="T867" i="2"/>
  <c r="W857" i="2"/>
  <c r="W860" i="2" l="1"/>
  <c r="W867" i="2"/>
  <c r="W874" i="2"/>
  <c r="U855" i="2" l="1"/>
  <c r="T855" i="2"/>
  <c r="S855" i="2"/>
  <c r="L855" i="2"/>
  <c r="J855" i="2"/>
  <c r="I855" i="2"/>
  <c r="H855" i="2"/>
  <c r="H856" i="2" s="1"/>
  <c r="G855" i="2"/>
  <c r="U853" i="2"/>
  <c r="U854" i="2" s="1"/>
  <c r="T853" i="2"/>
  <c r="T854" i="2" s="1"/>
  <c r="S853" i="2"/>
  <c r="S854" i="2" s="1"/>
  <c r="R853" i="2"/>
  <c r="R854" i="2" s="1"/>
  <c r="Q853" i="2"/>
  <c r="Q854" i="2" s="1"/>
  <c r="P853" i="2"/>
  <c r="P854" i="2" s="1"/>
  <c r="O853" i="2"/>
  <c r="N853" i="2"/>
  <c r="M853" i="2"/>
  <c r="M854" i="2" s="1"/>
  <c r="L853" i="2"/>
  <c r="L854" i="2" s="1"/>
  <c r="K853" i="2"/>
  <c r="K854" i="2" s="1"/>
  <c r="J853" i="2"/>
  <c r="J854" i="2" s="1"/>
  <c r="I853" i="2"/>
  <c r="I854" i="2" s="1"/>
  <c r="H853" i="2"/>
  <c r="H854" i="2" s="1"/>
  <c r="G853" i="2"/>
  <c r="G856" i="2" l="1"/>
  <c r="G854" i="2"/>
  <c r="W853" i="2"/>
  <c r="T856" i="2"/>
  <c r="I856" i="2"/>
  <c r="U856" i="2"/>
  <c r="O839" i="2"/>
  <c r="N839" i="2"/>
  <c r="M839" i="2"/>
  <c r="K839" i="2"/>
  <c r="W854" i="2" l="1"/>
  <c r="X854" i="2" s="1"/>
  <c r="Y854" i="2" s="1"/>
  <c r="U830" i="2"/>
  <c r="U831" i="2" s="1"/>
  <c r="T830" i="2"/>
  <c r="U826" i="2"/>
  <c r="U827" i="2" s="1"/>
  <c r="T826" i="2"/>
  <c r="R826" i="2"/>
  <c r="P826" i="2"/>
  <c r="H826" i="2"/>
  <c r="G826" i="2"/>
  <c r="V723" i="2"/>
  <c r="V722" i="2"/>
  <c r="V721" i="2"/>
  <c r="V720" i="2"/>
  <c r="U825" i="2"/>
  <c r="T825" i="2"/>
  <c r="S825" i="2"/>
  <c r="R825" i="2"/>
  <c r="Q825" i="2"/>
  <c r="P825" i="2"/>
  <c r="O825" i="2"/>
  <c r="N825" i="2"/>
  <c r="M825" i="2"/>
  <c r="L825" i="2"/>
  <c r="K825" i="2"/>
  <c r="J825" i="2"/>
  <c r="I825" i="2"/>
  <c r="H825" i="2"/>
  <c r="G825" i="2"/>
  <c r="P827" i="2" l="1"/>
  <c r="T827" i="2"/>
  <c r="U832" i="2"/>
  <c r="U836" i="2" s="1"/>
  <c r="U842" i="2"/>
  <c r="U843" i="2" s="1"/>
  <c r="U844" i="2" s="1"/>
  <c r="W825" i="2"/>
  <c r="U833" i="2"/>
  <c r="R855" i="2"/>
  <c r="R856" i="2" s="1"/>
  <c r="Q855" i="2"/>
  <c r="Q856" i="2" s="1"/>
  <c r="P855" i="2"/>
  <c r="U847" i="2" l="1"/>
  <c r="U946" i="2"/>
  <c r="U835" i="2"/>
  <c r="U846" i="2" s="1"/>
  <c r="W855" i="2"/>
  <c r="X855" i="2" s="1"/>
  <c r="Y855" i="2" s="1"/>
  <c r="P856" i="2"/>
  <c r="W856" i="2" s="1"/>
  <c r="X856" i="2" s="1"/>
  <c r="Y856" i="2" s="1"/>
  <c r="U838" i="2"/>
  <c r="U849" i="2" s="1"/>
  <c r="U837" i="2"/>
  <c r="U848" i="2" s="1"/>
  <c r="C38" i="6"/>
  <c r="U839" i="2" l="1"/>
  <c r="U850" i="2" s="1"/>
  <c r="A38" i="6"/>
  <c r="A34" i="7" s="1"/>
  <c r="A38" i="7" l="1"/>
  <c r="A36" i="7"/>
  <c r="E42" i="6"/>
  <c r="G42" i="6" s="1"/>
  <c r="E40" i="6"/>
  <c r="D36" i="7" s="1"/>
  <c r="E36" i="7" s="1"/>
  <c r="U938" i="2" l="1"/>
  <c r="U903" i="2"/>
  <c r="U917" i="2"/>
  <c r="U931" i="2"/>
  <c r="U924" i="2"/>
  <c r="U910" i="2"/>
  <c r="D14" i="7"/>
  <c r="D12" i="7"/>
  <c r="D38" i="7"/>
  <c r="E38" i="7" s="1"/>
  <c r="G40" i="6"/>
  <c r="T938" i="2" l="1"/>
  <c r="T917" i="2"/>
  <c r="T910" i="2"/>
  <c r="T931" i="2"/>
  <c r="T924" i="2"/>
  <c r="T903" i="2"/>
  <c r="P830" i="2" l="1"/>
  <c r="E32" i="6"/>
  <c r="S826" i="2"/>
  <c r="Q826" i="2"/>
  <c r="I830" i="2"/>
  <c r="H830" i="2"/>
  <c r="I51" i="27" s="1"/>
  <c r="Q827" i="2" l="1"/>
  <c r="F51" i="26"/>
  <c r="O826" i="2"/>
  <c r="G830" i="2"/>
  <c r="E10" i="6"/>
  <c r="J830" i="2"/>
  <c r="E20" i="6"/>
  <c r="D16" i="7" s="1"/>
  <c r="Q830" i="2"/>
  <c r="E34" i="6"/>
  <c r="F51" i="19"/>
  <c r="K826" i="2"/>
  <c r="F51" i="20"/>
  <c r="L826" i="2"/>
  <c r="F51" i="25"/>
  <c r="N826" i="2"/>
  <c r="E51" i="32"/>
  <c r="I826" i="2"/>
  <c r="F51" i="21"/>
  <c r="M826" i="2"/>
  <c r="S830" i="2"/>
  <c r="E38" i="6"/>
  <c r="L830" i="2"/>
  <c r="E24" i="6"/>
  <c r="N830" i="2"/>
  <c r="E28" i="6"/>
  <c r="F51" i="17"/>
  <c r="J826" i="2"/>
  <c r="I51" i="32"/>
  <c r="J51" i="32" s="1"/>
  <c r="K830" i="2"/>
  <c r="E22" i="6"/>
  <c r="M830" i="2"/>
  <c r="E26" i="6"/>
  <c r="O830" i="2"/>
  <c r="E30" i="6"/>
  <c r="R830" i="2"/>
  <c r="E36" i="6"/>
  <c r="F853" i="2"/>
  <c r="X853" i="2" s="1"/>
  <c r="Y853" i="2" s="1"/>
  <c r="F857" i="2"/>
  <c r="F826" i="2"/>
  <c r="N827" i="2" l="1"/>
  <c r="K827" i="2"/>
  <c r="O827" i="2"/>
  <c r="I958" i="2"/>
  <c r="L955" i="2"/>
  <c r="L958" i="2"/>
  <c r="L957" i="2"/>
  <c r="L956" i="2"/>
  <c r="O956" i="2"/>
  <c r="O955" i="2"/>
  <c r="O957" i="2"/>
  <c r="O958" i="2"/>
  <c r="K956" i="2"/>
  <c r="K957" i="2"/>
  <c r="K955" i="2"/>
  <c r="K958" i="2"/>
  <c r="I955" i="2"/>
  <c r="N958" i="2"/>
  <c r="N956" i="2"/>
  <c r="N955" i="2"/>
  <c r="N957" i="2"/>
  <c r="I956" i="2"/>
  <c r="M957" i="2"/>
  <c r="M958" i="2"/>
  <c r="M956" i="2"/>
  <c r="M955" i="2"/>
  <c r="J958" i="2"/>
  <c r="J955" i="2"/>
  <c r="J957" i="2"/>
  <c r="J956" i="2"/>
  <c r="I957" i="2"/>
  <c r="W826" i="2"/>
  <c r="X826" i="2" s="1"/>
  <c r="Y826" i="2" s="1"/>
  <c r="I51" i="19"/>
  <c r="J51" i="19" s="1"/>
  <c r="D34" i="7"/>
  <c r="E34" i="7" s="1"/>
  <c r="G38" i="6"/>
  <c r="I51" i="25"/>
  <c r="J51" i="25" s="1"/>
  <c r="F51" i="32"/>
  <c r="G51" i="32"/>
  <c r="H51" i="32"/>
  <c r="I51" i="14"/>
  <c r="W830" i="2"/>
  <c r="X830" i="2" s="1"/>
  <c r="Y830" i="2" s="1"/>
  <c r="I51" i="26"/>
  <c r="J51" i="26" s="1"/>
  <c r="F895" i="2"/>
  <c r="F860" i="2"/>
  <c r="X860" i="2" s="1"/>
  <c r="Y860" i="2" s="1"/>
  <c r="F867" i="2"/>
  <c r="X867" i="2" s="1"/>
  <c r="Y867" i="2" s="1"/>
  <c r="F874" i="2"/>
  <c r="X874" i="2" s="1"/>
  <c r="Y874" i="2" s="1"/>
  <c r="F881" i="2"/>
  <c r="F888" i="2"/>
  <c r="X857" i="2"/>
  <c r="Y857" i="2" s="1"/>
  <c r="I51" i="21"/>
  <c r="J51" i="21" s="1"/>
  <c r="I51" i="20"/>
  <c r="J51" i="20" s="1"/>
  <c r="I51" i="17"/>
  <c r="J51" i="17" s="1"/>
  <c r="F825" i="2"/>
  <c r="X825" i="2" s="1"/>
  <c r="Y825" i="2" s="1"/>
  <c r="F736" i="2"/>
  <c r="W962" i="2"/>
  <c r="R831" i="2"/>
  <c r="Q831" i="2"/>
  <c r="K831" i="2"/>
  <c r="I831" i="2"/>
  <c r="I832" i="2" s="1"/>
  <c r="I833" i="2" s="1"/>
  <c r="S831" i="2"/>
  <c r="O831" i="2"/>
  <c r="J831" i="2"/>
  <c r="G831" i="2"/>
  <c r="L827" i="2"/>
  <c r="I827" i="2"/>
  <c r="H827" i="2"/>
  <c r="S827" i="2"/>
  <c r="R827" i="2"/>
  <c r="M827" i="2"/>
  <c r="J827" i="2"/>
  <c r="G827" i="2"/>
  <c r="F799" i="2"/>
  <c r="F744" i="2"/>
  <c r="F738" i="2"/>
  <c r="X723" i="2"/>
  <c r="Y723" i="2" s="1"/>
  <c r="X722" i="2"/>
  <c r="Y722" i="2" s="1"/>
  <c r="X721" i="2"/>
  <c r="Y721" i="2" s="1"/>
  <c r="X720" i="2"/>
  <c r="Y720" i="2" s="1"/>
  <c r="T681" i="2"/>
  <c r="S681" i="2"/>
  <c r="R681" i="2"/>
  <c r="Q681" i="2"/>
  <c r="P681" i="2"/>
  <c r="O681" i="2"/>
  <c r="N681" i="2"/>
  <c r="M681" i="2"/>
  <c r="L681" i="2"/>
  <c r="K681" i="2"/>
  <c r="J681" i="2"/>
  <c r="I681" i="2"/>
  <c r="H681" i="2"/>
  <c r="G681" i="2"/>
  <c r="F651" i="2"/>
  <c r="S938" i="2" l="1"/>
  <c r="S924" i="2"/>
  <c r="S917" i="2"/>
  <c r="S910" i="2"/>
  <c r="S903" i="2"/>
  <c r="S931" i="2"/>
  <c r="W957" i="2"/>
  <c r="X957" i="2" s="1"/>
  <c r="Y957" i="2" s="1"/>
  <c r="W958" i="2"/>
  <c r="X958" i="2" s="1"/>
  <c r="Y958" i="2" s="1"/>
  <c r="W737" i="2"/>
  <c r="X737" i="2" s="1"/>
  <c r="Y737" i="2" s="1"/>
  <c r="X962" i="2"/>
  <c r="Y962" i="2" s="1"/>
  <c r="W827" i="2"/>
  <c r="X827" i="2" s="1"/>
  <c r="Y827" i="2" s="1"/>
  <c r="X681" i="2"/>
  <c r="Y681" i="2" s="1"/>
  <c r="S832" i="2"/>
  <c r="S835" i="2" s="1"/>
  <c r="K832" i="2"/>
  <c r="K833" i="2" s="1"/>
  <c r="P831" i="2"/>
  <c r="H831" i="2"/>
  <c r="L831" i="2"/>
  <c r="T831" i="2"/>
  <c r="F669" i="2"/>
  <c r="I836" i="2"/>
  <c r="I946" i="2" s="1"/>
  <c r="I835" i="2"/>
  <c r="Q832" i="2"/>
  <c r="M831" i="2"/>
  <c r="R832" i="2"/>
  <c r="G832" i="2"/>
  <c r="J832" i="2"/>
  <c r="J833" i="2" s="1"/>
  <c r="N831" i="2"/>
  <c r="O832" i="2"/>
  <c r="O833" i="2" s="1"/>
  <c r="L832" i="2" l="1"/>
  <c r="L833" i="2" s="1"/>
  <c r="H832" i="2"/>
  <c r="K835" i="2"/>
  <c r="K836" i="2"/>
  <c r="L835" i="2"/>
  <c r="W831" i="2"/>
  <c r="X831" i="2" s="1"/>
  <c r="Y831" i="2" s="1"/>
  <c r="L836" i="2"/>
  <c r="L946" i="2" s="1"/>
  <c r="S836" i="2"/>
  <c r="S946" i="2" s="1"/>
  <c r="S833" i="2"/>
  <c r="Q836" i="2"/>
  <c r="Q946" i="2" s="1"/>
  <c r="Q833" i="2"/>
  <c r="I838" i="2"/>
  <c r="I849" i="2" s="1"/>
  <c r="I837" i="2"/>
  <c r="T832" i="2"/>
  <c r="T843" i="2"/>
  <c r="T844" i="2" s="1"/>
  <c r="T848" i="2" s="1"/>
  <c r="P832" i="2"/>
  <c r="P842" i="2"/>
  <c r="R836" i="2"/>
  <c r="R946" i="2" s="1"/>
  <c r="R835" i="2"/>
  <c r="R833" i="2"/>
  <c r="I846" i="2"/>
  <c r="O836" i="2"/>
  <c r="O946" i="2" s="1"/>
  <c r="O835" i="2"/>
  <c r="N832" i="2"/>
  <c r="N833" i="2" s="1"/>
  <c r="H835" i="2"/>
  <c r="H833" i="2"/>
  <c r="H836" i="2"/>
  <c r="H946" i="2" s="1"/>
  <c r="I847" i="2"/>
  <c r="G836" i="2"/>
  <c r="G946" i="2" s="1"/>
  <c r="G835" i="2"/>
  <c r="G833" i="2"/>
  <c r="J836" i="2"/>
  <c r="J946" i="2" s="1"/>
  <c r="J835" i="2"/>
  <c r="M832" i="2"/>
  <c r="Q835" i="2"/>
  <c r="F717" i="2"/>
  <c r="F704" i="2"/>
  <c r="K838" i="2" l="1"/>
  <c r="K946" i="2"/>
  <c r="W946" i="2" s="1"/>
  <c r="X946" i="2" s="1"/>
  <c r="Y946" i="2" s="1"/>
  <c r="P846" i="2"/>
  <c r="P847" i="2" s="1"/>
  <c r="P843" i="2"/>
  <c r="P844" i="2" s="1"/>
  <c r="L838" i="2"/>
  <c r="L837" i="2"/>
  <c r="L839" i="2" s="1"/>
  <c r="W956" i="2"/>
  <c r="X956" i="2" s="1"/>
  <c r="Y956" i="2" s="1"/>
  <c r="W832" i="2"/>
  <c r="X832" i="2" s="1"/>
  <c r="Y832" i="2" s="1"/>
  <c r="W842" i="2"/>
  <c r="X842" i="2" s="1"/>
  <c r="Y842" i="2" s="1"/>
  <c r="I839" i="2"/>
  <c r="I850" i="2" s="1"/>
  <c r="H837" i="2"/>
  <c r="H838" i="2"/>
  <c r="P836" i="2"/>
  <c r="P946" i="2" s="1"/>
  <c r="P833" i="2"/>
  <c r="T836" i="2"/>
  <c r="T946" i="2" s="1"/>
  <c r="T833" i="2"/>
  <c r="Q837" i="2"/>
  <c r="Q838" i="2"/>
  <c r="J838" i="2"/>
  <c r="J837" i="2"/>
  <c r="R838" i="2"/>
  <c r="R837" i="2"/>
  <c r="S838" i="2"/>
  <c r="S837" i="2"/>
  <c r="M833" i="2"/>
  <c r="G837" i="2"/>
  <c r="G839" i="2" s="1"/>
  <c r="G838" i="2"/>
  <c r="P835" i="2"/>
  <c r="T835" i="2"/>
  <c r="F725" i="2"/>
  <c r="I848" i="2"/>
  <c r="N836" i="2"/>
  <c r="N946" i="2" s="1"/>
  <c r="N835" i="2"/>
  <c r="M835" i="2"/>
  <c r="M836" i="2"/>
  <c r="M946" i="2" s="1"/>
  <c r="P849" i="2" l="1"/>
  <c r="P848" i="2"/>
  <c r="P850" i="2"/>
  <c r="W836" i="2"/>
  <c r="X836" i="2" s="1"/>
  <c r="Y836" i="2" s="1"/>
  <c r="W835" i="2"/>
  <c r="X835" i="2" s="1"/>
  <c r="Y835" i="2" s="1"/>
  <c r="W843" i="2"/>
  <c r="X843" i="2" s="1"/>
  <c r="Y843" i="2" s="1"/>
  <c r="W833" i="2"/>
  <c r="X833" i="2" s="1"/>
  <c r="Y833" i="2" s="1"/>
  <c r="J839" i="2"/>
  <c r="R839" i="2"/>
  <c r="H839" i="2"/>
  <c r="S839" i="2"/>
  <c r="M838" i="2"/>
  <c r="Q839" i="2"/>
  <c r="P837" i="2"/>
  <c r="P838" i="2"/>
  <c r="T837" i="2"/>
  <c r="T838" i="2"/>
  <c r="F763" i="2"/>
  <c r="F780" i="2"/>
  <c r="W847" i="2" l="1"/>
  <c r="X847" i="2" s="1"/>
  <c r="Y847" i="2" s="1"/>
  <c r="W838" i="2"/>
  <c r="X838" i="2" s="1"/>
  <c r="Y838" i="2" s="1"/>
  <c r="W846" i="2"/>
  <c r="X846" i="2" s="1"/>
  <c r="Y846" i="2" s="1"/>
  <c r="W844" i="2"/>
  <c r="X844" i="2" s="1"/>
  <c r="Y844" i="2" s="1"/>
  <c r="W837" i="2"/>
  <c r="X837" i="2" s="1"/>
  <c r="Y837" i="2" s="1"/>
  <c r="T839" i="2"/>
  <c r="P839" i="2"/>
  <c r="F788" i="2"/>
  <c r="W848" i="2" l="1"/>
  <c r="X848" i="2" s="1"/>
  <c r="Y848" i="2" s="1"/>
  <c r="W850" i="2"/>
  <c r="X850" i="2" s="1"/>
  <c r="Y850" i="2" s="1"/>
  <c r="W839" i="2"/>
  <c r="X839" i="2" s="1"/>
  <c r="Y839" i="2" s="1"/>
  <c r="W849" i="2"/>
  <c r="X849" i="2" s="1"/>
  <c r="Y849" i="2" s="1"/>
  <c r="F117" i="1" l="1"/>
  <c r="F143" i="1" l="1"/>
  <c r="F138" i="1"/>
  <c r="F137" i="1"/>
  <c r="F136" i="1"/>
  <c r="F135" i="1"/>
  <c r="F134" i="1"/>
  <c r="F126" i="1"/>
  <c r="F104" i="1"/>
  <c r="F107" i="1"/>
  <c r="F103" i="1"/>
  <c r="F72" i="1"/>
  <c r="F62" i="1"/>
  <c r="AC60" i="1"/>
  <c r="AB60" i="1"/>
  <c r="Y60" i="1"/>
  <c r="X60" i="1"/>
  <c r="W60" i="1"/>
  <c r="T60" i="1"/>
  <c r="F43" i="1"/>
  <c r="P834" i="2" s="1"/>
  <c r="F42" i="1"/>
  <c r="F40" i="1"/>
  <c r="F39" i="1"/>
  <c r="F38" i="1"/>
  <c r="F30" i="1"/>
  <c r="F10" i="1"/>
  <c r="F9" i="1"/>
  <c r="F8" i="1"/>
  <c r="W834" i="2" l="1"/>
  <c r="X834" i="2" s="1"/>
  <c r="Y834" i="2" s="1"/>
  <c r="P845" i="2"/>
  <c r="W845" i="2" s="1"/>
  <c r="X845" i="2" s="1"/>
  <c r="Y845"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68" i="7"/>
  <c r="K10" i="7" s="1"/>
  <c r="C34" i="6"/>
  <c r="C36" i="6"/>
  <c r="G10" i="6"/>
  <c r="G12" i="6"/>
  <c r="E14" i="7"/>
  <c r="G22" i="6"/>
  <c r="F33" i="14"/>
  <c r="K33" i="14" s="1"/>
  <c r="L33" i="14" s="1"/>
  <c r="E1" i="2"/>
  <c r="F1" i="2" s="1"/>
  <c r="G1" i="2" s="1"/>
  <c r="G66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5" i="7"/>
  <c r="J406" i="1"/>
  <c r="J16" i="1"/>
  <c r="J20" i="1"/>
  <c r="AH474" i="1"/>
  <c r="E51" i="14"/>
  <c r="F51" i="14"/>
  <c r="G51" i="14"/>
  <c r="H51" i="14"/>
  <c r="H406" i="1"/>
  <c r="D30" i="7"/>
  <c r="E30" i="7" s="1"/>
  <c r="G20" i="6"/>
  <c r="D22" i="7"/>
  <c r="E22" i="7" s="1"/>
  <c r="H386" i="1"/>
  <c r="J178" i="1"/>
  <c r="K45" i="7" l="1"/>
  <c r="K63" i="7"/>
  <c r="K20" i="7"/>
  <c r="K18" i="7"/>
  <c r="K47" i="7"/>
  <c r="K49" i="7"/>
  <c r="K24" i="7"/>
  <c r="K51" i="7"/>
  <c r="K26" i="7"/>
  <c r="K55" i="7"/>
  <c r="K28" i="7"/>
  <c r="K57" i="7"/>
  <c r="K22" i="7"/>
  <c r="K67" i="7"/>
  <c r="K41" i="7"/>
  <c r="K59" i="7"/>
  <c r="K16" i="7"/>
  <c r="K43" i="7"/>
  <c r="K61" i="7"/>
  <c r="J938" i="2"/>
  <c r="J931" i="2"/>
  <c r="J924" i="2"/>
  <c r="J917" i="2"/>
  <c r="J910" i="2"/>
  <c r="J903" i="2"/>
  <c r="G938" i="2"/>
  <c r="G917" i="2"/>
  <c r="G910" i="2"/>
  <c r="G903" i="2"/>
  <c r="G931" i="2"/>
  <c r="G924" i="2"/>
  <c r="K938" i="2"/>
  <c r="K924" i="2"/>
  <c r="K917" i="2"/>
  <c r="K910" i="2"/>
  <c r="K903" i="2"/>
  <c r="K931" i="2"/>
  <c r="D10" i="7"/>
  <c r="E10" i="7" s="1"/>
  <c r="G458" i="1"/>
  <c r="G460" i="1" s="1"/>
  <c r="G462" i="1" s="1"/>
  <c r="G32" i="6"/>
  <c r="D28" i="7"/>
  <c r="E28" i="7" s="1"/>
  <c r="D26" i="7"/>
  <c r="E26" i="7" s="1"/>
  <c r="G30" i="6"/>
  <c r="G34" i="6"/>
  <c r="G26" i="6"/>
  <c r="G24" i="6"/>
  <c r="D20" i="7"/>
  <c r="E20" i="7" s="1"/>
  <c r="E16" i="7"/>
  <c r="D18" i="7"/>
  <c r="E18" i="7" s="1"/>
  <c r="E12" i="7"/>
  <c r="H1" i="2"/>
  <c r="H661" i="2" s="1"/>
  <c r="G16"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4" i="7"/>
  <c r="E24" i="7" s="1"/>
  <c r="G28"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K68" i="7" l="1"/>
  <c r="L938" i="2"/>
  <c r="L917" i="2"/>
  <c r="L910" i="2"/>
  <c r="L903" i="2"/>
  <c r="L931" i="2"/>
  <c r="L924" i="2"/>
  <c r="M938" i="2"/>
  <c r="M910" i="2"/>
  <c r="M931" i="2"/>
  <c r="M924" i="2"/>
  <c r="M917" i="2"/>
  <c r="M903" i="2"/>
  <c r="N938" i="2"/>
  <c r="N931" i="2"/>
  <c r="N924" i="2"/>
  <c r="N917" i="2"/>
  <c r="N910" i="2"/>
  <c r="N903" i="2"/>
  <c r="Q938" i="2"/>
  <c r="Q931" i="2"/>
  <c r="Q924" i="2"/>
  <c r="Q917" i="2"/>
  <c r="Q910" i="2"/>
  <c r="Q903" i="2"/>
  <c r="P938" i="2"/>
  <c r="P917" i="2"/>
  <c r="P910" i="2"/>
  <c r="P903" i="2"/>
  <c r="P924" i="2"/>
  <c r="P931" i="2"/>
  <c r="O938" i="2"/>
  <c r="O931" i="2"/>
  <c r="O917" i="2"/>
  <c r="O910" i="2"/>
  <c r="O903" i="2"/>
  <c r="O924"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I1" i="2"/>
  <c r="I661" i="2" s="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2" i="7"/>
  <c r="E32" i="7" s="1"/>
  <c r="G36"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4" i="6"/>
  <c r="E45"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18" i="6"/>
  <c r="I903" i="2" s="1"/>
  <c r="AK72" i="1"/>
  <c r="AL72" i="1" s="1"/>
  <c r="T163" i="1"/>
  <c r="T169" i="1" s="1"/>
  <c r="T171" i="1" s="1"/>
  <c r="T358" i="1"/>
  <c r="L181" i="1"/>
  <c r="L192" i="1" s="1"/>
  <c r="R938" i="2" l="1"/>
  <c r="R931" i="2"/>
  <c r="R924" i="2"/>
  <c r="R917" i="2"/>
  <c r="R910" i="2"/>
  <c r="R903" i="2"/>
  <c r="I910" i="2"/>
  <c r="I917" i="2"/>
  <c r="I924" i="2"/>
  <c r="I938" i="2"/>
  <c r="H938" i="2"/>
  <c r="H924" i="2"/>
  <c r="H917" i="2"/>
  <c r="H931" i="2"/>
  <c r="H910" i="2"/>
  <c r="H903" i="2"/>
  <c r="I931" i="2"/>
  <c r="P104" i="1"/>
  <c r="P521" i="1"/>
  <c r="AK521" i="1" s="1"/>
  <c r="AL521" i="1" s="1"/>
  <c r="AF62" i="1"/>
  <c r="Q103" i="1"/>
  <c r="Q104" i="1"/>
  <c r="AH62" i="1"/>
  <c r="J1" i="2"/>
  <c r="J661" i="2" s="1"/>
  <c r="Q245" i="1"/>
  <c r="Q421" i="1"/>
  <c r="Q422" i="1"/>
  <c r="Q530" i="1"/>
  <c r="Q533" i="1" s="1"/>
  <c r="F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AH138" i="1"/>
  <c r="AH140" i="1" s="1"/>
  <c r="U425" i="1"/>
  <c r="U234" i="1" s="1"/>
  <c r="AJ533" i="1"/>
  <c r="F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AC402" i="1"/>
  <c r="S8" i="1"/>
  <c r="S402" i="1"/>
  <c r="AK272" i="1"/>
  <c r="AL272" i="1" s="1"/>
  <c r="AB225" i="1"/>
  <c r="I516" i="1"/>
  <c r="I529" i="1"/>
  <c r="I533" i="1" s="1"/>
  <c r="F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AH106" i="1"/>
  <c r="I518" i="1"/>
  <c r="AH9" i="1"/>
  <c r="J425" i="1"/>
  <c r="J243" i="1" s="1"/>
  <c r="K533" i="1"/>
  <c r="F354" i="2" s="1"/>
  <c r="AK211" i="1"/>
  <c r="AL211" i="1" s="1"/>
  <c r="AB171" i="1"/>
  <c r="AB215" i="1" s="1"/>
  <c r="I181" i="1"/>
  <c r="AH533" i="1"/>
  <c r="F397" i="2" s="1"/>
  <c r="S533" i="1"/>
  <c r="F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V225" i="1"/>
  <c r="G45" i="6"/>
  <c r="H44" i="6" s="1"/>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AK104" i="1" l="1"/>
  <c r="AL104" i="1" s="1"/>
  <c r="W924" i="2"/>
  <c r="W910" i="2"/>
  <c r="W917" i="2"/>
  <c r="W938" i="2"/>
  <c r="H38" i="6"/>
  <c r="S820" i="2" s="1"/>
  <c r="F938" i="2"/>
  <c r="F931" i="2"/>
  <c r="F924" i="2"/>
  <c r="X924" i="2" s="1"/>
  <c r="Y924" i="2" s="1"/>
  <c r="F917" i="2"/>
  <c r="F910" i="2"/>
  <c r="F903" i="2"/>
  <c r="W931" i="2"/>
  <c r="H14" i="6"/>
  <c r="H42" i="6"/>
  <c r="H40" i="6"/>
  <c r="T820" i="2" s="1"/>
  <c r="I10" i="1"/>
  <c r="I62" i="1"/>
  <c r="K1" i="2"/>
  <c r="K661" i="2" s="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6" i="6"/>
  <c r="R820" i="2" s="1"/>
  <c r="Y379" i="1"/>
  <c r="Y174" i="1"/>
  <c r="P425" i="1"/>
  <c r="AK414" i="1"/>
  <c r="AL414" i="1" s="1"/>
  <c r="M523" i="1"/>
  <c r="M503" i="1"/>
  <c r="M504" i="1"/>
  <c r="M614" i="1"/>
  <c r="M328" i="1"/>
  <c r="M329" i="1"/>
  <c r="M250" i="1"/>
  <c r="M263" i="1" s="1"/>
  <c r="M280" i="1" s="1"/>
  <c r="M611" i="1"/>
  <c r="U142" i="1"/>
  <c r="H18" i="6"/>
  <c r="AJ12" i="1"/>
  <c r="AJ66" i="1" s="1"/>
  <c r="AJ117" i="1" s="1"/>
  <c r="P107" i="1"/>
  <c r="P9" i="1"/>
  <c r="P106" i="1"/>
  <c r="P10" i="1"/>
  <c r="P74" i="1"/>
  <c r="P77" i="1" s="1"/>
  <c r="P94" i="1" s="1"/>
  <c r="P57" i="1"/>
  <c r="P128" i="1"/>
  <c r="P130" i="1" s="1"/>
  <c r="P138" i="1"/>
  <c r="P140" i="1" s="1"/>
  <c r="P8" i="1"/>
  <c r="P59" i="1"/>
  <c r="AK102" i="1"/>
  <c r="AL102" i="1" s="1"/>
  <c r="E41" i="7"/>
  <c r="L12" i="1"/>
  <c r="L66" i="1" s="1"/>
  <c r="L117" i="1" s="1"/>
  <c r="H440" i="1"/>
  <c r="Z184" i="1"/>
  <c r="Z379" i="1"/>
  <c r="Z402" i="1" s="1"/>
  <c r="U612" i="1"/>
  <c r="U268" i="1"/>
  <c r="U278" i="1" s="1"/>
  <c r="U280" i="1" s="1"/>
  <c r="J12" i="1"/>
  <c r="J66" i="1" s="1"/>
  <c r="J117" i="1" s="1"/>
  <c r="F353" i="2"/>
  <c r="AK519" i="1"/>
  <c r="AL519" i="1" s="1"/>
  <c r="U523" i="1"/>
  <c r="U328" i="1"/>
  <c r="U504" i="1"/>
  <c r="U503" i="1"/>
  <c r="U614" i="1"/>
  <c r="U329" i="1"/>
  <c r="J614" i="1"/>
  <c r="J328" i="1"/>
  <c r="J329" i="1"/>
  <c r="J504" i="1"/>
  <c r="J523" i="1"/>
  <c r="J503" i="1"/>
  <c r="U109" i="1"/>
  <c r="L503" i="1"/>
  <c r="L504" i="1"/>
  <c r="L328" i="1"/>
  <c r="L329" i="1"/>
  <c r="L523" i="1"/>
  <c r="L614" i="1"/>
  <c r="H456" i="1"/>
  <c r="H26" i="6"/>
  <c r="M820" i="2" s="1"/>
  <c r="H10" i="6"/>
  <c r="G820" i="2" s="1"/>
  <c r="H32" i="6"/>
  <c r="P820" i="2" s="1"/>
  <c r="H22" i="6"/>
  <c r="K820" i="2" s="1"/>
  <c r="H16" i="6"/>
  <c r="H34" i="6"/>
  <c r="Q820" i="2" s="1"/>
  <c r="H12" i="6"/>
  <c r="H30" i="6"/>
  <c r="O820" i="2" s="1"/>
  <c r="H24" i="6"/>
  <c r="L820" i="2" s="1"/>
  <c r="H20" i="6"/>
  <c r="J820" i="2" s="1"/>
  <c r="H28" i="6"/>
  <c r="N820" i="2" s="1"/>
  <c r="AJ504" i="1"/>
  <c r="AJ614" i="1"/>
  <c r="AJ503" i="1"/>
  <c r="AJ329" i="1"/>
  <c r="AJ523" i="1"/>
  <c r="AJ328" i="1"/>
  <c r="P533" i="1"/>
  <c r="F361" i="2" s="1"/>
  <c r="AK530" i="1"/>
  <c r="AL530" i="1" s="1"/>
  <c r="M12" i="1"/>
  <c r="M66" i="1" s="1"/>
  <c r="M117" i="1" s="1"/>
  <c r="F34" i="7" l="1"/>
  <c r="S819" i="2" s="1"/>
  <c r="F40" i="7"/>
  <c r="X910" i="2"/>
  <c r="Y910" i="2" s="1"/>
  <c r="X917" i="2"/>
  <c r="Y917" i="2" s="1"/>
  <c r="X938" i="2"/>
  <c r="Y938" i="2" s="1"/>
  <c r="H820" i="2"/>
  <c r="I820" i="2"/>
  <c r="X931" i="2"/>
  <c r="Y931" i="2" s="1"/>
  <c r="F36" i="7"/>
  <c r="T819" i="2" s="1"/>
  <c r="F38" i="7"/>
  <c r="L1" i="2"/>
  <c r="L661" i="2" s="1"/>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AF524" i="1"/>
  <c r="AF526" i="1" s="1"/>
  <c r="F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S93" i="1"/>
  <c r="S96" i="1" s="1"/>
  <c r="S497" i="1" s="1"/>
  <c r="S79" i="1"/>
  <c r="U496" i="1"/>
  <c r="U501" i="1"/>
  <c r="Y247" i="1"/>
  <c r="U493" i="1"/>
  <c r="U326" i="1"/>
  <c r="U494" i="1"/>
  <c r="U323" i="1"/>
  <c r="U498" i="1"/>
  <c r="U327" i="1"/>
  <c r="U499" i="1"/>
  <c r="U502" i="1"/>
  <c r="F23" i="2"/>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K616" i="1"/>
  <c r="S324" i="1"/>
  <c r="S493" i="1"/>
  <c r="S326" i="1"/>
  <c r="S499" i="1"/>
  <c r="S495" i="1"/>
  <c r="S501" i="1"/>
  <c r="S323" i="1"/>
  <c r="S321" i="1"/>
  <c r="S327" i="1"/>
  <c r="S320" i="1"/>
  <c r="S318" i="1"/>
  <c r="S319" i="1"/>
  <c r="S502" i="1"/>
  <c r="S496" i="1"/>
  <c r="S498" i="1"/>
  <c r="S494" i="1"/>
  <c r="AB247" i="1"/>
  <c r="P142" i="1"/>
  <c r="F11" i="2"/>
  <c r="K79" i="1"/>
  <c r="K116" i="1"/>
  <c r="K115" i="1"/>
  <c r="K93" i="1"/>
  <c r="K96" i="1" s="1"/>
  <c r="Z190" i="1"/>
  <c r="P12" i="1"/>
  <c r="P66" i="1" s="1"/>
  <c r="P117" i="1" s="1"/>
  <c r="Y402" i="1"/>
  <c r="F363" i="2"/>
  <c r="J524" i="1"/>
  <c r="J526" i="1" s="1"/>
  <c r="J616" i="1"/>
  <c r="F16" i="7"/>
  <c r="J819" i="2" s="1"/>
  <c r="F10" i="7"/>
  <c r="G819" i="2" s="1"/>
  <c r="F26" i="7"/>
  <c r="O819" i="2" s="1"/>
  <c r="F20" i="7"/>
  <c r="L819" i="2" s="1"/>
  <c r="F28" i="7"/>
  <c r="P819" i="2" s="1"/>
  <c r="F12" i="7"/>
  <c r="H819" i="2" s="1"/>
  <c r="F18" i="7"/>
  <c r="K819" i="2" s="1"/>
  <c r="F30" i="7"/>
  <c r="Q819" i="2" s="1"/>
  <c r="F22" i="7"/>
  <c r="M819" i="2" s="1"/>
  <c r="F14" i="7"/>
  <c r="I819" i="2" s="1"/>
  <c r="F24" i="7"/>
  <c r="N819" i="2" s="1"/>
  <c r="F32" i="7"/>
  <c r="R819" i="2" s="1"/>
  <c r="H45" i="6"/>
  <c r="H68"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W820" i="2" l="1"/>
  <c r="X820" i="2" s="1"/>
  <c r="Y820" i="2" s="1"/>
  <c r="W819" i="2"/>
  <c r="X819" i="2" s="1"/>
  <c r="Y819" i="2" s="1"/>
  <c r="U93" i="1"/>
  <c r="U96" i="1" s="1"/>
  <c r="U541" i="1" s="1"/>
  <c r="F606" i="2" s="1"/>
  <c r="U117" i="1"/>
  <c r="AH115" i="1"/>
  <c r="AH117" i="1"/>
  <c r="M1" i="2"/>
  <c r="M661" i="2" s="1"/>
  <c r="AK610" i="1"/>
  <c r="AL610" i="1" s="1"/>
  <c r="Q501" i="1"/>
  <c r="Q616" i="1"/>
  <c r="Q320" i="1"/>
  <c r="Q496" i="1"/>
  <c r="Q319" i="1"/>
  <c r="Q524" i="1"/>
  <c r="Q526" i="1" s="1"/>
  <c r="F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AF115" i="1"/>
  <c r="U284" i="1"/>
  <c r="U309" i="1" s="1"/>
  <c r="F51" i="2"/>
  <c r="AF93" i="1"/>
  <c r="AF96" i="1" s="1"/>
  <c r="AF537" i="1" s="1"/>
  <c r="F508" i="2" s="1"/>
  <c r="AF116" i="1"/>
  <c r="I524" i="1"/>
  <c r="I526" i="1" s="1"/>
  <c r="F295" i="2" s="1"/>
  <c r="I66" i="1"/>
  <c r="S537" i="1"/>
  <c r="F480" i="2" s="1"/>
  <c r="U116" i="1"/>
  <c r="U79" i="1"/>
  <c r="I616" i="1"/>
  <c r="J282" i="1"/>
  <c r="U115" i="1"/>
  <c r="F29" i="2"/>
  <c r="S322" i="1"/>
  <c r="S535" i="1"/>
  <c r="F423" i="2" s="1"/>
  <c r="S325" i="1"/>
  <c r="S111" i="1"/>
  <c r="F81" i="2" s="1"/>
  <c r="AF284" i="1"/>
  <c r="S541" i="1"/>
  <c r="F600" i="2" s="1"/>
  <c r="S543" i="1"/>
  <c r="S500" i="1"/>
  <c r="S506" i="1" s="1"/>
  <c r="S508" i="1" s="1"/>
  <c r="I160" i="1"/>
  <c r="S282" i="1"/>
  <c r="F19" i="2"/>
  <c r="Q79" i="1"/>
  <c r="Q115" i="1"/>
  <c r="Q93" i="1"/>
  <c r="Q96" i="1" s="1"/>
  <c r="Q116" i="1"/>
  <c r="K325" i="1"/>
  <c r="K497" i="1"/>
  <c r="K543" i="1"/>
  <c r="K322" i="1"/>
  <c r="K541" i="1"/>
  <c r="F588" i="2" s="1"/>
  <c r="K535" i="1"/>
  <c r="K500" i="1"/>
  <c r="K537" i="1"/>
  <c r="F468" i="2" s="1"/>
  <c r="K111" i="1"/>
  <c r="F69" i="2" s="1"/>
  <c r="F298" i="2"/>
  <c r="F343" i="2"/>
  <c r="F315" i="2"/>
  <c r="P247" i="1"/>
  <c r="L93" i="1"/>
  <c r="L96" i="1" s="1"/>
  <c r="L116" i="1"/>
  <c r="L115" i="1"/>
  <c r="L79" i="1"/>
  <c r="F12" i="2"/>
  <c r="H278" i="1"/>
  <c r="J116" i="1"/>
  <c r="J115" i="1"/>
  <c r="F10" i="2"/>
  <c r="J79" i="1"/>
  <c r="J93" i="1"/>
  <c r="J96" i="1" s="1"/>
  <c r="H263" i="1"/>
  <c r="Y192" i="1"/>
  <c r="F299" i="2"/>
  <c r="Z192" i="1"/>
  <c r="Z215" i="1" s="1"/>
  <c r="Z227" i="1" s="1"/>
  <c r="F57" i="2"/>
  <c r="AJ79" i="1"/>
  <c r="AJ93" i="1"/>
  <c r="AJ96" i="1" s="1"/>
  <c r="AJ115" i="1"/>
  <c r="AJ116" i="1"/>
  <c r="P462" i="1"/>
  <c r="F296" i="2"/>
  <c r="F41" i="7"/>
  <c r="M79" i="1"/>
  <c r="M115" i="1"/>
  <c r="M116" i="1"/>
  <c r="F13" i="2"/>
  <c r="M93" i="1"/>
  <c r="M96" i="1" s="1"/>
  <c r="P616" i="1"/>
  <c r="P524" i="1"/>
  <c r="U322" i="1" l="1"/>
  <c r="U111" i="1"/>
  <c r="F87" i="2" s="1"/>
  <c r="U537" i="1"/>
  <c r="F486" i="2" s="1"/>
  <c r="U500" i="1"/>
  <c r="U325" i="1"/>
  <c r="U535" i="1"/>
  <c r="F429" i="2" s="1"/>
  <c r="U497" i="1"/>
  <c r="U543" i="1"/>
  <c r="I79" i="1"/>
  <c r="I117" i="1"/>
  <c r="N1" i="2"/>
  <c r="N661" i="2" s="1"/>
  <c r="Q282" i="1"/>
  <c r="AH537" i="1"/>
  <c r="F511" i="2" s="1"/>
  <c r="AF535" i="1"/>
  <c r="F451" i="2" s="1"/>
  <c r="AH543" i="1"/>
  <c r="AH535" i="1"/>
  <c r="F454" i="2" s="1"/>
  <c r="AH497" i="1"/>
  <c r="AH500" i="1"/>
  <c r="AH322" i="1"/>
  <c r="AH541" i="1"/>
  <c r="F631" i="2" s="1"/>
  <c r="AH111" i="1"/>
  <c r="F112" i="2" s="1"/>
  <c r="AF497" i="1"/>
  <c r="AF111" i="1"/>
  <c r="F109" i="2" s="1"/>
  <c r="AF543" i="1"/>
  <c r="AF322" i="1"/>
  <c r="AF500" i="1"/>
  <c r="AF325" i="1"/>
  <c r="AF541" i="1"/>
  <c r="F628" i="2" s="1"/>
  <c r="S331" i="1"/>
  <c r="S333" i="1" s="1"/>
  <c r="F195" i="2" s="1"/>
  <c r="I115" i="1"/>
  <c r="I93" i="1"/>
  <c r="I96" i="1" s="1"/>
  <c r="I116" i="1"/>
  <c r="F9" i="2"/>
  <c r="S545" i="1"/>
  <c r="S510" i="1"/>
  <c r="F252" i="2"/>
  <c r="S123" i="1"/>
  <c r="Q541" i="1"/>
  <c r="F596" i="2" s="1"/>
  <c r="Q325" i="1"/>
  <c r="Q537" i="1"/>
  <c r="F476" i="2" s="1"/>
  <c r="Q535" i="1"/>
  <c r="Q111" i="1"/>
  <c r="F77" i="2" s="1"/>
  <c r="Q497" i="1"/>
  <c r="Q500" i="1"/>
  <c r="Q322" i="1"/>
  <c r="Q543" i="1"/>
  <c r="F411" i="2"/>
  <c r="K545" i="1"/>
  <c r="P282" i="1"/>
  <c r="P284" i="1"/>
  <c r="M111" i="1"/>
  <c r="F71" i="2" s="1"/>
  <c r="M322" i="1"/>
  <c r="M497" i="1"/>
  <c r="M543" i="1"/>
  <c r="M537" i="1"/>
  <c r="F470" i="2" s="1"/>
  <c r="M541" i="1"/>
  <c r="F590" i="2" s="1"/>
  <c r="M535" i="1"/>
  <c r="M500" i="1"/>
  <c r="M325" i="1"/>
  <c r="P526" i="1"/>
  <c r="AJ497" i="1"/>
  <c r="AJ543" i="1"/>
  <c r="AJ535" i="1"/>
  <c r="AJ500" i="1"/>
  <c r="AJ537" i="1"/>
  <c r="F514" i="2" s="1"/>
  <c r="AJ325" i="1"/>
  <c r="AJ111" i="1"/>
  <c r="F115" i="2" s="1"/>
  <c r="AJ322" i="1"/>
  <c r="AJ541" i="1"/>
  <c r="F634" i="2" s="1"/>
  <c r="L535" i="1"/>
  <c r="L537" i="1"/>
  <c r="F469" i="2" s="1"/>
  <c r="L541" i="1"/>
  <c r="F589" i="2" s="1"/>
  <c r="L111" i="1"/>
  <c r="F70" i="2" s="1"/>
  <c r="L322" i="1"/>
  <c r="L500" i="1"/>
  <c r="L497" i="1"/>
  <c r="L543" i="1"/>
  <c r="L325" i="1"/>
  <c r="P115" i="1"/>
  <c r="F18" i="2"/>
  <c r="P116" i="1"/>
  <c r="P79" i="1"/>
  <c r="P93" i="1"/>
  <c r="P96" i="1" s="1"/>
  <c r="H280" i="1"/>
  <c r="J537" i="1"/>
  <c r="F467" i="2" s="1"/>
  <c r="J111" i="1"/>
  <c r="F68" i="2" s="1"/>
  <c r="J497" i="1"/>
  <c r="J325" i="1"/>
  <c r="J500" i="1"/>
  <c r="J535" i="1"/>
  <c r="J543" i="1"/>
  <c r="J541" i="1"/>
  <c r="F587" i="2" s="1"/>
  <c r="J322" i="1"/>
  <c r="Y215" i="1"/>
  <c r="P487" i="1"/>
  <c r="U506" i="1" l="1"/>
  <c r="U508" i="1" s="1"/>
  <c r="U123" i="1" s="1"/>
  <c r="U331" i="1"/>
  <c r="U333" i="1" s="1"/>
  <c r="F201" i="2" s="1"/>
  <c r="U545" i="1"/>
  <c r="O1" i="2"/>
  <c r="O661" i="2" s="1"/>
  <c r="AH545" i="1"/>
  <c r="AF545" i="1"/>
  <c r="S335" i="1"/>
  <c r="S547" i="1"/>
  <c r="I322" i="1"/>
  <c r="I500" i="1"/>
  <c r="I111" i="1"/>
  <c r="F67" i="2" s="1"/>
  <c r="I543" i="1"/>
  <c r="I535" i="1"/>
  <c r="I537" i="1"/>
  <c r="F466" i="2" s="1"/>
  <c r="I497" i="1"/>
  <c r="I325" i="1"/>
  <c r="I541" i="1"/>
  <c r="F586" i="2" s="1"/>
  <c r="Q506" i="1"/>
  <c r="Q508" i="1" s="1"/>
  <c r="Q123" i="1" s="1"/>
  <c r="Q331" i="1"/>
  <c r="Q333" i="1" s="1"/>
  <c r="F191" i="2" s="1"/>
  <c r="AJ506" i="1"/>
  <c r="AJ508" i="1" s="1"/>
  <c r="F286" i="2" s="1"/>
  <c r="AJ331" i="1"/>
  <c r="AJ333" i="1" s="1"/>
  <c r="AJ335" i="1" s="1"/>
  <c r="U547" i="1"/>
  <c r="F419" i="2"/>
  <c r="Q545" i="1"/>
  <c r="P327" i="1"/>
  <c r="P326" i="1"/>
  <c r="P498" i="1"/>
  <c r="P493" i="1"/>
  <c r="P496" i="1"/>
  <c r="P494" i="1"/>
  <c r="P501" i="1"/>
  <c r="P319" i="1"/>
  <c r="P495" i="1"/>
  <c r="P323" i="1"/>
  <c r="P318" i="1"/>
  <c r="P321" i="1"/>
  <c r="P502" i="1"/>
  <c r="P320" i="1"/>
  <c r="P324" i="1"/>
  <c r="P499" i="1"/>
  <c r="P543" i="1"/>
  <c r="P537" i="1"/>
  <c r="F475" i="2" s="1"/>
  <c r="P325" i="1"/>
  <c r="P322" i="1"/>
  <c r="P111" i="1"/>
  <c r="F76" i="2" s="1"/>
  <c r="P541" i="1"/>
  <c r="F595" i="2" s="1"/>
  <c r="P500" i="1"/>
  <c r="P497" i="1"/>
  <c r="P535" i="1"/>
  <c r="F418" i="2" s="1"/>
  <c r="F457" i="2"/>
  <c r="AJ545" i="1"/>
  <c r="F413" i="2"/>
  <c r="M545" i="1"/>
  <c r="H282" i="1"/>
  <c r="F412" i="2"/>
  <c r="L545" i="1"/>
  <c r="F410" i="2"/>
  <c r="J545" i="1"/>
  <c r="P309" i="1"/>
  <c r="Y227" i="1"/>
  <c r="F304" i="2"/>
  <c r="F258" i="2"/>
  <c r="U510" i="1"/>
  <c r="U335" i="1" l="1"/>
  <c r="U114" i="1" s="1"/>
  <c r="U118" i="1" s="1"/>
  <c r="U146" i="1" s="1"/>
  <c r="F144" i="2" s="1"/>
  <c r="P1" i="2"/>
  <c r="P661" i="2" s="1"/>
  <c r="S114" i="1"/>
  <c r="S118" i="1" s="1"/>
  <c r="S146" i="1" s="1"/>
  <c r="F138" i="2" s="1"/>
  <c r="F409" i="2"/>
  <c r="I545" i="1"/>
  <c r="AJ123" i="1"/>
  <c r="AJ510" i="1"/>
  <c r="Q510" i="1"/>
  <c r="F248" i="2"/>
  <c r="Q547" i="1"/>
  <c r="Q335" i="1"/>
  <c r="F229" i="2"/>
  <c r="AJ547" i="1"/>
  <c r="P545" i="1"/>
  <c r="AJ114" i="1"/>
  <c r="AJ118" i="1" s="1"/>
  <c r="AJ146" i="1" s="1"/>
  <c r="F172" i="2" s="1"/>
  <c r="P331" i="1"/>
  <c r="P333" i="1" s="1"/>
  <c r="P506" i="1"/>
  <c r="P508" i="1" s="1"/>
  <c r="Q1" i="2" l="1"/>
  <c r="Q661" i="2" s="1"/>
  <c r="Q114" i="1"/>
  <c r="Q118" i="1" s="1"/>
  <c r="Q146" i="1" s="1"/>
  <c r="F134" i="2" s="1"/>
  <c r="F190" i="2"/>
  <c r="P335" i="1"/>
  <c r="P547" i="1"/>
  <c r="P123" i="1"/>
  <c r="F247" i="2"/>
  <c r="P510" i="1"/>
  <c r="R1" i="2" l="1"/>
  <c r="R661" i="2" s="1"/>
  <c r="P114" i="1"/>
  <c r="P118" i="1" s="1"/>
  <c r="P146" i="1" s="1"/>
  <c r="F133" i="2" s="1"/>
  <c r="S1" i="2" l="1"/>
  <c r="S661" i="2" s="1"/>
  <c r="T1" i="2" l="1"/>
  <c r="T661" i="2" s="1"/>
  <c r="T784" i="2" l="1"/>
  <c r="U1" i="2"/>
  <c r="U661" i="2" s="1"/>
  <c r="U784" i="2" l="1"/>
  <c r="V1" i="2"/>
  <c r="V661" i="2" s="1"/>
  <c r="W661" i="2" s="1"/>
  <c r="X661" i="2" s="1"/>
  <c r="Y661" i="2" s="1"/>
  <c r="V784" i="2" l="1"/>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I123" i="1"/>
  <c r="F238" i="2"/>
  <c r="I510" i="1"/>
  <c r="J506" i="1"/>
  <c r="J508" i="1" s="1"/>
  <c r="J510" i="1" s="1"/>
  <c r="J331" i="1"/>
  <c r="J333" i="1" s="1"/>
  <c r="J335" i="1" s="1"/>
  <c r="L506" i="1"/>
  <c r="L508" i="1" s="1"/>
  <c r="L331" i="1"/>
  <c r="L333" i="1" s="1"/>
  <c r="M506" i="1"/>
  <c r="M508" i="1" s="1"/>
  <c r="M331" i="1"/>
  <c r="M333" i="1" s="1"/>
  <c r="I114" i="1" l="1"/>
  <c r="I118" i="1" s="1"/>
  <c r="F239" i="2"/>
  <c r="J123" i="1"/>
  <c r="F182" i="2"/>
  <c r="J547" i="1"/>
  <c r="M547" i="1"/>
  <c r="F185" i="2"/>
  <c r="M335" i="1"/>
  <c r="L510" i="1"/>
  <c r="L123" i="1"/>
  <c r="F241" i="2"/>
  <c r="F242" i="2"/>
  <c r="M510" i="1"/>
  <c r="M123" i="1"/>
  <c r="L547" i="1"/>
  <c r="L335" i="1"/>
  <c r="F184" i="2"/>
  <c r="J114" i="1"/>
  <c r="J118" i="1" s="1"/>
  <c r="J146" i="1" s="1"/>
  <c r="F125" i="2" s="1"/>
  <c r="M114" i="1" l="1"/>
  <c r="M118" i="1" s="1"/>
  <c r="M146" i="1" s="1"/>
  <c r="F128" i="2" s="1"/>
  <c r="L114" i="1"/>
  <c r="L118" i="1" s="1"/>
  <c r="L146" i="1" s="1"/>
  <c r="F127" i="2" s="1"/>
  <c r="H101" i="1" l="1"/>
  <c r="AB40" i="1"/>
  <c r="E45"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49" i="6"/>
  <c r="G68"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T127" i="1"/>
  <c r="T261" i="1"/>
  <c r="T105" i="1"/>
  <c r="T454" i="1"/>
  <c r="T458" i="1"/>
  <c r="Y531" i="1"/>
  <c r="Y533" i="1" s="1"/>
  <c r="F376" i="2" s="1"/>
  <c r="Y454" i="1"/>
  <c r="Y584" i="1" s="1"/>
  <c r="Y446" i="1" s="1"/>
  <c r="Y456" i="1" s="1"/>
  <c r="Y73" i="1"/>
  <c r="Y261" i="1"/>
  <c r="Y599" i="1"/>
  <c r="V438" i="1"/>
  <c r="V437" i="1"/>
  <c r="V127" i="1"/>
  <c r="V64" i="1"/>
  <c r="X137" i="1"/>
  <c r="X522" i="1"/>
  <c r="X437" i="1"/>
  <c r="T276" i="1"/>
  <c r="T137" i="1"/>
  <c r="T136" i="1"/>
  <c r="T64" i="1"/>
  <c r="T531" i="1"/>
  <c r="W531" i="1"/>
  <c r="W533" i="1" s="1"/>
  <c r="F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V137" i="1"/>
  <c r="V599" i="1"/>
  <c r="X259" i="1"/>
  <c r="X454" i="1"/>
  <c r="X584" i="1" s="1"/>
  <c r="X446" i="1" s="1"/>
  <c r="X456" i="1" s="1"/>
  <c r="X260" i="1"/>
  <c r="X105" i="1"/>
  <c r="X64" i="1"/>
  <c r="T438" i="1"/>
  <c r="T73" i="1"/>
  <c r="T437" i="1"/>
  <c r="AC438" i="1"/>
  <c r="AC599" i="1"/>
  <c r="AC260" i="1"/>
  <c r="AC276" i="1"/>
  <c r="AC531" i="1"/>
  <c r="AC533" i="1" s="1"/>
  <c r="F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O62" i="1" l="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AA276" i="1"/>
  <c r="AA522" i="1"/>
  <c r="AA437" i="1"/>
  <c r="AA73" i="1"/>
  <c r="AA438" i="1"/>
  <c r="AA127" i="1"/>
  <c r="AA599" i="1"/>
  <c r="AA458" i="1"/>
  <c r="AA460" i="1" s="1"/>
  <c r="AA462" i="1" s="1"/>
  <c r="AA487" i="1" s="1"/>
  <c r="AK39" i="1"/>
  <c r="AL39" i="1" s="1"/>
  <c r="AK522" i="1" l="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AK107" i="1" l="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AC524" i="1"/>
  <c r="AC526" i="1" s="1"/>
  <c r="F331" i="2" s="1"/>
  <c r="F932"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T321" i="1"/>
  <c r="T493" i="1"/>
  <c r="T496" i="1"/>
  <c r="T320" i="1"/>
  <c r="F8" i="2"/>
  <c r="F861" i="2" s="1"/>
  <c r="H93" i="1"/>
  <c r="H79" i="1"/>
  <c r="F319" i="2"/>
  <c r="V309" i="1"/>
  <c r="T611" i="1"/>
  <c r="AK611" i="1" s="1"/>
  <c r="AL611" i="1" s="1"/>
  <c r="T250" i="1"/>
  <c r="AK440" i="1"/>
  <c r="AL440" i="1" s="1"/>
  <c r="F303" i="2"/>
  <c r="T323" i="1"/>
  <c r="T326" i="1"/>
  <c r="T327" i="1"/>
  <c r="T318" i="1"/>
  <c r="F294" i="2"/>
  <c r="F889" i="2" s="1"/>
  <c r="W309" i="1"/>
  <c r="F328" i="2"/>
  <c r="F312" i="2"/>
  <c r="T268" i="1"/>
  <c r="T612" i="1"/>
  <c r="AK612" i="1" s="1"/>
  <c r="AL612" i="1" s="1"/>
  <c r="AK456" i="1"/>
  <c r="AL456" i="1" s="1"/>
  <c r="T499" i="1"/>
  <c r="T501" i="1"/>
  <c r="T498" i="1"/>
  <c r="T324" i="1"/>
  <c r="F316" i="2"/>
  <c r="F17" i="2"/>
  <c r="O79" i="1"/>
  <c r="O93" i="1"/>
  <c r="O96" i="1" s="1"/>
  <c r="Y309" i="1"/>
  <c r="T502" i="1"/>
  <c r="T494" i="1"/>
  <c r="T319" i="1"/>
  <c r="T495" i="1"/>
  <c r="AK524" i="1"/>
  <c r="AL524" i="1" s="1"/>
  <c r="F317" i="2"/>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1" i="2" l="1"/>
  <c r="F892" i="2" s="1"/>
  <c r="W889" i="2"/>
  <c r="X889" i="2" s="1"/>
  <c r="Y889" i="2" s="1"/>
  <c r="F863" i="2"/>
  <c r="W861" i="2"/>
  <c r="X861" i="2" s="1"/>
  <c r="Y861" i="2" s="1"/>
  <c r="F300" i="2"/>
  <c r="F14" i="2"/>
  <c r="AK616" i="1"/>
  <c r="AL616" i="1" s="1"/>
  <c r="AK142" i="1"/>
  <c r="AL142" i="1" s="1"/>
  <c r="AK526" i="1"/>
  <c r="AL526" i="1" s="1"/>
  <c r="F324" i="2"/>
  <c r="K506" i="1"/>
  <c r="K508" i="1" s="1"/>
  <c r="K603" i="1" s="1"/>
  <c r="F320" i="2"/>
  <c r="AH331" i="1"/>
  <c r="AH333" i="1" s="1"/>
  <c r="F306" i="2"/>
  <c r="AH506" i="1"/>
  <c r="AH508" i="1" s="1"/>
  <c r="AF506" i="1"/>
  <c r="AF508" i="1" s="1"/>
  <c r="O111" i="1"/>
  <c r="F75" i="2" s="1"/>
  <c r="F20" i="2"/>
  <c r="AK268" i="1"/>
  <c r="AL268" i="1" s="1"/>
  <c r="T278" i="1"/>
  <c r="AK278" i="1" s="1"/>
  <c r="AL278" i="1" s="1"/>
  <c r="K331" i="1"/>
  <c r="K333" i="1" s="1"/>
  <c r="T263" i="1"/>
  <c r="AK250" i="1"/>
  <c r="AL250" i="1" s="1"/>
  <c r="H96" i="1"/>
  <c r="AF331" i="1"/>
  <c r="AA309" i="1"/>
  <c r="H174" i="1"/>
  <c r="H607" i="1"/>
  <c r="AK607" i="1" s="1"/>
  <c r="AL607" i="1" s="1"/>
  <c r="H379" i="1"/>
  <c r="AK368" i="1"/>
  <c r="AL368" i="1" s="1"/>
  <c r="F864" i="2" l="1"/>
  <c r="F325" i="2"/>
  <c r="F240" i="2"/>
  <c r="K510" i="1"/>
  <c r="K123" i="1"/>
  <c r="F345" i="2"/>
  <c r="AK263" i="1"/>
  <c r="AL263" i="1" s="1"/>
  <c r="T280" i="1"/>
  <c r="G34" i="27"/>
  <c r="K34" i="27" s="1"/>
  <c r="L34" i="27" s="1"/>
  <c r="F78" i="2"/>
  <c r="AF123" i="1"/>
  <c r="F280" i="2"/>
  <c r="AF510" i="1"/>
  <c r="AF603" i="1"/>
  <c r="AH335" i="1"/>
  <c r="F226" i="2"/>
  <c r="F947" i="2" s="1"/>
  <c r="AH547" i="1"/>
  <c r="H111" i="1"/>
  <c r="K335" i="1"/>
  <c r="F183" i="2"/>
  <c r="K547" i="1"/>
  <c r="F283" i="2"/>
  <c r="AH123" i="1"/>
  <c r="AH510" i="1"/>
  <c r="AH603" i="1"/>
  <c r="H181" i="1"/>
  <c r="AK174" i="1"/>
  <c r="AL174" i="1" s="1"/>
  <c r="AK379" i="1"/>
  <c r="AL379" i="1" s="1"/>
  <c r="H402" i="1"/>
  <c r="W947" i="2" l="1"/>
  <c r="X947" i="2" s="1"/>
  <c r="Y947" i="2" s="1"/>
  <c r="F949" i="2"/>
  <c r="F675" i="2"/>
  <c r="F731" i="2"/>
  <c r="T284" i="1"/>
  <c r="T282" i="1"/>
  <c r="AK282" i="1" s="1"/>
  <c r="AL282" i="1" s="1"/>
  <c r="AK280" i="1"/>
  <c r="AL280" i="1" s="1"/>
  <c r="F66" i="2"/>
  <c r="F868" i="2" s="1"/>
  <c r="AK181" i="1"/>
  <c r="AL181" i="1" s="1"/>
  <c r="H192" i="1"/>
  <c r="H462" i="1"/>
  <c r="AK402" i="1"/>
  <c r="AL402" i="1" s="1"/>
  <c r="T949" i="2" l="1"/>
  <c r="T950" i="2" s="1"/>
  <c r="U949" i="2"/>
  <c r="U950" i="2" s="1"/>
  <c r="K949" i="2"/>
  <c r="K950" i="2" s="1"/>
  <c r="R949" i="2"/>
  <c r="R950" i="2" s="1"/>
  <c r="P949" i="2"/>
  <c r="P950" i="2" s="1"/>
  <c r="M949" i="2"/>
  <c r="M950" i="2" s="1"/>
  <c r="G949" i="2"/>
  <c r="N949" i="2"/>
  <c r="N950" i="2" s="1"/>
  <c r="L949" i="2"/>
  <c r="L950" i="2" s="1"/>
  <c r="S949" i="2"/>
  <c r="S950" i="2" s="1"/>
  <c r="F950" i="2"/>
  <c r="J949" i="2"/>
  <c r="J950" i="2" s="1"/>
  <c r="Q949" i="2"/>
  <c r="Q950" i="2" s="1"/>
  <c r="H949" i="2"/>
  <c r="H950" i="2" s="1"/>
  <c r="O949" i="2"/>
  <c r="O950" i="2" s="1"/>
  <c r="V949" i="2"/>
  <c r="V950" i="2" s="1"/>
  <c r="I949" i="2"/>
  <c r="I950" i="2" s="1"/>
  <c r="W868" i="2"/>
  <c r="X868" i="2" s="1"/>
  <c r="Y868" i="2" s="1"/>
  <c r="F870" i="2"/>
  <c r="F72" i="2"/>
  <c r="G34" i="14"/>
  <c r="K34" i="14" s="1"/>
  <c r="L34" i="14" s="1"/>
  <c r="T309" i="1"/>
  <c r="H487" i="1"/>
  <c r="AK462" i="1"/>
  <c r="AL462" i="1" s="1"/>
  <c r="AK192" i="1"/>
  <c r="AL192" i="1" s="1"/>
  <c r="H215" i="1"/>
  <c r="G950" i="2" l="1"/>
  <c r="W950" i="2" s="1"/>
  <c r="X950" i="2" s="1"/>
  <c r="Y950" i="2" s="1"/>
  <c r="W949" i="2"/>
  <c r="X949" i="2" s="1"/>
  <c r="Y949" i="2" s="1"/>
  <c r="W881" i="2"/>
  <c r="X881" i="2" s="1"/>
  <c r="Y881" i="2" s="1"/>
  <c r="F871" i="2"/>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W888" i="2" l="1"/>
  <c r="X888" i="2" s="1"/>
  <c r="Y888" i="2" s="1"/>
  <c r="H309" i="1"/>
  <c r="AK284" i="1"/>
  <c r="AL284" i="1" l="1"/>
  <c r="F293" i="1"/>
  <c r="AD62" i="1"/>
  <c r="AD66" i="1" s="1"/>
  <c r="F48" i="2" l="1"/>
  <c r="AD117" i="1"/>
  <c r="AD93" i="1"/>
  <c r="AD96" i="1" s="1"/>
  <c r="AD111" i="1" s="1"/>
  <c r="F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Z116" i="1"/>
  <c r="Z93" i="1"/>
  <c r="Z96" i="1" s="1"/>
  <c r="Z602" i="1"/>
  <c r="Y79" i="1"/>
  <c r="F33" i="2"/>
  <c r="Y115" i="1"/>
  <c r="Y116" i="1"/>
  <c r="Y93" i="1"/>
  <c r="Y96" i="1" s="1"/>
  <c r="Y602" i="1"/>
  <c r="AB116" i="1"/>
  <c r="AB79" i="1"/>
  <c r="AB93" i="1"/>
  <c r="AB96" i="1" s="1"/>
  <c r="F42" i="2"/>
  <c r="AB115" i="1"/>
  <c r="AB602" i="1"/>
  <c r="AD602" i="1"/>
  <c r="AC93" i="1"/>
  <c r="AC96" i="1" s="1"/>
  <c r="AC79" i="1"/>
  <c r="AC116" i="1"/>
  <c r="AC115" i="1"/>
  <c r="F45" i="2"/>
  <c r="F904" i="2" s="1"/>
  <c r="AC602" i="1"/>
  <c r="V116" i="1"/>
  <c r="V115" i="1"/>
  <c r="V93" i="1"/>
  <c r="V96" i="1" s="1"/>
  <c r="F30" i="2"/>
  <c r="V79" i="1"/>
  <c r="V602" i="1"/>
  <c r="X115" i="1"/>
  <c r="X93" i="1"/>
  <c r="X96" i="1" s="1"/>
  <c r="F32" i="2"/>
  <c r="X116" i="1"/>
  <c r="X79" i="1"/>
  <c r="X602" i="1"/>
  <c r="AA93" i="1"/>
  <c r="AA96" i="1" s="1"/>
  <c r="F38" i="2"/>
  <c r="AA79" i="1"/>
  <c r="AA116" i="1"/>
  <c r="AA115" i="1"/>
  <c r="AA602" i="1"/>
  <c r="AD115" i="1"/>
  <c r="F547" i="1"/>
  <c r="F335" i="1"/>
  <c r="AK62" i="1"/>
  <c r="T66" i="1"/>
  <c r="T117" i="1" s="1"/>
  <c r="AK117" i="1" s="1"/>
  <c r="AL117" i="1" s="1"/>
  <c r="W93" i="1"/>
  <c r="W96" i="1" s="1"/>
  <c r="F31" i="2"/>
  <c r="W115" i="1"/>
  <c r="W116" i="1"/>
  <c r="W79" i="1"/>
  <c r="W602" i="1"/>
  <c r="W904" i="2" l="1"/>
  <c r="X904" i="2" s="1"/>
  <c r="Y904" i="2" s="1"/>
  <c r="F906" i="2"/>
  <c r="F907" i="2" s="1"/>
  <c r="AK66" i="1"/>
  <c r="AL66" i="1" s="1"/>
  <c r="AL62" i="1"/>
  <c r="P601" i="1"/>
  <c r="AH601" i="1"/>
  <c r="L601" i="1"/>
  <c r="Q601" i="1"/>
  <c r="I601" i="1"/>
  <c r="AJ601" i="1"/>
  <c r="M601" i="1"/>
  <c r="S601" i="1"/>
  <c r="U601" i="1"/>
  <c r="K601" i="1"/>
  <c r="J601" i="1"/>
  <c r="AA500" i="1"/>
  <c r="AA537" i="1"/>
  <c r="F495" i="2" s="1"/>
  <c r="AA325" i="1"/>
  <c r="AA535" i="1"/>
  <c r="AA497" i="1"/>
  <c r="AA506" i="1" s="1"/>
  <c r="AA508" i="1" s="1"/>
  <c r="AA322" i="1"/>
  <c r="AA543" i="1"/>
  <c r="AA541" i="1"/>
  <c r="F615" i="2" s="1"/>
  <c r="AA111" i="1"/>
  <c r="F96" i="2" s="1"/>
  <c r="Z537" i="1"/>
  <c r="F494" i="2" s="1"/>
  <c r="Z111" i="1"/>
  <c r="F95" i="2" s="1"/>
  <c r="Z500" i="1"/>
  <c r="Z325" i="1"/>
  <c r="Z543" i="1"/>
  <c r="Z322" i="1"/>
  <c r="Z541" i="1"/>
  <c r="F614" i="2" s="1"/>
  <c r="Z535" i="1"/>
  <c r="Z497" i="1"/>
  <c r="W535" i="1"/>
  <c r="W500" i="1"/>
  <c r="W497" i="1"/>
  <c r="W537" i="1"/>
  <c r="F488" i="2" s="1"/>
  <c r="W541" i="1"/>
  <c r="F608" i="2" s="1"/>
  <c r="W325" i="1"/>
  <c r="W322" i="1"/>
  <c r="W543" i="1"/>
  <c r="W111" i="1"/>
  <c r="F89" i="2" s="1"/>
  <c r="X500" i="1"/>
  <c r="X537" i="1"/>
  <c r="F489" i="2" s="1"/>
  <c r="X325" i="1"/>
  <c r="X111" i="1"/>
  <c r="F90" i="2" s="1"/>
  <c r="X543" i="1"/>
  <c r="X497" i="1"/>
  <c r="X541" i="1"/>
  <c r="F609" i="2" s="1"/>
  <c r="X322" i="1"/>
  <c r="X535" i="1"/>
  <c r="F34" i="2"/>
  <c r="T115" i="1"/>
  <c r="AK115" i="1" s="1"/>
  <c r="AL115" i="1" s="1"/>
  <c r="T116" i="1"/>
  <c r="AK116" i="1" s="1"/>
  <c r="AL116" i="1" s="1"/>
  <c r="T79" i="1"/>
  <c r="AK79" i="1" s="1"/>
  <c r="AL79" i="1" s="1"/>
  <c r="F26" i="2"/>
  <c r="T93" i="1"/>
  <c r="T602" i="1"/>
  <c r="AK602" i="1" s="1"/>
  <c r="AL602" i="1" s="1"/>
  <c r="V543" i="1"/>
  <c r="V541" i="1"/>
  <c r="F607" i="2" s="1"/>
  <c r="V535" i="1"/>
  <c r="V111" i="1"/>
  <c r="F88" i="2" s="1"/>
  <c r="V322" i="1"/>
  <c r="V325" i="1"/>
  <c r="V497" i="1"/>
  <c r="V537" i="1"/>
  <c r="F487" i="2" s="1"/>
  <c r="V500" i="1"/>
  <c r="AC500" i="1"/>
  <c r="AC111" i="1"/>
  <c r="F103" i="2" s="1"/>
  <c r="F911" i="2" s="1"/>
  <c r="AC541" i="1"/>
  <c r="F622" i="2" s="1"/>
  <c r="AC497" i="1"/>
  <c r="AC322" i="1"/>
  <c r="AC543" i="1"/>
  <c r="AC537" i="1"/>
  <c r="F502" i="2" s="1"/>
  <c r="AC325" i="1"/>
  <c r="AC535" i="1"/>
  <c r="AB535" i="1"/>
  <c r="AB537" i="1"/>
  <c r="F499" i="2" s="1"/>
  <c r="AB500" i="1"/>
  <c r="AB497" i="1"/>
  <c r="AB543" i="1"/>
  <c r="AB325" i="1"/>
  <c r="AB111" i="1"/>
  <c r="F100" i="2" s="1"/>
  <c r="AB541" i="1"/>
  <c r="F619" i="2" s="1"/>
  <c r="AB322" i="1"/>
  <c r="Y500" i="1"/>
  <c r="Y322" i="1"/>
  <c r="Y537" i="1"/>
  <c r="F490" i="2" s="1"/>
  <c r="Y535" i="1"/>
  <c r="Y541" i="1"/>
  <c r="F610" i="2" s="1"/>
  <c r="Y325" i="1"/>
  <c r="Y111" i="1"/>
  <c r="F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O537" i="1"/>
  <c r="F474" i="2" s="1"/>
  <c r="H325" i="1"/>
  <c r="H541" i="1"/>
  <c r="F111" i="1"/>
  <c r="AD543" i="1"/>
  <c r="AD325" i="1"/>
  <c r="AD541" i="1"/>
  <c r="F625" i="2" s="1"/>
  <c r="AD500" i="1"/>
  <c r="AD535" i="1"/>
  <c r="AD322" i="1"/>
  <c r="AD497" i="1"/>
  <c r="AD537" i="1"/>
  <c r="F505" i="2" s="1"/>
  <c r="W911" i="2" l="1"/>
  <c r="X911" i="2" s="1"/>
  <c r="Y911" i="2" s="1"/>
  <c r="F913" i="2"/>
  <c r="AD331" i="1"/>
  <c r="AD333" i="1" s="1"/>
  <c r="AD335" i="1" s="1"/>
  <c r="AA331" i="1"/>
  <c r="AA333" i="1" s="1"/>
  <c r="AA335" i="1" s="1"/>
  <c r="Z506" i="1"/>
  <c r="Z508" i="1" s="1"/>
  <c r="Z603" i="1" s="1"/>
  <c r="AC506" i="1"/>
  <c r="AC508" i="1" s="1"/>
  <c r="AC603" i="1" s="1"/>
  <c r="O506" i="1"/>
  <c r="O508" i="1" s="1"/>
  <c r="O510" i="1" s="1"/>
  <c r="F597" i="2"/>
  <c r="F585" i="2"/>
  <c r="H506" i="1"/>
  <c r="AF547" i="1"/>
  <c r="F223" i="2"/>
  <c r="AF335" i="1"/>
  <c r="AB506" i="1"/>
  <c r="AB508" i="1" s="1"/>
  <c r="F445" i="2"/>
  <c r="F939" i="2" s="1"/>
  <c r="AC545" i="1"/>
  <c r="AC331" i="1"/>
  <c r="AC333" i="1" s="1"/>
  <c r="F491" i="2"/>
  <c r="F92" i="2"/>
  <c r="X506" i="1"/>
  <c r="X508" i="1" s="1"/>
  <c r="W331" i="1"/>
  <c r="W333" i="1" s="1"/>
  <c r="W506" i="1"/>
  <c r="W508" i="1" s="1"/>
  <c r="Z331" i="1"/>
  <c r="Z333" i="1" s="1"/>
  <c r="F97" i="2"/>
  <c r="F267" i="2"/>
  <c r="AA123" i="1"/>
  <c r="AA510" i="1"/>
  <c r="AA603" i="1"/>
  <c r="F477" i="2"/>
  <c r="AD506" i="1"/>
  <c r="AD508" i="1" s="1"/>
  <c r="F448" i="2"/>
  <c r="AD545" i="1"/>
  <c r="F408" i="2"/>
  <c r="F896" i="2" s="1"/>
  <c r="H545" i="1"/>
  <c r="F465" i="2"/>
  <c r="H331" i="1"/>
  <c r="AK309" i="1"/>
  <c r="AL309" i="1" s="1"/>
  <c r="AL293" i="1"/>
  <c r="Y331" i="1"/>
  <c r="Y333" i="1" s="1"/>
  <c r="V506" i="1"/>
  <c r="V508" i="1" s="1"/>
  <c r="F430" i="2"/>
  <c r="V545" i="1"/>
  <c r="T96" i="1"/>
  <c r="AK93" i="1"/>
  <c r="AL93" i="1" s="1"/>
  <c r="F432" i="2"/>
  <c r="X545" i="1"/>
  <c r="F496" i="2"/>
  <c r="F438" i="2"/>
  <c r="AA545" i="1"/>
  <c r="Y123" i="1"/>
  <c r="Y510" i="1"/>
  <c r="F262" i="2"/>
  <c r="Y603" i="1"/>
  <c r="F611" i="2"/>
  <c r="F59" i="2"/>
  <c r="X331" i="1"/>
  <c r="X333" i="1" s="1"/>
  <c r="F431" i="2"/>
  <c r="W545" i="1"/>
  <c r="F437" i="2"/>
  <c r="Z545" i="1"/>
  <c r="F417" i="2"/>
  <c r="O545" i="1"/>
  <c r="O331" i="1"/>
  <c r="O333" i="1" s="1"/>
  <c r="Y545" i="1"/>
  <c r="F433" i="2"/>
  <c r="AB331" i="1"/>
  <c r="AB333" i="1" s="1"/>
  <c r="F442" i="2"/>
  <c r="AB545" i="1"/>
  <c r="V331" i="1"/>
  <c r="V333" i="1" s="1"/>
  <c r="F616" i="2"/>
  <c r="F274" i="2" l="1"/>
  <c r="F210" i="2"/>
  <c r="W939" i="2"/>
  <c r="X939" i="2" s="1"/>
  <c r="Y939" i="2" s="1"/>
  <c r="F941" i="2"/>
  <c r="F914" i="2"/>
  <c r="W896" i="2"/>
  <c r="X896" i="2" s="1"/>
  <c r="Y896" i="2" s="1"/>
  <c r="F898" i="2"/>
  <c r="F899" i="2" s="1"/>
  <c r="AC123" i="1"/>
  <c r="AA547" i="1"/>
  <c r="AC510" i="1"/>
  <c r="AD547" i="1"/>
  <c r="F220" i="2"/>
  <c r="F591" i="2"/>
  <c r="F471" i="2"/>
  <c r="F414" i="2"/>
  <c r="W547" i="1"/>
  <c r="Z123" i="1"/>
  <c r="O123" i="1"/>
  <c r="F246" i="2"/>
  <c r="Z510" i="1"/>
  <c r="F266" i="2"/>
  <c r="O603" i="1"/>
  <c r="F214" i="2"/>
  <c r="AB335" i="1"/>
  <c r="AB547" i="1"/>
  <c r="F439" i="2"/>
  <c r="X547" i="1"/>
  <c r="Z335" i="1"/>
  <c r="F209" i="2"/>
  <c r="Z547" i="1"/>
  <c r="AB123" i="1"/>
  <c r="AB603" i="1"/>
  <c r="AB510" i="1"/>
  <c r="F271" i="2"/>
  <c r="AD601" i="1"/>
  <c r="F420" i="2"/>
  <c r="F204" i="2"/>
  <c r="X335" i="1"/>
  <c r="F434" i="2"/>
  <c r="F205" i="2"/>
  <c r="Y547" i="1"/>
  <c r="Y335" i="1"/>
  <c r="AC335" i="1"/>
  <c r="AC547" i="1"/>
  <c r="F217" i="2"/>
  <c r="F925" i="2" s="1"/>
  <c r="V335" i="1"/>
  <c r="V547" i="1"/>
  <c r="F202" i="2"/>
  <c r="V123" i="1"/>
  <c r="V510" i="1"/>
  <c r="F259" i="2"/>
  <c r="V603" i="1"/>
  <c r="W123" i="1"/>
  <c r="W603" i="1"/>
  <c r="F260" i="2"/>
  <c r="W510" i="1"/>
  <c r="F261" i="2"/>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AD123" i="1"/>
  <c r="W335" i="1"/>
  <c r="F203" i="2"/>
  <c r="AF601" i="1"/>
  <c r="H508" i="1"/>
  <c r="F942" i="2" l="1"/>
  <c r="F927" i="2"/>
  <c r="W925" i="2"/>
  <c r="X925" i="2" s="1"/>
  <c r="Y925" i="2" s="1"/>
  <c r="F268" i="2"/>
  <c r="F249" i="2"/>
  <c r="AK111" i="1"/>
  <c r="AL111" i="1" s="1"/>
  <c r="F84" i="2"/>
  <c r="T331" i="1"/>
  <c r="AK322" i="1"/>
  <c r="AL322" i="1" s="1"/>
  <c r="V601" i="1"/>
  <c r="X601" i="1"/>
  <c r="F211" i="2"/>
  <c r="AB601" i="1"/>
  <c r="H603" i="1"/>
  <c r="F237" i="2"/>
  <c r="H123" i="1"/>
  <c r="H510" i="1"/>
  <c r="F483" i="2"/>
  <c r="AK537" i="1"/>
  <c r="AL537" i="1" s="1"/>
  <c r="Z601" i="1"/>
  <c r="H547" i="1"/>
  <c r="H335" i="1"/>
  <c r="F180" i="2"/>
  <c r="F882" i="2" s="1"/>
  <c r="F603" i="2"/>
  <c r="AK541" i="1"/>
  <c r="AL541" i="1" s="1"/>
  <c r="F426" i="2"/>
  <c r="T545" i="1"/>
  <c r="AK545" i="1" s="1"/>
  <c r="AL545" i="1" s="1"/>
  <c r="AK535" i="1"/>
  <c r="AL535" i="1" s="1"/>
  <c r="F192" i="2"/>
  <c r="F206" i="2"/>
  <c r="AC601" i="1"/>
  <c r="W601" i="1"/>
  <c r="T506" i="1"/>
  <c r="AK497" i="1"/>
  <c r="AL497" i="1" s="1"/>
  <c r="O601" i="1"/>
  <c r="F263" i="2"/>
  <c r="Y601" i="1"/>
  <c r="F928" i="2" l="1"/>
  <c r="F884" i="2"/>
  <c r="W882" i="2"/>
  <c r="X882" i="2" s="1"/>
  <c r="Y882" i="2" s="1"/>
  <c r="F243" i="2"/>
  <c r="T508" i="1"/>
  <c r="AK506" i="1"/>
  <c r="AL506" i="1" s="1"/>
  <c r="F636" i="2"/>
  <c r="F516" i="2"/>
  <c r="T333" i="1"/>
  <c r="AK331" i="1"/>
  <c r="AL331" i="1" s="1"/>
  <c r="F186" i="2"/>
  <c r="F117" i="2"/>
  <c r="H601" i="1"/>
  <c r="F459" i="2"/>
  <c r="F677" i="2" s="1"/>
  <c r="F733" i="2" s="1"/>
  <c r="F885" i="2" l="1"/>
  <c r="F734" i="2"/>
  <c r="F678" i="2"/>
  <c r="F767" i="2"/>
  <c r="F708" i="2"/>
  <c r="T547" i="1"/>
  <c r="AK547" i="1" s="1"/>
  <c r="AL547" i="1" s="1"/>
  <c r="T335" i="1"/>
  <c r="F198" i="2"/>
  <c r="AK333" i="1"/>
  <c r="AL333" i="1" s="1"/>
  <c r="T123" i="1"/>
  <c r="AK123" i="1" s="1"/>
  <c r="AL123" i="1" s="1"/>
  <c r="T510" i="1"/>
  <c r="AK510" i="1" s="1"/>
  <c r="AL510" i="1" s="1"/>
  <c r="F255" i="2"/>
  <c r="T603" i="1"/>
  <c r="AK603" i="1" s="1"/>
  <c r="AL603" i="1" s="1"/>
  <c r="AK508" i="1"/>
  <c r="AL508" i="1" s="1"/>
  <c r="F231" i="2" l="1"/>
  <c r="F730" i="2" s="1"/>
  <c r="F288" i="2"/>
  <c r="T601" i="1"/>
  <c r="AK601" i="1" s="1"/>
  <c r="AL601" i="1" s="1"/>
  <c r="AK335" i="1"/>
  <c r="AL335" i="1" s="1"/>
  <c r="F674" i="2" l="1"/>
  <c r="F706" i="2" s="1"/>
  <c r="F710" i="2" s="1"/>
  <c r="W903" i="2"/>
  <c r="X903" i="2" s="1"/>
  <c r="Y903" i="2" s="1"/>
  <c r="F765" i="2"/>
  <c r="F771" i="2" s="1"/>
  <c r="F748" i="2"/>
  <c r="F750" i="2" s="1"/>
  <c r="F684" i="2" l="1"/>
  <c r="F686" i="2" s="1"/>
  <c r="F793" i="2" l="1"/>
  <c r="F801" i="2" s="1"/>
  <c r="F803" i="2" s="1"/>
  <c r="E32" i="27"/>
  <c r="X653" i="2" l="1"/>
  <c r="Y653" i="2" s="1"/>
  <c r="E32" i="14"/>
  <c r="K32" i="27"/>
  <c r="L32" i="27" s="1"/>
  <c r="K32" i="14" l="1"/>
  <c r="L32" i="14" s="1"/>
  <c r="F934" i="2" l="1"/>
  <c r="W932" i="2"/>
  <c r="X932" i="2" s="1"/>
  <c r="Y932" i="2" s="1"/>
  <c r="F935" i="2" l="1"/>
  <c r="K37" i="27"/>
  <c r="L37" i="27" s="1"/>
  <c r="W895" i="2"/>
  <c r="X895" i="2" s="1"/>
  <c r="Y895" i="2" s="1"/>
  <c r="W955" i="2" l="1"/>
  <c r="X955" i="2" s="1"/>
  <c r="Y955" i="2" s="1"/>
  <c r="K37" i="14" l="1"/>
  <c r="L37" i="14" s="1"/>
  <c r="F118" i="1" l="1"/>
  <c r="F146" i="1" s="1"/>
  <c r="K114" i="1" l="1"/>
  <c r="K118" i="1" s="1"/>
  <c r="K146" i="1" s="1"/>
  <c r="F126" i="2" s="1"/>
  <c r="AA114" i="1"/>
  <c r="AA118" i="1" s="1"/>
  <c r="AA146" i="1" s="1"/>
  <c r="F153" i="2" s="1"/>
  <c r="O114" i="1"/>
  <c r="O118" i="1" s="1"/>
  <c r="O146" i="1" s="1"/>
  <c r="F132" i="2" s="1"/>
  <c r="X114" i="1"/>
  <c r="X118" i="1" s="1"/>
  <c r="X146" i="1" s="1"/>
  <c r="F147" i="2" s="1"/>
  <c r="AH114" i="1"/>
  <c r="AH118" i="1" s="1"/>
  <c r="AH146" i="1" s="1"/>
  <c r="F169" i="2" s="1"/>
  <c r="AB114" i="1"/>
  <c r="AB118" i="1" s="1"/>
  <c r="AB146" i="1" s="1"/>
  <c r="F157" i="2" s="1"/>
  <c r="V114" i="1"/>
  <c r="V118" i="1" s="1"/>
  <c r="V146" i="1" s="1"/>
  <c r="F145" i="2" s="1"/>
  <c r="H114" i="1"/>
  <c r="AF114" i="1"/>
  <c r="AF118" i="1" s="1"/>
  <c r="AF146" i="1" s="1"/>
  <c r="F166" i="2" s="1"/>
  <c r="Y114" i="1"/>
  <c r="Y118" i="1" s="1"/>
  <c r="Y146" i="1" s="1"/>
  <c r="F148" i="2" s="1"/>
  <c r="Z114" i="1"/>
  <c r="Z118" i="1" s="1"/>
  <c r="Z146" i="1" s="1"/>
  <c r="F152" i="2" s="1"/>
  <c r="T114" i="1"/>
  <c r="T118" i="1" s="1"/>
  <c r="T146" i="1" s="1"/>
  <c r="F141" i="2" s="1"/>
  <c r="AD114" i="1"/>
  <c r="AD118" i="1" s="1"/>
  <c r="AD146" i="1" s="1"/>
  <c r="F163" i="2" s="1"/>
  <c r="W114" i="1"/>
  <c r="W118" i="1" s="1"/>
  <c r="W146" i="1" s="1"/>
  <c r="F146" i="2" s="1"/>
  <c r="AC114" i="1"/>
  <c r="AC118" i="1" s="1"/>
  <c r="AC146" i="1" s="1"/>
  <c r="F160" i="2" s="1"/>
  <c r="F918" i="2" s="1"/>
  <c r="F920" i="2" l="1"/>
  <c r="W918" i="2"/>
  <c r="X918" i="2" s="1"/>
  <c r="Y918" i="2" s="1"/>
  <c r="F154" i="2"/>
  <c r="F149" i="2"/>
  <c r="F135" i="2"/>
  <c r="AK114" i="1"/>
  <c r="H118" i="1"/>
  <c r="AK118" i="1" l="1"/>
  <c r="H146" i="1"/>
  <c r="AL114" i="1"/>
  <c r="AM114" i="1"/>
  <c r="F921" i="2"/>
  <c r="AK146" i="1" l="1"/>
  <c r="F123" i="2"/>
  <c r="AM118" i="1"/>
  <c r="AL118" i="1"/>
  <c r="AM146" i="1" l="1"/>
  <c r="AL146" i="1"/>
  <c r="F875" i="2"/>
  <c r="F129" i="2"/>
  <c r="F174" i="2" s="1"/>
  <c r="F688" i="2" s="1"/>
  <c r="F752" i="2" l="1"/>
  <c r="F756" i="2" s="1"/>
  <c r="F805" i="2" s="1"/>
  <c r="F807" i="2" s="1"/>
  <c r="F877" i="2"/>
  <c r="W875" i="2"/>
  <c r="X875" i="2" s="1"/>
  <c r="Y875" i="2" s="1"/>
  <c r="F758" i="2" l="1"/>
  <c r="F878" i="2"/>
  <c r="N202" i="2" l="1"/>
  <c r="Q26" i="2"/>
  <c r="T141" i="2"/>
  <c r="H148" i="2"/>
  <c r="O204" i="2"/>
  <c r="P163" i="2"/>
  <c r="O147" i="2"/>
  <c r="I205" i="2"/>
  <c r="N488" i="2"/>
  <c r="R489" i="2"/>
  <c r="R48" i="2"/>
  <c r="Q603" i="2"/>
  <c r="O210" i="2"/>
  <c r="S166" i="2"/>
  <c r="T483" i="2"/>
  <c r="J205" i="2"/>
  <c r="H483" i="2"/>
  <c r="H153" i="2"/>
  <c r="J169" i="2"/>
  <c r="S198" i="2"/>
  <c r="L489" i="2"/>
  <c r="Q432" i="2"/>
  <c r="M271" i="2"/>
  <c r="R84" i="2"/>
  <c r="V438" i="2"/>
  <c r="S88" i="2"/>
  <c r="V141" i="2"/>
  <c r="V169" i="2"/>
  <c r="R608" i="2"/>
  <c r="O259" i="2"/>
  <c r="V431" i="2"/>
  <c r="U267" i="2"/>
  <c r="P607" i="2"/>
  <c r="Q271" i="2"/>
  <c r="P169" i="2"/>
  <c r="S32" i="2"/>
  <c r="U274" i="2"/>
  <c r="T442" i="2"/>
  <c r="Q255" i="2"/>
  <c r="S157" i="2"/>
  <c r="H163" i="2"/>
  <c r="J262" i="2"/>
  <c r="P495" i="2"/>
  <c r="T202" i="2"/>
  <c r="M147" i="2"/>
  <c r="O260" i="2"/>
  <c r="R147" i="2"/>
  <c r="K169" i="2"/>
  <c r="L157" i="2"/>
  <c r="J89" i="2"/>
  <c r="Q622" i="2"/>
  <c r="N214" i="2"/>
  <c r="R262" i="2"/>
  <c r="U259" i="2"/>
  <c r="U203" i="2"/>
  <c r="U657" i="2"/>
  <c r="S260" i="2"/>
  <c r="Q261" i="2"/>
  <c r="U106" i="2"/>
  <c r="L204" i="2"/>
  <c r="K261" i="2"/>
  <c r="T682" i="2"/>
  <c r="R166" i="2"/>
  <c r="T84" i="2"/>
  <c r="V260" i="2"/>
  <c r="K141" i="2"/>
  <c r="H432" i="2"/>
  <c r="L84" i="2"/>
  <c r="R430" i="2"/>
  <c r="R145" i="2"/>
  <c r="K157" i="2"/>
  <c r="V255" i="2"/>
  <c r="J271" i="2"/>
  <c r="M260" i="2"/>
  <c r="R220" i="2"/>
  <c r="P96" i="2"/>
  <c r="L271" i="2"/>
  <c r="L141" i="2"/>
  <c r="I84" i="2"/>
  <c r="U430" i="2"/>
  <c r="V267" i="2"/>
  <c r="H603" i="2"/>
  <c r="P502" i="2"/>
  <c r="K376" i="2"/>
  <c r="R153" i="2"/>
  <c r="J147" i="2"/>
  <c r="S148" i="2"/>
  <c r="L274" i="2"/>
  <c r="P148" i="2"/>
  <c r="V157" i="2"/>
  <c r="U260" i="2"/>
  <c r="H433" i="2"/>
  <c r="Q502" i="2"/>
  <c r="P274" i="2"/>
  <c r="M432" i="2"/>
  <c r="U148" i="2"/>
  <c r="Q220" i="2"/>
  <c r="N141" i="2"/>
  <c r="M262" i="2"/>
  <c r="T262" i="2"/>
  <c r="T147" i="2"/>
  <c r="V615" i="2"/>
  <c r="T255" i="2"/>
  <c r="H267" i="2"/>
  <c r="V755" i="2"/>
  <c r="K153" i="2"/>
  <c r="L89" i="2"/>
  <c r="U204" i="2"/>
  <c r="R203" i="2"/>
  <c r="K214" i="2"/>
  <c r="J261" i="2"/>
  <c r="S169" i="2"/>
  <c r="J153" i="2"/>
  <c r="H438" i="2"/>
  <c r="U205" i="2"/>
  <c r="Q157" i="2"/>
  <c r="S204" i="2"/>
  <c r="P214" i="2"/>
  <c r="I262" i="2"/>
  <c r="V430" i="2"/>
  <c r="P438" i="2"/>
  <c r="P374" i="2"/>
  <c r="Q625" i="2"/>
  <c r="H205" i="2"/>
  <c r="I202" i="2"/>
  <c r="V432" i="2"/>
  <c r="R141" i="2"/>
  <c r="S274" i="2"/>
  <c r="I210" i="2"/>
  <c r="O255" i="2"/>
  <c r="P147" i="2"/>
  <c r="R33" i="2"/>
  <c r="N619" i="2"/>
  <c r="K442" i="2"/>
  <c r="P38" i="2"/>
  <c r="L26" i="2"/>
  <c r="R261" i="2"/>
  <c r="R202" i="2"/>
  <c r="J30" i="2"/>
  <c r="S146" i="2"/>
  <c r="U433" i="2"/>
  <c r="J163" i="2"/>
  <c r="U146" i="2"/>
  <c r="K603" i="2"/>
  <c r="U610" i="2"/>
  <c r="N271" i="2"/>
  <c r="V100" i="2"/>
  <c r="K432" i="2"/>
  <c r="R89" i="2"/>
  <c r="I609" i="2"/>
  <c r="T495" i="2"/>
  <c r="N388" i="2"/>
  <c r="U255" i="2"/>
  <c r="V166" i="2"/>
  <c r="K609" i="2"/>
  <c r="M267" i="2"/>
  <c r="Q374" i="2"/>
  <c r="N262" i="2"/>
  <c r="U31" i="2"/>
  <c r="R488" i="2"/>
  <c r="V318" i="2"/>
  <c r="N147" i="2"/>
  <c r="T432" i="2"/>
  <c r="M489" i="2"/>
  <c r="S38" i="2"/>
  <c r="U91" i="2"/>
  <c r="S312" i="2"/>
  <c r="Q100" i="2"/>
  <c r="V410" i="2"/>
  <c r="J488" i="2"/>
  <c r="R274" i="2"/>
  <c r="L267" i="2"/>
  <c r="R375" i="2"/>
  <c r="H100" i="2"/>
  <c r="U26" i="2"/>
  <c r="K88" i="2"/>
  <c r="J430" i="2"/>
  <c r="P610" i="2"/>
  <c r="M148" i="2"/>
  <c r="I483" i="2"/>
  <c r="J260" i="2"/>
  <c r="U169" i="2"/>
  <c r="K205" i="2"/>
  <c r="K147" i="2"/>
  <c r="Q214" i="2"/>
  <c r="H271" i="2"/>
  <c r="P603" i="2"/>
  <c r="O148" i="2"/>
  <c r="N204" i="2"/>
  <c r="K319" i="2"/>
  <c r="N148" i="2"/>
  <c r="I91" i="2"/>
  <c r="T169" i="2"/>
  <c r="S430" i="2"/>
  <c r="N163" i="2"/>
  <c r="P490" i="2"/>
  <c r="K622" i="2"/>
  <c r="S145" i="2"/>
  <c r="U487" i="2"/>
  <c r="V204" i="2"/>
  <c r="R426" i="2"/>
  <c r="H147" i="2"/>
  <c r="M205" i="2"/>
  <c r="H619" i="2"/>
  <c r="I499" i="2"/>
  <c r="U615" i="2"/>
  <c r="P48" i="2"/>
  <c r="S499" i="2"/>
  <c r="K32" i="2"/>
  <c r="N489" i="2"/>
  <c r="M261" i="2"/>
  <c r="H495" i="2"/>
  <c r="J352" i="2"/>
  <c r="P261" i="2"/>
  <c r="U262" i="2"/>
  <c r="Q91" i="2"/>
  <c r="Q362" i="2"/>
  <c r="U38" i="2"/>
  <c r="P259" i="2"/>
  <c r="S438" i="2"/>
  <c r="S42" i="2"/>
  <c r="R198" i="2"/>
  <c r="Q277" i="2"/>
  <c r="P91" i="2"/>
  <c r="I96" i="2"/>
  <c r="S141" i="2"/>
  <c r="I410" i="2"/>
  <c r="Q89" i="2"/>
  <c r="T261" i="2"/>
  <c r="H214" i="2"/>
  <c r="R490" i="2"/>
  <c r="H328" i="2"/>
  <c r="P488" i="2"/>
  <c r="Q259" i="2"/>
  <c r="L202" i="2"/>
  <c r="P483" i="2"/>
  <c r="O157" i="2"/>
  <c r="K438" i="2"/>
  <c r="R373" i="2"/>
  <c r="V210" i="2"/>
  <c r="H157" i="2"/>
  <c r="O433" i="2"/>
  <c r="M204" i="2"/>
  <c r="N267" i="2"/>
  <c r="N153" i="2"/>
  <c r="U202" i="2"/>
  <c r="R267" i="2"/>
  <c r="P141" i="2"/>
  <c r="U84" i="2"/>
  <c r="U48" i="2"/>
  <c r="O603" i="2"/>
  <c r="U88" i="2"/>
  <c r="R495" i="2"/>
  <c r="J615" i="2"/>
  <c r="R483" i="2"/>
  <c r="O438" i="2"/>
  <c r="Q318" i="2"/>
  <c r="K615" i="2"/>
  <c r="P90" i="2"/>
  <c r="H88" i="2"/>
  <c r="V198" i="2"/>
  <c r="V205" i="2"/>
  <c r="H38" i="2"/>
  <c r="I271" i="2"/>
  <c r="Q483" i="2"/>
  <c r="T657" i="2"/>
  <c r="I430" i="2"/>
  <c r="L615" i="2"/>
  <c r="Q438" i="2"/>
  <c r="K487" i="2"/>
  <c r="O141" i="2"/>
  <c r="S31" i="2"/>
  <c r="N210" i="2"/>
  <c r="R431" i="2"/>
  <c r="L147" i="2"/>
  <c r="J489" i="2"/>
  <c r="O483" i="2"/>
  <c r="S202" i="2"/>
  <c r="U261" i="2"/>
  <c r="L373" i="2"/>
  <c r="L499" i="2"/>
  <c r="J499" i="2"/>
  <c r="R334" i="2"/>
  <c r="J622" i="2"/>
  <c r="N525" i="2"/>
  <c r="O430" i="2"/>
  <c r="J157" i="2"/>
  <c r="I442" i="2"/>
  <c r="J214" i="2"/>
  <c r="P106" i="2"/>
  <c r="O432" i="2"/>
  <c r="I607" i="2"/>
  <c r="V362" i="2"/>
  <c r="V489" i="2"/>
  <c r="K259" i="2"/>
  <c r="N32" i="2"/>
  <c r="H261" i="2"/>
  <c r="Q388" i="2"/>
  <c r="R381" i="2"/>
  <c r="R26" i="2"/>
  <c r="O418" i="2"/>
  <c r="J608" i="2"/>
  <c r="J26" i="2"/>
  <c r="O106" i="2"/>
  <c r="O84" i="2"/>
  <c r="T260" i="2"/>
  <c r="O100" i="2"/>
  <c r="O319" i="2"/>
  <c r="M141" i="2"/>
  <c r="M26" i="2"/>
  <c r="V495" i="2"/>
  <c r="H622" i="2"/>
  <c r="S319" i="2"/>
  <c r="Q448" i="2"/>
  <c r="R324" i="2"/>
  <c r="U141" i="2"/>
  <c r="T607" i="2"/>
  <c r="N26" i="2"/>
  <c r="L490" i="2"/>
  <c r="I38" i="2"/>
  <c r="H410" i="2"/>
  <c r="P622" i="2"/>
  <c r="I375" i="2"/>
  <c r="I100" i="2"/>
  <c r="J76" i="2"/>
  <c r="N316" i="2"/>
  <c r="M366" i="2"/>
  <c r="T319" i="2"/>
  <c r="L433" i="2"/>
  <c r="H90" i="2"/>
  <c r="U374" i="2"/>
  <c r="S622" i="2"/>
  <c r="I33" i="2"/>
  <c r="U145" i="2"/>
  <c r="N467" i="2"/>
  <c r="I586" i="2"/>
  <c r="U488" i="2"/>
  <c r="R205" i="2"/>
  <c r="S352" i="2"/>
  <c r="P375" i="2"/>
  <c r="M202" i="2"/>
  <c r="M259" i="2"/>
  <c r="M328" i="2"/>
  <c r="P42" i="2"/>
  <c r="S316" i="2"/>
  <c r="V433" i="2"/>
  <c r="S432" i="2"/>
  <c r="I255" i="2"/>
  <c r="L205" i="2"/>
  <c r="V163" i="2"/>
  <c r="V426" i="2"/>
  <c r="J490" i="2"/>
  <c r="J259" i="2"/>
  <c r="M210" i="2"/>
  <c r="O205" i="2"/>
  <c r="K163" i="2"/>
  <c r="H255" i="2"/>
  <c r="I615" i="2"/>
  <c r="V657" i="2"/>
  <c r="I204" i="2"/>
  <c r="P255" i="2"/>
  <c r="L31" i="2"/>
  <c r="Q106" i="2"/>
  <c r="Q607" i="2"/>
  <c r="L260" i="2"/>
  <c r="V203" i="2"/>
  <c r="K483" i="2"/>
  <c r="T88" i="2"/>
  <c r="Q30" i="2"/>
  <c r="V316" i="2"/>
  <c r="P296" i="2"/>
  <c r="M31" i="2"/>
  <c r="I432" i="2"/>
  <c r="N42" i="2"/>
  <c r="T369" i="2"/>
  <c r="K619" i="2"/>
  <c r="H502" i="2"/>
  <c r="R312" i="2"/>
  <c r="V418" i="2"/>
  <c r="N369" i="2"/>
  <c r="N352" i="2"/>
  <c r="M410" i="2"/>
  <c r="I353" i="2"/>
  <c r="U147" i="2"/>
  <c r="I90" i="2"/>
  <c r="L96" i="2"/>
  <c r="J84" i="2"/>
  <c r="R622" i="2"/>
  <c r="U182" i="2"/>
  <c r="H33" i="2"/>
  <c r="S96" i="2"/>
  <c r="I502" i="2"/>
  <c r="K369" i="2"/>
  <c r="S361" i="2"/>
  <c r="O467" i="2"/>
  <c r="R376" i="2"/>
  <c r="K33" i="2"/>
  <c r="N124" i="2"/>
  <c r="R96" i="2"/>
  <c r="K373" i="2"/>
  <c r="N483" i="2"/>
  <c r="R505" i="2"/>
  <c r="L610" i="2"/>
  <c r="P305" i="2"/>
  <c r="M607" i="2"/>
  <c r="U316" i="2"/>
  <c r="K48" i="2"/>
  <c r="P316" i="2"/>
  <c r="Q153" i="2"/>
  <c r="S163" i="2"/>
  <c r="V106" i="2"/>
  <c r="M38" i="2"/>
  <c r="U431" i="2"/>
  <c r="L432" i="2"/>
  <c r="T30" i="2"/>
  <c r="O91" i="2"/>
  <c r="T210" i="2"/>
  <c r="K610" i="2"/>
  <c r="R157" i="2"/>
  <c r="U369" i="2"/>
  <c r="Q42" i="2"/>
  <c r="K148" i="2"/>
  <c r="U153" i="2"/>
  <c r="T157" i="2"/>
  <c r="S483" i="2"/>
  <c r="V202" i="2"/>
  <c r="Q38" i="2"/>
  <c r="Q33" i="2"/>
  <c r="V42" i="2"/>
  <c r="P202" i="2"/>
  <c r="S433" i="2"/>
  <c r="I30" i="2"/>
  <c r="N596" i="2"/>
  <c r="K51" i="2"/>
  <c r="R277" i="2"/>
  <c r="R204" i="2"/>
  <c r="Q442" i="2"/>
  <c r="J252" i="2"/>
  <c r="I476" i="2"/>
  <c r="N33" i="2"/>
  <c r="I89" i="2"/>
  <c r="T48" i="2"/>
  <c r="J369" i="2"/>
  <c r="I32" i="2"/>
  <c r="P388" i="2"/>
  <c r="T610" i="2"/>
  <c r="L369" i="2"/>
  <c r="R304" i="2"/>
  <c r="M495" i="2"/>
  <c r="O31" i="2"/>
  <c r="V30" i="2"/>
  <c r="J610" i="2"/>
  <c r="O316" i="2"/>
  <c r="U67" i="2"/>
  <c r="T134" i="2"/>
  <c r="Q665" i="2"/>
  <c r="R91" i="2"/>
  <c r="J255" i="2"/>
  <c r="U198" i="2"/>
  <c r="I274" i="2"/>
  <c r="H353" i="2"/>
  <c r="L324" i="2"/>
  <c r="O373" i="2"/>
  <c r="M32" i="2"/>
  <c r="N499" i="2"/>
  <c r="L608" i="2"/>
  <c r="K204" i="2"/>
  <c r="O33" i="2"/>
  <c r="S381" i="2"/>
  <c r="M30" i="2"/>
  <c r="O30" i="2"/>
  <c r="R255" i="2"/>
  <c r="O202" i="2"/>
  <c r="M373" i="2"/>
  <c r="M534" i="2"/>
  <c r="R88" i="2"/>
  <c r="U157" i="2"/>
  <c r="R124" i="2"/>
  <c r="P525" i="2"/>
  <c r="S48" i="2"/>
  <c r="J603" i="2"/>
  <c r="P157" i="2"/>
  <c r="K260" i="2"/>
  <c r="Q316" i="2"/>
  <c r="H319" i="2"/>
  <c r="T475" i="2"/>
  <c r="J619" i="2"/>
  <c r="J90" i="2"/>
  <c r="S467" i="2"/>
  <c r="Q376" i="2"/>
  <c r="T410" i="2"/>
  <c r="L495" i="2"/>
  <c r="M96" i="2"/>
  <c r="Q391" i="2"/>
  <c r="P662" i="2"/>
  <c r="M502" i="2"/>
  <c r="P586" i="2"/>
  <c r="L595" i="2"/>
  <c r="P210" i="2"/>
  <c r="N247" i="2"/>
  <c r="M76" i="2"/>
  <c r="L18" i="2"/>
  <c r="M587" i="2"/>
  <c r="I57" i="2"/>
  <c r="V259" i="2"/>
  <c r="S610" i="2"/>
  <c r="N31" i="2"/>
  <c r="P534" i="2"/>
  <c r="J419" i="2"/>
  <c r="O596" i="2"/>
  <c r="H489" i="2"/>
  <c r="S419" i="2"/>
  <c r="I362" i="2"/>
  <c r="U295" i="2"/>
  <c r="M10" i="2"/>
  <c r="I560" i="2"/>
  <c r="K490" i="2"/>
  <c r="I619" i="2"/>
  <c r="H663" i="2"/>
  <c r="V91" i="2"/>
  <c r="O115" i="2"/>
  <c r="I587" i="2"/>
  <c r="M433" i="2"/>
  <c r="N48" i="2"/>
  <c r="K419" i="2"/>
  <c r="M595" i="2"/>
  <c r="H316" i="2"/>
  <c r="P304" i="2"/>
  <c r="O595" i="2"/>
  <c r="Q586" i="2"/>
  <c r="V304" i="2"/>
  <c r="T182" i="2"/>
  <c r="Q541" i="2"/>
  <c r="Q488" i="2"/>
  <c r="L148" i="2"/>
  <c r="S295" i="2"/>
  <c r="K106" i="2"/>
  <c r="U665" i="2"/>
  <c r="O785" i="2"/>
  <c r="K67" i="2"/>
  <c r="J475" i="2"/>
  <c r="H376" i="2"/>
  <c r="T352" i="2"/>
  <c r="Q68" i="2"/>
  <c r="L381" i="2"/>
  <c r="O818" i="2"/>
  <c r="M90" i="2"/>
  <c r="I361" i="2"/>
  <c r="J534" i="2"/>
  <c r="U312" i="2"/>
  <c r="M596" i="2"/>
  <c r="I495" i="2"/>
  <c r="P88" i="2"/>
  <c r="T38" i="2"/>
  <c r="V18" i="2"/>
  <c r="Q124" i="2"/>
  <c r="M376" i="2"/>
  <c r="H369" i="2"/>
  <c r="P409" i="2"/>
  <c r="V181" i="2"/>
  <c r="J133" i="2"/>
  <c r="Q319" i="2"/>
  <c r="Q548" i="2"/>
  <c r="Q418" i="2"/>
  <c r="H557" i="2"/>
  <c r="K90" i="2"/>
  <c r="T91" i="2"/>
  <c r="K488" i="2"/>
  <c r="P476" i="2"/>
  <c r="H785" i="2"/>
  <c r="T19" i="2"/>
  <c r="K181" i="2"/>
  <c r="L596" i="2"/>
  <c r="H115" i="2"/>
  <c r="N115" i="2"/>
  <c r="O134" i="2"/>
  <c r="L261" i="2"/>
  <c r="R163" i="2"/>
  <c r="M124" i="2"/>
  <c r="H84" i="2"/>
  <c r="O77" i="2"/>
  <c r="T619" i="2"/>
  <c r="P442" i="2"/>
  <c r="N476" i="2"/>
  <c r="R448" i="2"/>
  <c r="Q660" i="2"/>
  <c r="M115" i="2"/>
  <c r="R607" i="2"/>
  <c r="M88" i="2"/>
  <c r="V738" i="2"/>
  <c r="Q96" i="2"/>
  <c r="S553" i="2"/>
  <c r="Q328" i="2"/>
  <c r="U214" i="2"/>
  <c r="O48" i="2"/>
  <c r="O385" i="2"/>
  <c r="L259" i="2"/>
  <c r="R374" i="2"/>
  <c r="L51" i="2"/>
  <c r="O374" i="2"/>
  <c r="M480" i="2"/>
  <c r="T106" i="2"/>
  <c r="K608" i="2"/>
  <c r="V84" i="2"/>
  <c r="M324" i="2"/>
  <c r="P124" i="2"/>
  <c r="H487" i="2"/>
  <c r="K324" i="2"/>
  <c r="U489" i="2"/>
  <c r="I42" i="2"/>
  <c r="U376" i="2"/>
  <c r="M615" i="2"/>
  <c r="J210" i="2"/>
  <c r="S607" i="2"/>
  <c r="N410" i="2"/>
  <c r="U475" i="2"/>
  <c r="R476" i="2"/>
  <c r="M388" i="2"/>
  <c r="R210" i="2"/>
  <c r="I433" i="2"/>
  <c r="K361" i="2"/>
  <c r="R32" i="2"/>
  <c r="T388" i="2"/>
  <c r="P324" i="2"/>
  <c r="M603" i="2"/>
  <c r="T90" i="2"/>
  <c r="K42" i="2"/>
  <c r="N319" i="2"/>
  <c r="L442" i="2"/>
  <c r="O381" i="2"/>
  <c r="K89" i="2"/>
  <c r="V238" i="2"/>
  <c r="U238" i="2"/>
  <c r="U410" i="2"/>
  <c r="T115" i="2"/>
  <c r="U534" i="2"/>
  <c r="Q546" i="2"/>
  <c r="R419" i="2"/>
  <c r="I305" i="2"/>
  <c r="P153" i="2"/>
  <c r="Q172" i="2"/>
  <c r="K374" i="2"/>
  <c r="M818" i="2"/>
  <c r="I480" i="2"/>
  <c r="V815" i="2"/>
  <c r="V126" i="2" s="1"/>
  <c r="V153" i="2"/>
  <c r="N823" i="2"/>
  <c r="N572" i="2" s="1"/>
  <c r="M538" i="2"/>
  <c r="K815" i="2"/>
  <c r="K240" i="2" s="1"/>
  <c r="P133" i="2"/>
  <c r="M553" i="2"/>
  <c r="Q32" i="2"/>
  <c r="Q88" i="2"/>
  <c r="U163" i="2"/>
  <c r="M305" i="2"/>
  <c r="T596" i="2"/>
  <c r="I304" i="2"/>
  <c r="U682" i="2"/>
  <c r="T324" i="2"/>
  <c r="J423" i="2"/>
  <c r="R596" i="2"/>
  <c r="Q410" i="2"/>
  <c r="H305" i="2"/>
  <c r="S495" i="2"/>
  <c r="P172" i="2"/>
  <c r="T423" i="2"/>
  <c r="K210" i="2"/>
  <c r="R433" i="2"/>
  <c r="V317" i="2"/>
  <c r="R148" i="2"/>
  <c r="R362" i="2"/>
  <c r="Q138" i="2"/>
  <c r="L109" i="2"/>
  <c r="M353" i="2"/>
  <c r="J353" i="2"/>
  <c r="S255" i="2"/>
  <c r="T381" i="2"/>
  <c r="N89" i="2"/>
  <c r="N609" i="2"/>
  <c r="O181" i="2"/>
  <c r="S442" i="2"/>
  <c r="P608" i="2"/>
  <c r="O615" i="2"/>
  <c r="K195" i="2"/>
  <c r="O214" i="2"/>
  <c r="O587" i="2"/>
  <c r="N96" i="2"/>
  <c r="S409" i="2"/>
  <c r="L466" i="2"/>
  <c r="L375" i="2"/>
  <c r="H595" i="2"/>
  <c r="T96" i="2"/>
  <c r="H442" i="2"/>
  <c r="T305" i="2"/>
  <c r="I68" i="2"/>
  <c r="M545" i="2"/>
  <c r="L822" i="2"/>
  <c r="Q309" i="2"/>
  <c r="P191" i="2"/>
  <c r="L57" i="2"/>
  <c r="O89" i="2"/>
  <c r="V483" i="2"/>
  <c r="N91" i="2"/>
  <c r="M84" i="2"/>
  <c r="Q334" i="2"/>
  <c r="I267" i="2"/>
  <c r="O586" i="2"/>
  <c r="H385" i="2"/>
  <c r="U30" i="2"/>
  <c r="H608" i="2"/>
  <c r="I595" i="2"/>
  <c r="S147" i="2"/>
  <c r="J388" i="2"/>
  <c r="J88" i="2"/>
  <c r="I163" i="2"/>
  <c r="T385" i="2"/>
  <c r="O252" i="2"/>
  <c r="V375" i="2"/>
  <c r="I603" i="2"/>
  <c r="J487" i="2"/>
  <c r="L525" i="2"/>
  <c r="M385" i="2"/>
  <c r="M442" i="2"/>
  <c r="Q375" i="2"/>
  <c r="L319" i="2"/>
  <c r="N603" i="2"/>
  <c r="T267" i="2"/>
  <c r="M89" i="2"/>
  <c r="L438" i="2"/>
  <c r="O502" i="2"/>
  <c r="S487" i="2"/>
  <c r="H169" i="2"/>
  <c r="U738" i="2"/>
  <c r="R214" i="2"/>
  <c r="S431" i="2"/>
  <c r="N419" i="2"/>
  <c r="V124" i="2"/>
  <c r="O524" i="2"/>
  <c r="S374" i="2"/>
  <c r="P410" i="2"/>
  <c r="T89" i="2"/>
  <c r="U622" i="2"/>
  <c r="U352" i="2"/>
  <c r="U76" i="2"/>
  <c r="S652" i="2"/>
  <c r="M296" i="2"/>
  <c r="S106" i="2"/>
  <c r="P822" i="2"/>
  <c r="P628" i="2" s="1"/>
  <c r="I324" i="2"/>
  <c r="N821" i="2"/>
  <c r="N448" i="2" s="1"/>
  <c r="L785" i="2"/>
  <c r="V608" i="2"/>
  <c r="I48" i="2"/>
  <c r="N533" i="2"/>
  <c r="M169" i="2"/>
  <c r="N438" i="2"/>
  <c r="O328" i="2"/>
  <c r="I475" i="2"/>
  <c r="V195" i="2"/>
  <c r="J467" i="2"/>
  <c r="K430" i="2"/>
  <c r="M418" i="2"/>
  <c r="I373" i="2"/>
  <c r="O665" i="2"/>
  <c r="R625" i="2"/>
  <c r="O822" i="2"/>
  <c r="O283" i="2" s="1"/>
  <c r="Q524" i="2"/>
  <c r="N109" i="2"/>
  <c r="U524" i="2"/>
  <c r="P67" i="2"/>
  <c r="O388" i="2"/>
  <c r="V33" i="2"/>
  <c r="J586" i="2"/>
  <c r="P467" i="2"/>
  <c r="P328" i="2"/>
  <c r="I489" i="2"/>
  <c r="Q560" i="2"/>
  <c r="J9" i="2"/>
  <c r="O600" i="2"/>
  <c r="J112" i="2"/>
  <c r="K57" i="2"/>
  <c r="K202" i="2"/>
  <c r="M319" i="2"/>
  <c r="S203" i="2"/>
  <c r="M608" i="2"/>
  <c r="J495" i="2"/>
  <c r="U388" i="2"/>
  <c r="I148" i="2"/>
  <c r="R553" i="2"/>
  <c r="R191" i="2"/>
  <c r="P138" i="2"/>
  <c r="R19" i="2"/>
  <c r="R547" i="2"/>
  <c r="J10" i="2"/>
  <c r="J823" i="2"/>
  <c r="J457" i="2" s="1"/>
  <c r="T608" i="2"/>
  <c r="O26" i="2"/>
  <c r="H533" i="2"/>
  <c r="M375" i="2"/>
  <c r="Q169" i="2"/>
  <c r="N502" i="2"/>
  <c r="Q31" i="2"/>
  <c r="I157" i="2"/>
  <c r="U68" i="2"/>
  <c r="T603" i="2"/>
  <c r="N305" i="2"/>
  <c r="T42" i="2"/>
  <c r="M239" i="2"/>
  <c r="V10" i="2"/>
  <c r="T818" i="2"/>
  <c r="J191" i="2"/>
  <c r="S91" i="2"/>
  <c r="J433" i="2"/>
  <c r="J410" i="2"/>
  <c r="J238" i="2"/>
  <c r="V538" i="2"/>
  <c r="I352" i="2"/>
  <c r="L483" i="2"/>
  <c r="T586" i="2"/>
  <c r="Q204" i="2"/>
  <c r="H204" i="2"/>
  <c r="S100" i="2"/>
  <c r="T375" i="2"/>
  <c r="O96" i="2"/>
  <c r="V296" i="2"/>
  <c r="R656" i="2"/>
  <c r="U495" i="2"/>
  <c r="U381" i="2"/>
  <c r="H609" i="2"/>
  <c r="Q587" i="2"/>
  <c r="S305" i="2"/>
  <c r="L124" i="2"/>
  <c r="N296" i="2"/>
  <c r="K84" i="2"/>
  <c r="T238" i="2"/>
  <c r="N23" i="2"/>
  <c r="J54" i="2"/>
  <c r="I259" i="2"/>
  <c r="K534" i="2"/>
  <c r="L418" i="2"/>
  <c r="J316" i="2"/>
  <c r="U608" i="2"/>
  <c r="O42" i="2"/>
  <c r="J546" i="2"/>
  <c r="N30" i="2"/>
  <c r="V261" i="2"/>
  <c r="T533" i="2"/>
  <c r="Q252" i="2"/>
  <c r="I260" i="2"/>
  <c r="T785" i="2"/>
  <c r="T799" i="2" s="1"/>
  <c r="N138" i="2"/>
  <c r="J655" i="2"/>
  <c r="H818" i="2"/>
  <c r="K385" i="2"/>
  <c r="V664" i="2"/>
  <c r="M247" i="2"/>
  <c r="L534" i="2"/>
  <c r="J318" i="2"/>
  <c r="M619" i="2"/>
  <c r="R366" i="2"/>
  <c r="T9" i="2"/>
  <c r="M663" i="2"/>
  <c r="M610" i="2"/>
  <c r="P376" i="2"/>
  <c r="T23" i="2"/>
  <c r="P366" i="2"/>
  <c r="V81" i="2"/>
  <c r="T172" i="2"/>
  <c r="O362" i="2"/>
  <c r="V622" i="2"/>
  <c r="P499" i="2"/>
  <c r="R385" i="2"/>
  <c r="N557" i="2"/>
  <c r="L112" i="2"/>
  <c r="R259" i="2"/>
  <c r="P466" i="2"/>
  <c r="L304" i="2"/>
  <c r="P109" i="2"/>
  <c r="H138" i="2"/>
  <c r="I525" i="2"/>
  <c r="J38" i="2"/>
  <c r="V67" i="2"/>
  <c r="T538" i="2"/>
  <c r="U600" i="2"/>
  <c r="N76" i="2"/>
  <c r="U191" i="2"/>
  <c r="Q205" i="2"/>
  <c r="T163" i="2"/>
  <c r="H524" i="2"/>
  <c r="U823" i="2"/>
  <c r="U400" i="2" s="1"/>
  <c r="O18" i="2"/>
  <c r="V32" i="2"/>
  <c r="M499" i="2"/>
  <c r="R499" i="2"/>
  <c r="K318" i="2"/>
  <c r="K388" i="2"/>
  <c r="J409" i="2"/>
  <c r="J57" i="2"/>
  <c r="H274" i="2"/>
  <c r="H822" i="2"/>
  <c r="H280" i="2" s="1"/>
  <c r="L388" i="2"/>
  <c r="S210" i="2"/>
  <c r="L366" i="2"/>
  <c r="T525" i="2"/>
  <c r="R309" i="2"/>
  <c r="Q600" i="2"/>
  <c r="H124" i="2"/>
  <c r="H607" i="2"/>
  <c r="V89" i="2"/>
  <c r="J324" i="2"/>
  <c r="T374" i="2"/>
  <c r="O304" i="2"/>
  <c r="K785" i="2"/>
  <c r="Q433" i="2"/>
  <c r="K587" i="2"/>
  <c r="R663" i="2"/>
  <c r="V822" i="2"/>
  <c r="V223" i="2" s="1"/>
  <c r="J609" i="2"/>
  <c r="M318" i="2"/>
  <c r="S247" i="2"/>
  <c r="T655" i="2"/>
  <c r="R81" i="2"/>
  <c r="O538" i="2"/>
  <c r="J274" i="2"/>
  <c r="Q48" i="2"/>
  <c r="U353" i="2"/>
  <c r="N373" i="2"/>
  <c r="T191" i="2"/>
  <c r="V271" i="2"/>
  <c r="U607" i="2"/>
  <c r="S205" i="2"/>
  <c r="M153" i="2"/>
  <c r="U317" i="2"/>
  <c r="M476" i="2"/>
  <c r="L214" i="2"/>
  <c r="L309" i="2"/>
  <c r="H587" i="2"/>
  <c r="K133" i="2"/>
  <c r="P665" i="2"/>
  <c r="L33" i="2"/>
  <c r="K489" i="2"/>
  <c r="M487" i="2"/>
  <c r="S19" i="2"/>
  <c r="N57" i="2"/>
  <c r="V125" i="2"/>
  <c r="L663" i="2"/>
  <c r="Q274" i="2"/>
  <c r="S466" i="2"/>
  <c r="S267" i="2"/>
  <c r="U319" i="2"/>
  <c r="V534" i="2"/>
  <c r="S560" i="2"/>
  <c r="N259" i="2"/>
  <c r="P195" i="2"/>
  <c r="Q84" i="2"/>
  <c r="R42" i="2"/>
  <c r="H361" i="2"/>
  <c r="U821" i="2"/>
  <c r="U505" i="2" s="1"/>
  <c r="L32" i="2"/>
  <c r="V115" i="2"/>
  <c r="R595" i="2"/>
  <c r="K138" i="2"/>
  <c r="Q115" i="2"/>
  <c r="L247" i="2"/>
  <c r="U9" i="2"/>
  <c r="K134" i="2"/>
  <c r="O19" i="2"/>
  <c r="M274" i="2"/>
  <c r="L19" i="2"/>
  <c r="I316" i="2"/>
  <c r="V619" i="2"/>
  <c r="N495" i="2"/>
  <c r="T153" i="2"/>
  <c r="V610" i="2"/>
  <c r="P30" i="2"/>
  <c r="V148" i="2"/>
  <c r="M409" i="2"/>
  <c r="P51" i="2"/>
  <c r="Q163" i="2"/>
  <c r="V274" i="2"/>
  <c r="L475" i="2"/>
  <c r="R296" i="2"/>
  <c r="J148" i="2"/>
  <c r="L88" i="2"/>
  <c r="Q202" i="2"/>
  <c r="N615" i="2"/>
  <c r="T489" i="2"/>
  <c r="M609" i="2"/>
  <c r="I295" i="2"/>
  <c r="N475" i="2"/>
  <c r="N607" i="2"/>
  <c r="R603" i="2"/>
  <c r="L38" i="2"/>
  <c r="V247" i="2"/>
  <c r="V133" i="2"/>
  <c r="V309" i="2"/>
  <c r="O190" i="2"/>
  <c r="K316" i="2"/>
  <c r="P595" i="2"/>
  <c r="V603" i="2"/>
  <c r="P553" i="2"/>
  <c r="T271" i="2"/>
  <c r="H57" i="2"/>
  <c r="P247" i="2"/>
  <c r="U483" i="2"/>
  <c r="N18" i="2"/>
  <c r="H430" i="2"/>
  <c r="R545" i="2"/>
  <c r="V373" i="2"/>
  <c r="V214" i="2"/>
  <c r="V476" i="2"/>
  <c r="Q90" i="2"/>
  <c r="S328" i="2"/>
  <c r="P68" i="2"/>
  <c r="O248" i="2"/>
  <c r="H247" i="2"/>
  <c r="J23" i="2"/>
  <c r="V239" i="2"/>
  <c r="V388" i="2"/>
  <c r="S665" i="2"/>
  <c r="H181" i="2"/>
  <c r="P125" i="2"/>
  <c r="Q619" i="2"/>
  <c r="T560" i="2"/>
  <c r="U586" i="2"/>
  <c r="U90" i="2"/>
  <c r="Q267" i="2"/>
  <c r="U19" i="2"/>
  <c r="O815" i="2"/>
  <c r="O240" i="2" s="1"/>
  <c r="P267" i="2"/>
  <c r="K19" i="2"/>
  <c r="H202" i="2"/>
  <c r="I76" i="2"/>
  <c r="H54" i="2"/>
  <c r="J502" i="2"/>
  <c r="V487" i="2"/>
  <c r="N169" i="2"/>
  <c r="U603" i="2"/>
  <c r="J376" i="2"/>
  <c r="J91" i="2"/>
  <c r="J42" i="2"/>
  <c r="L362" i="2"/>
  <c r="V319" i="2"/>
  <c r="R467" i="2"/>
  <c r="U480" i="2"/>
  <c r="I376" i="2"/>
  <c r="N261" i="2"/>
  <c r="S10" i="2"/>
  <c r="Q77" i="2"/>
  <c r="N68" i="2"/>
  <c r="K262" i="2"/>
  <c r="S259" i="2"/>
  <c r="Q381" i="2"/>
  <c r="T659" i="2"/>
  <c r="R487" i="2"/>
  <c r="L153" i="2"/>
  <c r="L316" i="2"/>
  <c r="S369" i="2"/>
  <c r="O324" i="2"/>
  <c r="M133" i="2"/>
  <c r="S362" i="2"/>
  <c r="I418" i="2"/>
  <c r="L533" i="2"/>
  <c r="H362" i="2"/>
  <c r="P381" i="2"/>
  <c r="L560" i="2"/>
  <c r="P609" i="2"/>
  <c r="M547" i="2"/>
  <c r="M490" i="2"/>
  <c r="Q609" i="2"/>
  <c r="I261" i="2"/>
  <c r="J305" i="2"/>
  <c r="P353" i="2"/>
  <c r="Q260" i="2"/>
  <c r="P262" i="2"/>
  <c r="M77" i="2"/>
  <c r="P32" i="2"/>
  <c r="H125" i="2"/>
  <c r="M488" i="2"/>
  <c r="U587" i="2"/>
  <c r="N822" i="2"/>
  <c r="N280" i="2" s="1"/>
  <c r="P84" i="2"/>
  <c r="L586" i="2"/>
  <c r="S663" i="2"/>
  <c r="K607" i="2"/>
  <c r="K665" i="2"/>
  <c r="S317" i="2"/>
  <c r="H409" i="2"/>
  <c r="P309" i="2"/>
  <c r="N815" i="2"/>
  <c r="N590" i="2" s="1"/>
  <c r="K818" i="2"/>
  <c r="K548" i="2"/>
  <c r="Q262" i="2"/>
  <c r="I296" i="2"/>
  <c r="R391" i="2"/>
  <c r="J385" i="2"/>
  <c r="Q366" i="2"/>
  <c r="J662" i="2"/>
  <c r="J480" i="2"/>
  <c r="U432" i="2"/>
  <c r="R38" i="2"/>
  <c r="K362" i="2"/>
  <c r="R533" i="2"/>
  <c r="P419" i="2"/>
  <c r="T316" i="2"/>
  <c r="K100" i="2"/>
  <c r="V381" i="2"/>
  <c r="L423" i="2"/>
  <c r="K255" i="2"/>
  <c r="Q385" i="2"/>
  <c r="V305" i="2"/>
  <c r="T32" i="2"/>
  <c r="U652" i="2"/>
  <c r="S656" i="2"/>
  <c r="U660" i="2"/>
  <c r="M525" i="2"/>
  <c r="U659" i="2"/>
  <c r="K600" i="2"/>
  <c r="U553" i="2"/>
  <c r="U296" i="2"/>
  <c r="P76" i="2"/>
  <c r="I248" i="2"/>
  <c r="O153" i="2"/>
  <c r="P487" i="2"/>
  <c r="T214" i="2"/>
  <c r="L91" i="2"/>
  <c r="K295" i="2"/>
  <c r="V312" i="2"/>
  <c r="K10" i="2"/>
  <c r="O138" i="2"/>
  <c r="J483" i="2"/>
  <c r="S133" i="2"/>
  <c r="R54" i="2"/>
  <c r="M662" i="2"/>
  <c r="J533" i="2"/>
  <c r="R423" i="2"/>
  <c r="N662" i="2"/>
  <c r="P548" i="2"/>
  <c r="J141" i="2"/>
  <c r="O488" i="2"/>
  <c r="H375" i="2"/>
  <c r="Q352" i="2"/>
  <c r="J442" i="2"/>
  <c r="O369" i="2"/>
  <c r="U138" i="2"/>
  <c r="O475" i="2"/>
  <c r="S600" i="2"/>
  <c r="L125" i="2"/>
  <c r="R352" i="2"/>
  <c r="R51" i="2"/>
  <c r="S502" i="2"/>
  <c r="Q563" i="2"/>
  <c r="I374" i="2"/>
  <c r="U609" i="2"/>
  <c r="I147" i="2"/>
  <c r="H546" i="2"/>
  <c r="N490" i="2"/>
  <c r="O125" i="2"/>
  <c r="N328" i="2"/>
  <c r="O271" i="2"/>
  <c r="K267" i="2"/>
  <c r="J31" i="2"/>
  <c r="H490" i="2"/>
  <c r="U658" i="2"/>
  <c r="T76" i="2"/>
  <c r="H48" i="2"/>
  <c r="O419" i="2"/>
  <c r="U362" i="2"/>
  <c r="H76" i="2"/>
  <c r="S410" i="2"/>
  <c r="R525" i="2"/>
  <c r="I141" i="2"/>
  <c r="N157" i="2"/>
  <c r="N248" i="2"/>
  <c r="U190" i="2"/>
  <c r="S376" i="2"/>
  <c r="O238" i="2"/>
  <c r="H538" i="2"/>
  <c r="V38" i="2"/>
  <c r="T304" i="2"/>
  <c r="M67" i="2"/>
  <c r="H112" i="2"/>
  <c r="R409" i="2"/>
  <c r="L318" i="2"/>
  <c r="Q495" i="2"/>
  <c r="P181" i="2"/>
  <c r="L607" i="2"/>
  <c r="I247" i="2"/>
  <c r="V467" i="2"/>
  <c r="M665" i="2"/>
  <c r="H259" i="2"/>
  <c r="O487" i="2"/>
  <c r="Q480" i="2"/>
  <c r="U17" i="2"/>
  <c r="K328" i="2"/>
  <c r="M374" i="2"/>
  <c r="Q608" i="2"/>
  <c r="O262" i="2"/>
  <c r="I181" i="2"/>
  <c r="R480" i="2"/>
  <c r="P600" i="2"/>
  <c r="I596" i="2"/>
  <c r="H373" i="2"/>
  <c r="N487" i="2"/>
  <c r="S239" i="2"/>
  <c r="S586" i="2"/>
  <c r="U375" i="2"/>
  <c r="K557" i="2"/>
  <c r="V96" i="2"/>
  <c r="P26" i="2"/>
  <c r="V658" i="2"/>
  <c r="V586" i="2"/>
  <c r="V385" i="2"/>
  <c r="N587" i="2"/>
  <c r="R305" i="2"/>
  <c r="H324" i="2"/>
  <c r="U655" i="2"/>
  <c r="S57" i="2"/>
  <c r="U546" i="2"/>
  <c r="H381" i="2"/>
  <c r="U51" i="2"/>
  <c r="R662" i="2"/>
  <c r="N19" i="2"/>
  <c r="Q489" i="2"/>
  <c r="M533" i="2"/>
  <c r="Q125" i="2"/>
  <c r="H466" i="2"/>
  <c r="Q525" i="2"/>
  <c r="I239" i="2"/>
  <c r="Q615" i="2"/>
  <c r="Q324" i="2"/>
  <c r="T667" i="2"/>
  <c r="P9" i="2"/>
  <c r="U181" i="2"/>
  <c r="J374" i="2"/>
  <c r="I319" i="2"/>
  <c r="V600" i="2"/>
  <c r="T665" i="2"/>
  <c r="U499" i="2"/>
  <c r="U533" i="2"/>
  <c r="J418" i="2"/>
  <c r="L557" i="2"/>
  <c r="N191" i="2"/>
  <c r="T587" i="2"/>
  <c r="R655" i="2"/>
  <c r="P18" i="2"/>
  <c r="R818" i="2"/>
  <c r="N295" i="2"/>
  <c r="S84" i="2"/>
  <c r="K271" i="2"/>
  <c r="O163" i="2"/>
  <c r="L255" i="2"/>
  <c r="U656" i="2"/>
  <c r="V262" i="2"/>
  <c r="O821" i="2"/>
  <c r="O277" i="2" s="1"/>
  <c r="I815" i="2"/>
  <c r="I185" i="2" s="1"/>
  <c r="N190" i="2"/>
  <c r="V609" i="2"/>
  <c r="M524" i="2"/>
  <c r="Q148" i="2"/>
  <c r="M42" i="2"/>
  <c r="V502" i="2"/>
  <c r="N430" i="2"/>
  <c r="U560" i="2"/>
  <c r="V596" i="2"/>
  <c r="S587" i="2"/>
  <c r="V353" i="2"/>
  <c r="I182" i="2"/>
  <c r="S81" i="2"/>
  <c r="S525" i="2"/>
  <c r="K68" i="2"/>
  <c r="S76" i="2"/>
  <c r="K239" i="2"/>
  <c r="N595" i="2"/>
  <c r="Q499" i="2"/>
  <c r="I252" i="2"/>
  <c r="N466" i="2"/>
  <c r="S124" i="2"/>
  <c r="V546" i="2"/>
  <c r="P205" i="2"/>
  <c r="O51" i="2"/>
  <c r="Q373" i="2"/>
  <c r="P239" i="2"/>
  <c r="J309" i="2"/>
  <c r="R369" i="2"/>
  <c r="O38" i="2"/>
  <c r="L385" i="2"/>
  <c r="L262" i="2"/>
  <c r="I622" i="2"/>
  <c r="H610" i="2"/>
  <c r="N361" i="2"/>
  <c r="S296" i="2"/>
  <c r="V252" i="2"/>
  <c r="V295" i="2"/>
  <c r="V607" i="2"/>
  <c r="P100" i="2"/>
  <c r="H141" i="2"/>
  <c r="R659" i="2"/>
  <c r="M316" i="2"/>
  <c r="K553" i="2"/>
  <c r="S261" i="2"/>
  <c r="J596" i="2"/>
  <c r="K495" i="2"/>
  <c r="J821" i="2"/>
  <c r="J448" i="2" s="1"/>
  <c r="U490" i="2"/>
  <c r="L305" i="2"/>
  <c r="O409" i="2"/>
  <c r="I467" i="2"/>
  <c r="J607" i="2"/>
  <c r="J438" i="2"/>
  <c r="S375" i="2"/>
  <c r="O489" i="2"/>
  <c r="T541" i="2"/>
  <c r="H476" i="2"/>
  <c r="V190" i="2"/>
  <c r="N362" i="2"/>
  <c r="M309" i="2"/>
  <c r="I125" i="2"/>
  <c r="N182" i="2"/>
  <c r="S115" i="2"/>
  <c r="V665" i="2"/>
  <c r="L295" i="2"/>
  <c r="O660" i="2"/>
  <c r="J18" i="2"/>
  <c r="L10" i="2"/>
  <c r="L68" i="2"/>
  <c r="U541" i="2"/>
  <c r="T663" i="2"/>
  <c r="Q23" i="2"/>
  <c r="K247" i="2"/>
  <c r="O295" i="2"/>
  <c r="N586" i="2"/>
  <c r="O560" i="2"/>
  <c r="R466" i="2"/>
  <c r="K381" i="2"/>
  <c r="H374" i="2"/>
  <c r="O667" i="2"/>
  <c r="S659" i="2"/>
  <c r="U134" i="2"/>
  <c r="S388" i="2"/>
  <c r="M467" i="2"/>
  <c r="K96" i="2"/>
  <c r="I419" i="2"/>
  <c r="T615" i="2"/>
  <c r="H660" i="2"/>
  <c r="N665" i="2"/>
  <c r="P204" i="2"/>
  <c r="U785" i="2"/>
  <c r="U799" i="2" s="1"/>
  <c r="O545" i="2"/>
  <c r="U654" i="2"/>
  <c r="L169" i="2"/>
  <c r="O375" i="2"/>
  <c r="P318" i="2"/>
  <c r="H295" i="2"/>
  <c r="R560" i="2"/>
  <c r="M214" i="2"/>
  <c r="U547" i="2"/>
  <c r="R586" i="2"/>
  <c r="S426" i="2"/>
  <c r="Q815" i="2"/>
  <c r="Q588" i="2" s="1"/>
  <c r="S385" i="2"/>
  <c r="V31" i="2"/>
  <c r="K433" i="2"/>
  <c r="J328" i="2"/>
  <c r="U545" i="2"/>
  <c r="P352" i="2"/>
  <c r="T490" i="2"/>
  <c r="O609" i="2"/>
  <c r="N608" i="2"/>
  <c r="L48" i="2"/>
  <c r="L667" i="2"/>
  <c r="U304" i="2"/>
  <c r="Q610" i="2"/>
  <c r="J476" i="2"/>
  <c r="R247" i="2"/>
  <c r="S353" i="2"/>
  <c r="T499" i="2"/>
  <c r="I821" i="2"/>
  <c r="I505" i="2" s="1"/>
  <c r="J204" i="2"/>
  <c r="Q51" i="2"/>
  <c r="T430" i="2"/>
  <c r="I381" i="2"/>
  <c r="O305" i="2"/>
  <c r="S534" i="2"/>
  <c r="J553" i="2"/>
  <c r="T476" i="2"/>
  <c r="K667" i="2"/>
  <c r="K410" i="2"/>
  <c r="U33" i="2"/>
  <c r="P541" i="2"/>
  <c r="P489" i="2"/>
  <c r="N84" i="2"/>
  <c r="V48" i="2"/>
  <c r="L553" i="2"/>
  <c r="P369" i="2"/>
  <c r="V553" i="2"/>
  <c r="N660" i="2"/>
  <c r="L100" i="2"/>
  <c r="R600" i="2"/>
  <c r="V68" i="2"/>
  <c r="M51" i="2"/>
  <c r="T822" i="2"/>
  <c r="T511" i="2" s="1"/>
  <c r="U318" i="2"/>
  <c r="R541" i="2"/>
  <c r="H67" i="2"/>
  <c r="S182" i="2"/>
  <c r="V134" i="2"/>
  <c r="R410" i="2"/>
  <c r="L42" i="2"/>
  <c r="I106" i="2"/>
  <c r="N195" i="2"/>
  <c r="O239" i="2"/>
  <c r="V785" i="2"/>
  <c r="H239" i="2"/>
  <c r="U423" i="2"/>
  <c r="Q663" i="2"/>
  <c r="H252" i="2"/>
  <c r="Q76" i="2"/>
  <c r="L195" i="2"/>
  <c r="S252" i="2"/>
  <c r="K172" i="2"/>
  <c r="J785" i="2"/>
  <c r="O81" i="2"/>
  <c r="R295" i="2"/>
  <c r="S109" i="2"/>
  <c r="K409" i="2"/>
  <c r="Q547" i="2"/>
  <c r="R442" i="2"/>
  <c r="U166" i="2"/>
  <c r="T376" i="2"/>
  <c r="M656" i="2"/>
  <c r="S373" i="2"/>
  <c r="I608" i="2"/>
  <c r="N125" i="2"/>
  <c r="P560" i="2"/>
  <c r="S77" i="2"/>
  <c r="O361" i="2"/>
  <c r="O32" i="2"/>
  <c r="O495" i="2"/>
  <c r="T409" i="2"/>
  <c r="N274" i="2"/>
  <c r="V146" i="2"/>
  <c r="K476" i="2"/>
  <c r="N375" i="2"/>
  <c r="J295" i="2"/>
  <c r="O490" i="2"/>
  <c r="H388" i="2"/>
  <c r="R9" i="2"/>
  <c r="L600" i="2"/>
  <c r="U125" i="2"/>
  <c r="U247" i="2"/>
  <c r="S112" i="2"/>
  <c r="T662" i="2"/>
  <c r="U172" i="2"/>
  <c r="M381" i="2"/>
  <c r="J319" i="2"/>
  <c r="H366" i="2"/>
  <c r="V109" i="2"/>
  <c r="T68" i="2"/>
  <c r="S238" i="2"/>
  <c r="Q467" i="2"/>
  <c r="Q239" i="2"/>
  <c r="Q247" i="2"/>
  <c r="V823" i="2"/>
  <c r="V286" i="2" s="1"/>
  <c r="H96" i="2"/>
  <c r="N88" i="2"/>
  <c r="U548" i="2"/>
  <c r="M586" i="2"/>
  <c r="Q487" i="2"/>
  <c r="L81" i="2"/>
  <c r="R68" i="2"/>
  <c r="N366" i="2"/>
  <c r="R619" i="2"/>
  <c r="H304" i="2"/>
  <c r="Q147" i="2"/>
  <c r="N304" i="2"/>
  <c r="R31" i="2"/>
  <c r="P10" i="2"/>
  <c r="P361" i="2"/>
  <c r="S667" i="2"/>
  <c r="M815" i="2"/>
  <c r="M354" i="2" s="1"/>
  <c r="R609" i="2"/>
  <c r="I466" i="2"/>
  <c r="R90" i="2"/>
  <c r="T205" i="2"/>
  <c r="J125" i="2"/>
  <c r="L328" i="2"/>
  <c r="N67" i="2"/>
  <c r="J373" i="2"/>
  <c r="U324" i="2"/>
  <c r="U426" i="2"/>
  <c r="H77" i="2"/>
  <c r="I109" i="2"/>
  <c r="S545" i="2"/>
  <c r="I153" i="2"/>
  <c r="Q238" i="2"/>
  <c r="M295" i="2"/>
  <c r="U619" i="2"/>
  <c r="L603" i="2"/>
  <c r="M9" i="2"/>
  <c r="H133" i="2"/>
  <c r="I124" i="2"/>
  <c r="T81" i="2"/>
  <c r="V652" i="2"/>
  <c r="O655" i="2"/>
  <c r="R169" i="2"/>
  <c r="K480" i="2"/>
  <c r="M191" i="2"/>
  <c r="H586" i="2"/>
  <c r="O23" i="2"/>
  <c r="U502" i="2"/>
  <c r="L480" i="2"/>
  <c r="P547" i="2"/>
  <c r="K23" i="2"/>
  <c r="J138" i="2"/>
  <c r="T31" i="2"/>
  <c r="N818" i="2"/>
  <c r="H191" i="2"/>
  <c r="R438" i="2"/>
  <c r="P57" i="2"/>
  <c r="J190" i="2"/>
  <c r="T57" i="2"/>
  <c r="V548" i="2"/>
  <c r="K663" i="2"/>
  <c r="O172" i="2"/>
  <c r="Q134" i="2"/>
  <c r="V663" i="2"/>
  <c r="K38" i="2"/>
  <c r="P77" i="2"/>
  <c r="R112" i="2"/>
  <c r="R190" i="2"/>
  <c r="H615" i="2"/>
  <c r="V818" i="2"/>
  <c r="I487" i="2"/>
  <c r="N10" i="2"/>
  <c r="R610" i="2"/>
  <c r="N524" i="2"/>
  <c r="M304" i="2"/>
  <c r="S785" i="2"/>
  <c r="L191" i="2"/>
  <c r="O169" i="2"/>
  <c r="L815" i="2"/>
  <c r="L299" i="2" s="1"/>
  <c r="J96" i="2"/>
  <c r="T488" i="2"/>
  <c r="S195" i="2"/>
  <c r="S664" i="2"/>
  <c r="S660" i="2"/>
  <c r="I51" i="2"/>
  <c r="O88" i="2"/>
  <c r="O533" i="2"/>
  <c r="K375" i="2"/>
  <c r="K191" i="2"/>
  <c r="I26" i="2"/>
  <c r="S54" i="2"/>
  <c r="K353" i="2"/>
  <c r="N418" i="2"/>
  <c r="S248" i="2"/>
  <c r="T547" i="2"/>
  <c r="S609" i="2"/>
  <c r="U239" i="2"/>
  <c r="L548" i="2"/>
  <c r="M423" i="2"/>
  <c r="R652" i="2"/>
  <c r="R319" i="2"/>
  <c r="M560" i="2"/>
  <c r="P423" i="2"/>
  <c r="S418" i="2"/>
  <c r="L655" i="2"/>
  <c r="O195" i="2"/>
  <c r="M23" i="2"/>
  <c r="O423" i="2"/>
  <c r="L182" i="2"/>
  <c r="Q190" i="2"/>
  <c r="T821" i="2"/>
  <c r="T563" i="2" s="1"/>
  <c r="P89" i="2"/>
  <c r="T77" i="2"/>
  <c r="O442" i="2"/>
  <c r="M157" i="2"/>
  <c r="U112" i="2"/>
  <c r="T419" i="2"/>
  <c r="I423" i="2"/>
  <c r="O656" i="2"/>
  <c r="N553" i="2"/>
  <c r="R502" i="2"/>
  <c r="R146" i="2"/>
  <c r="K821" i="2"/>
  <c r="K505" i="2" s="1"/>
  <c r="M546" i="2"/>
  <c r="U10" i="2"/>
  <c r="U525" i="2"/>
  <c r="K524" i="2"/>
  <c r="K366" i="2"/>
  <c r="T109" i="2"/>
  <c r="M54" i="2"/>
  <c r="V654" i="2"/>
  <c r="P815" i="2"/>
  <c r="P298" i="2" s="1"/>
  <c r="T10" i="2"/>
  <c r="U195" i="2"/>
  <c r="V77" i="2"/>
  <c r="O608" i="2"/>
  <c r="Q785" i="2"/>
  <c r="T124" i="2"/>
  <c r="M195" i="2"/>
  <c r="V54" i="2"/>
  <c r="Q112" i="2"/>
  <c r="Q595" i="2"/>
  <c r="K190" i="2"/>
  <c r="S68" i="2"/>
  <c r="Q505" i="2"/>
  <c r="P19" i="2"/>
  <c r="L430" i="2"/>
  <c r="M655" i="2"/>
  <c r="I488" i="2"/>
  <c r="P545" i="2"/>
  <c r="P112" i="2"/>
  <c r="V90" i="2"/>
  <c r="L541" i="2"/>
  <c r="S476" i="2"/>
  <c r="K655" i="2"/>
  <c r="S822" i="2"/>
  <c r="S283" i="2" s="1"/>
  <c r="J432" i="2"/>
  <c r="S9" i="2"/>
  <c r="V76" i="2"/>
  <c r="P656" i="2"/>
  <c r="K182" i="2"/>
  <c r="P615" i="2"/>
  <c r="V182" i="2"/>
  <c r="K252" i="2"/>
  <c r="T296" i="2"/>
  <c r="J81" i="2"/>
  <c r="L23" i="2"/>
  <c r="S662" i="2"/>
  <c r="V480" i="2"/>
  <c r="U252" i="2"/>
  <c r="M57" i="2"/>
  <c r="S33" i="2"/>
  <c r="K545" i="2"/>
  <c r="Q195" i="2"/>
  <c r="L502" i="2"/>
  <c r="P319" i="2"/>
  <c r="U442" i="2"/>
  <c r="I534" i="2"/>
  <c r="N260" i="2"/>
  <c r="L662" i="2"/>
  <c r="U271" i="2"/>
  <c r="I115" i="2"/>
  <c r="M112" i="2"/>
  <c r="R172" i="2"/>
  <c r="J304" i="2"/>
  <c r="H821" i="2"/>
  <c r="H499" i="2"/>
  <c r="N610" i="2"/>
  <c r="P190" i="2"/>
  <c r="K352" i="2"/>
  <c r="U248" i="2"/>
  <c r="O112" i="2"/>
  <c r="U366" i="2"/>
  <c r="K54" i="2"/>
  <c r="R785" i="2"/>
  <c r="L609" i="2"/>
  <c r="V545" i="2"/>
  <c r="J267" i="2"/>
  <c r="R546" i="2"/>
  <c r="I667" i="2"/>
  <c r="S818" i="2"/>
  <c r="T138" i="2"/>
  <c r="J664" i="2"/>
  <c r="O9" i="2"/>
  <c r="I547" i="2"/>
  <c r="H662" i="2"/>
  <c r="R23" i="2"/>
  <c r="T248" i="2"/>
  <c r="U467" i="2"/>
  <c r="T259" i="2"/>
  <c r="O376" i="2"/>
  <c r="Q181" i="2"/>
  <c r="J68" i="2"/>
  <c r="T823" i="2"/>
  <c r="T572" i="2" s="1"/>
  <c r="N81" i="2"/>
  <c r="M600" i="2"/>
  <c r="I660" i="2"/>
  <c r="T433" i="2"/>
  <c r="P430" i="2"/>
  <c r="V525" i="2"/>
  <c r="O274" i="2"/>
  <c r="J538" i="2"/>
  <c r="M163" i="2"/>
  <c r="M48" i="2"/>
  <c r="H91" i="2"/>
  <c r="S596" i="2"/>
  <c r="N133" i="2"/>
  <c r="R388" i="2"/>
  <c r="P115" i="2"/>
  <c r="P362" i="2"/>
  <c r="N664" i="2"/>
  <c r="U663" i="2"/>
  <c r="P475" i="2"/>
  <c r="M91" i="2"/>
  <c r="S30" i="2"/>
  <c r="I328" i="2"/>
  <c r="Q133" i="2"/>
  <c r="O499" i="2"/>
  <c r="H534" i="2"/>
  <c r="J525" i="2"/>
  <c r="J524" i="2"/>
  <c r="N381" i="2"/>
  <c r="U305" i="2"/>
  <c r="J557" i="2"/>
  <c r="H480" i="2"/>
  <c r="O557" i="2"/>
  <c r="M33" i="2"/>
  <c r="I31" i="2"/>
  <c r="O76" i="2"/>
  <c r="L660" i="2"/>
  <c r="H418" i="2"/>
  <c r="K296" i="2"/>
  <c r="J48" i="2"/>
  <c r="L619" i="2"/>
  <c r="H182" i="2"/>
  <c r="U662" i="2"/>
  <c r="O90" i="2"/>
  <c r="T660" i="2"/>
  <c r="T148" i="2"/>
  <c r="L90" i="2"/>
  <c r="T502" i="2"/>
  <c r="I10" i="2"/>
  <c r="Q353" i="2"/>
  <c r="V23" i="2"/>
  <c r="O480" i="2"/>
  <c r="H296" i="2"/>
  <c r="U438" i="2"/>
  <c r="M548" i="2"/>
  <c r="S823" i="2"/>
  <c r="S457" i="2" s="1"/>
  <c r="H172" i="2"/>
  <c r="P385" i="2"/>
  <c r="J100" i="2"/>
  <c r="O546" i="2"/>
  <c r="H195" i="2"/>
  <c r="T553" i="2"/>
  <c r="N90" i="2"/>
  <c r="T100" i="2"/>
  <c r="I67" i="2"/>
  <c r="H238" i="2"/>
  <c r="K822" i="2"/>
  <c r="K394" i="2" s="1"/>
  <c r="N560" i="2"/>
  <c r="T548" i="2"/>
  <c r="S153" i="2"/>
  <c r="H545" i="2"/>
  <c r="T181" i="2"/>
  <c r="T656" i="2"/>
  <c r="R524" i="2"/>
  <c r="R260" i="2"/>
  <c r="N324" i="2"/>
  <c r="V419" i="2"/>
  <c r="Q182" i="2"/>
  <c r="T353" i="2"/>
  <c r="V138" i="2"/>
  <c r="O366" i="2"/>
  <c r="J134" i="2"/>
  <c r="J109" i="2"/>
  <c r="J366" i="2"/>
  <c r="S304" i="2"/>
  <c r="S595" i="2"/>
  <c r="H309" i="2"/>
  <c r="N547" i="2"/>
  <c r="K546" i="2"/>
  <c r="O247" i="2"/>
  <c r="N376" i="2"/>
  <c r="N423" i="2"/>
  <c r="V488" i="2"/>
  <c r="R248" i="2"/>
  <c r="S125" i="2"/>
  <c r="H18" i="2"/>
  <c r="P373" i="2"/>
  <c r="O67" i="2"/>
  <c r="J660" i="2"/>
  <c r="Q664" i="2"/>
  <c r="M785" i="2"/>
  <c r="V147" i="2"/>
  <c r="V442" i="2"/>
  <c r="R30" i="2"/>
  <c r="M466" i="2"/>
  <c r="L538" i="2"/>
  <c r="V821" i="2"/>
  <c r="V505" i="2" s="1"/>
  <c r="V499" i="2"/>
  <c r="H318" i="2"/>
  <c r="O553" i="2"/>
  <c r="U77" i="2"/>
  <c r="P248" i="2"/>
  <c r="V57" i="2"/>
  <c r="T373" i="2"/>
  <c r="I191" i="2"/>
  <c r="M19" i="2"/>
  <c r="P182" i="2"/>
  <c r="O662" i="2"/>
  <c r="R615" i="2"/>
  <c r="V656" i="2"/>
  <c r="N51" i="2"/>
  <c r="U115" i="2"/>
  <c r="H81" i="2"/>
  <c r="P619" i="2"/>
  <c r="M541" i="2"/>
  <c r="H31" i="2"/>
  <c r="U100" i="2"/>
  <c r="H656" i="2"/>
  <c r="P596" i="2"/>
  <c r="Q19" i="2"/>
  <c r="I548" i="2"/>
  <c r="T622" i="2"/>
  <c r="O525" i="2"/>
  <c r="K124" i="2"/>
  <c r="K248" i="2"/>
  <c r="V328" i="2"/>
  <c r="N663" i="2"/>
  <c r="V660" i="2"/>
  <c r="Q818" i="2"/>
  <c r="S309" i="2"/>
  <c r="K423" i="2"/>
  <c r="J202" i="2"/>
  <c r="J595" i="2"/>
  <c r="I655" i="2"/>
  <c r="J541" i="2"/>
  <c r="H667" i="2"/>
  <c r="N77" i="2"/>
  <c r="S538" i="2"/>
  <c r="I190" i="2"/>
  <c r="I553" i="2"/>
  <c r="U133" i="2"/>
  <c r="O619" i="2"/>
  <c r="S134" i="2"/>
  <c r="V112" i="2"/>
  <c r="S619" i="2"/>
  <c r="P31" i="2"/>
  <c r="H248" i="2"/>
  <c r="M361" i="2"/>
  <c r="I656" i="2"/>
  <c r="I610" i="2"/>
  <c r="I18" i="2"/>
  <c r="M352" i="2"/>
  <c r="O622" i="2"/>
  <c r="T480" i="2"/>
  <c r="L76" i="2"/>
  <c r="M134" i="2"/>
  <c r="R353" i="2"/>
  <c r="O261" i="2"/>
  <c r="T487" i="2"/>
  <c r="P432" i="2"/>
  <c r="M660" i="2"/>
  <c r="S821" i="2"/>
  <c r="S625" i="2" s="1"/>
  <c r="U818" i="2"/>
  <c r="J239" i="2"/>
  <c r="V361" i="2"/>
  <c r="M248" i="2"/>
  <c r="U361" i="2"/>
  <c r="P664" i="2"/>
  <c r="Q304" i="2"/>
  <c r="R181" i="2"/>
  <c r="M100" i="2"/>
  <c r="I369" i="2"/>
  <c r="L409" i="2"/>
  <c r="K547" i="2"/>
  <c r="J33" i="2"/>
  <c r="Q423" i="2"/>
  <c r="I133" i="2"/>
  <c r="J181" i="2"/>
  <c r="Q545" i="2"/>
  <c r="R125" i="2"/>
  <c r="K660" i="2"/>
  <c r="O54" i="2"/>
  <c r="I665" i="2"/>
  <c r="I557" i="2"/>
  <c r="K538" i="2"/>
  <c r="R182" i="2"/>
  <c r="K662" i="2"/>
  <c r="K76" i="2"/>
  <c r="P81" i="2"/>
  <c r="V374" i="2"/>
  <c r="V19" i="2"/>
  <c r="L67" i="2"/>
  <c r="S191" i="2"/>
  <c r="Q430" i="2"/>
  <c r="S318" i="2"/>
  <c r="Q596" i="2"/>
  <c r="I366" i="2"/>
  <c r="O476" i="2"/>
  <c r="Q81" i="2"/>
  <c r="S271" i="2"/>
  <c r="N655" i="2"/>
  <c r="I195" i="2"/>
  <c r="U664" i="2"/>
  <c r="N112" i="2"/>
  <c r="L172" i="2"/>
  <c r="R660" i="2"/>
  <c r="S548" i="2"/>
  <c r="H23" i="2"/>
  <c r="M369" i="2"/>
  <c r="S90" i="2"/>
  <c r="T295" i="2"/>
  <c r="I662" i="2"/>
  <c r="J361" i="2"/>
  <c r="N181" i="2"/>
  <c r="T366" i="2"/>
  <c r="L376" i="2"/>
  <c r="H600" i="2"/>
  <c r="M823" i="2"/>
  <c r="M457" i="2" s="1"/>
  <c r="V655" i="2"/>
  <c r="K91" i="2"/>
  <c r="Q295" i="2"/>
  <c r="Q67" i="2"/>
  <c r="S324" i="2"/>
  <c r="R815" i="2"/>
  <c r="R71" i="2" s="1"/>
  <c r="P433" i="2"/>
  <c r="Q490" i="2"/>
  <c r="Q210" i="2"/>
  <c r="H42" i="2"/>
  <c r="K823" i="2"/>
  <c r="U419" i="2"/>
  <c r="R109" i="2"/>
  <c r="O109" i="2"/>
  <c r="K467" i="2"/>
  <c r="Q655" i="2"/>
  <c r="P785" i="2"/>
  <c r="N541" i="2"/>
  <c r="J548" i="2"/>
  <c r="N432" i="2"/>
  <c r="L524" i="2"/>
  <c r="O133" i="2"/>
  <c r="O10" i="2"/>
  <c r="R822" i="2"/>
  <c r="R631" i="2" s="1"/>
  <c r="K418" i="2"/>
  <c r="O541" i="2"/>
  <c r="M68" i="2"/>
  <c r="N9" i="2"/>
  <c r="K596" i="2"/>
  <c r="Q109" i="2"/>
  <c r="O534" i="2"/>
  <c r="U418" i="2"/>
  <c r="U210" i="2"/>
  <c r="R195" i="2"/>
  <c r="I388" i="2"/>
  <c r="V547" i="2"/>
  <c r="R106" i="2"/>
  <c r="L210" i="2"/>
  <c r="V466" i="2"/>
  <c r="P295" i="2"/>
  <c r="V533" i="2"/>
  <c r="T252" i="2"/>
  <c r="M125" i="2"/>
  <c r="H664" i="2"/>
  <c r="M664" i="2"/>
  <c r="N656" i="2"/>
  <c r="L664" i="2"/>
  <c r="U309" i="2"/>
  <c r="U815" i="2"/>
  <c r="U69" i="2" s="1"/>
  <c r="V423" i="2"/>
  <c r="T133" i="2"/>
  <c r="J545" i="2"/>
  <c r="N255" i="2"/>
  <c r="H655" i="2"/>
  <c r="O466" i="2"/>
  <c r="V88" i="2"/>
  <c r="L115" i="2"/>
  <c r="K502" i="2"/>
  <c r="M430" i="2"/>
  <c r="Q475" i="2"/>
  <c r="J822" i="2"/>
  <c r="J451" i="2" s="1"/>
  <c r="V9" i="2"/>
  <c r="H89" i="2"/>
  <c r="V26" i="2"/>
  <c r="U595" i="2"/>
  <c r="I533" i="2"/>
  <c r="M109" i="2"/>
  <c r="T815" i="2"/>
  <c r="T413" i="2" s="1"/>
  <c r="P823" i="2"/>
  <c r="P400" i="2" s="1"/>
  <c r="J560" i="2"/>
  <c r="T524" i="2"/>
  <c r="R134" i="2"/>
  <c r="O663" i="2"/>
  <c r="T309" i="2"/>
  <c r="I23" i="2"/>
  <c r="R76" i="2"/>
  <c r="K309" i="2"/>
  <c r="S615" i="2"/>
  <c r="L361" i="2"/>
  <c r="L138" i="2"/>
  <c r="R654" i="2"/>
  <c r="I134" i="2"/>
  <c r="H262" i="2"/>
  <c r="V587" i="2"/>
  <c r="V191" i="2"/>
  <c r="J172" i="2"/>
  <c r="P418" i="2"/>
  <c r="K109" i="2"/>
  <c r="H467" i="2"/>
  <c r="V145" i="2"/>
  <c r="T557" i="2"/>
  <c r="L134" i="2"/>
  <c r="Q141" i="2"/>
  <c r="M190" i="2"/>
  <c r="V248" i="2"/>
  <c r="Q419" i="2"/>
  <c r="H423" i="2"/>
  <c r="K664" i="2"/>
  <c r="P238" i="2"/>
  <c r="R432" i="2"/>
  <c r="R77" i="2"/>
  <c r="L190" i="2"/>
  <c r="T195" i="2"/>
  <c r="L77" i="2"/>
  <c r="I172" i="2"/>
  <c r="K586" i="2"/>
  <c r="L587" i="2"/>
  <c r="I238" i="2"/>
  <c r="U822" i="2"/>
  <c r="M182" i="2"/>
  <c r="I81" i="2"/>
  <c r="Q553" i="2"/>
  <c r="O182" i="2"/>
  <c r="L248" i="2"/>
  <c r="S557" i="2"/>
  <c r="T125" i="2"/>
  <c r="M181" i="2"/>
  <c r="T467" i="2"/>
  <c r="N409" i="2"/>
  <c r="S214" i="2"/>
  <c r="O607" i="2"/>
  <c r="Q822" i="2"/>
  <c r="Q394" i="2" s="1"/>
  <c r="M483" i="2"/>
  <c r="M475" i="2"/>
  <c r="U23" i="2"/>
  <c r="N205" i="2"/>
  <c r="P23" i="2"/>
  <c r="L374" i="2"/>
  <c r="S366" i="2"/>
  <c r="U54" i="2"/>
  <c r="T600" i="2"/>
  <c r="M238" i="2"/>
  <c r="M18" i="2"/>
  <c r="S533" i="2"/>
  <c r="S262" i="2"/>
  <c r="P546" i="2"/>
  <c r="O191" i="2"/>
  <c r="R418" i="2"/>
  <c r="V324" i="2"/>
  <c r="L163" i="2"/>
  <c r="H32" i="2"/>
  <c r="S67" i="2"/>
  <c r="H352" i="2"/>
  <c r="P663" i="2"/>
  <c r="Q538" i="2"/>
  <c r="U538" i="2"/>
  <c r="N622" i="2"/>
  <c r="K238" i="2"/>
  <c r="P538" i="2"/>
  <c r="Q662" i="2"/>
  <c r="T328" i="2"/>
  <c r="Q533" i="2"/>
  <c r="V376" i="2"/>
  <c r="V409" i="2"/>
  <c r="R10" i="2"/>
  <c r="N374" i="2"/>
  <c r="K304" i="2"/>
  <c r="T362" i="2"/>
  <c r="K31" i="2"/>
  <c r="L545" i="2"/>
  <c r="H9" i="2"/>
  <c r="V560" i="2"/>
  <c r="S51" i="2"/>
  <c r="H419" i="2"/>
  <c r="L133" i="2"/>
  <c r="J106" i="2"/>
  <c r="T418" i="2"/>
  <c r="P821" i="2"/>
  <c r="P563" i="2" s="1"/>
  <c r="I546" i="2"/>
  <c r="Q9" i="2"/>
  <c r="Q426" i="2"/>
  <c r="L419" i="2"/>
  <c r="T204" i="2"/>
  <c r="K30" i="2"/>
  <c r="K26" i="2"/>
  <c r="L353" i="2"/>
  <c r="N172" i="2"/>
  <c r="U385" i="2"/>
  <c r="O68" i="2"/>
  <c r="J656" i="2"/>
  <c r="K77" i="2"/>
  <c r="R252" i="2"/>
  <c r="S489" i="2"/>
  <c r="K9" i="2"/>
  <c r="N353" i="2"/>
  <c r="N785" i="2"/>
  <c r="J362" i="2"/>
  <c r="U57" i="2"/>
  <c r="S608" i="2"/>
  <c r="K115" i="2"/>
  <c r="H596" i="2"/>
  <c r="I538" i="2"/>
  <c r="R475" i="2"/>
  <c r="I663" i="2"/>
  <c r="N546" i="2"/>
  <c r="L476" i="2"/>
  <c r="O352" i="2"/>
  <c r="T595" i="2"/>
  <c r="M622" i="2"/>
  <c r="V17" i="2"/>
  <c r="I19" i="2"/>
  <c r="U466" i="2"/>
  <c r="J124" i="2"/>
  <c r="T274" i="2"/>
  <c r="R538" i="2"/>
  <c r="M821" i="2"/>
  <c r="R115" i="2"/>
  <c r="K305" i="2"/>
  <c r="S480" i="2"/>
  <c r="T18" i="2"/>
  <c r="J818" i="2"/>
  <c r="H109" i="2"/>
  <c r="P33" i="2"/>
  <c r="K125" i="2"/>
  <c r="I524" i="2"/>
  <c r="S547" i="2"/>
  <c r="U96" i="2"/>
  <c r="S654" i="2"/>
  <c r="L296" i="2"/>
  <c r="L547" i="2"/>
  <c r="K541" i="2"/>
  <c r="H525" i="2"/>
  <c r="Q656" i="2"/>
  <c r="S546" i="2"/>
  <c r="S423" i="2"/>
  <c r="J663" i="2"/>
  <c r="V662" i="2"/>
  <c r="J667" i="2"/>
  <c r="T738" i="2"/>
  <c r="R57" i="2"/>
  <c r="R328" i="2"/>
  <c r="T318" i="2"/>
  <c r="U18" i="2"/>
  <c r="V595" i="2"/>
  <c r="L410" i="2"/>
  <c r="L487" i="2"/>
  <c r="T438" i="2"/>
  <c r="P54" i="2"/>
  <c r="H548" i="2"/>
  <c r="R534" i="2"/>
  <c r="I112" i="2"/>
  <c r="R665" i="2"/>
  <c r="N239" i="2"/>
  <c r="H26" i="2"/>
  <c r="H190" i="2"/>
  <c r="I785" i="2"/>
  <c r="R238" i="2"/>
  <c r="H665" i="2"/>
  <c r="L665" i="2"/>
  <c r="R587" i="2"/>
  <c r="K525" i="2"/>
  <c r="M172" i="2"/>
  <c r="J600" i="2"/>
  <c r="K81" i="2"/>
  <c r="R361" i="2"/>
  <c r="Q317" i="2"/>
  <c r="N318" i="2"/>
  <c r="K18" i="2"/>
  <c r="T609" i="2"/>
  <c r="S488" i="2"/>
  <c r="L239" i="2"/>
  <c r="J247" i="2"/>
  <c r="O548" i="2"/>
  <c r="V366" i="2"/>
  <c r="I214" i="2"/>
  <c r="T546" i="2"/>
  <c r="M255" i="2"/>
  <c r="L352" i="2"/>
  <c r="T361" i="2"/>
  <c r="I545" i="2"/>
  <c r="T112" i="2"/>
  <c r="O823" i="2"/>
  <c r="O514" i="2" s="1"/>
  <c r="R67" i="2"/>
  <c r="Q312" i="2"/>
  <c r="Q166" i="2"/>
  <c r="Q652" i="2"/>
  <c r="Q198" i="2"/>
  <c r="S172" i="2"/>
  <c r="J182" i="2"/>
  <c r="I318" i="2"/>
  <c r="M362" i="2"/>
  <c r="H134" i="2"/>
  <c r="J547" i="2"/>
  <c r="M438" i="2"/>
  <c r="K274" i="2"/>
  <c r="R557" i="2"/>
  <c r="V172" i="2"/>
  <c r="I600" i="2"/>
  <c r="P524" i="2"/>
  <c r="V475" i="2"/>
  <c r="Q409" i="2"/>
  <c r="V352" i="2"/>
  <c r="O547" i="2"/>
  <c r="N600" i="2"/>
  <c r="H210" i="2"/>
  <c r="T466" i="2"/>
  <c r="L252" i="2"/>
  <c r="U557" i="2"/>
  <c r="P134" i="2"/>
  <c r="J67" i="2"/>
  <c r="M252" i="2"/>
  <c r="Q54" i="2"/>
  <c r="I438" i="2"/>
  <c r="R18" i="2"/>
  <c r="I88" i="2"/>
  <c r="U596" i="2"/>
  <c r="L818" i="2"/>
  <c r="T247" i="2"/>
  <c r="Q191" i="2"/>
  <c r="I409" i="2"/>
  <c r="T33" i="2"/>
  <c r="H823" i="2"/>
  <c r="H634" i="2" s="1"/>
  <c r="H475" i="2"/>
  <c r="I490" i="2"/>
  <c r="K112" i="2"/>
  <c r="K656" i="2"/>
  <c r="R563" i="2"/>
  <c r="T67" i="2"/>
  <c r="Q305" i="2"/>
  <c r="T51" i="2"/>
  <c r="P260" i="2"/>
  <c r="K560" i="2"/>
  <c r="N106" i="2"/>
  <c r="M419" i="2"/>
  <c r="I822" i="2"/>
  <c r="I511" i="2" s="1"/>
  <c r="V659" i="2"/>
  <c r="S26" i="2"/>
  <c r="N309" i="2"/>
  <c r="P480" i="2"/>
  <c r="Q466" i="2"/>
  <c r="L821" i="2"/>
  <c r="L563" i="2" s="1"/>
  <c r="I309" i="2"/>
  <c r="H560" i="2"/>
  <c r="I664" i="2"/>
  <c r="L54" i="2"/>
  <c r="L546" i="2"/>
  <c r="H51" i="2"/>
  <c r="M667" i="2"/>
  <c r="V51" i="2"/>
  <c r="S490" i="2"/>
  <c r="S89" i="2"/>
  <c r="O296" i="2"/>
  <c r="R823" i="2"/>
  <c r="R572" i="2" s="1"/>
  <c r="H68" i="2"/>
  <c r="H815" i="2"/>
  <c r="H590" i="2" s="1"/>
  <c r="T664" i="2"/>
  <c r="N538" i="2"/>
  <c r="Q654" i="2"/>
  <c r="Q146" i="2"/>
  <c r="S815" i="2"/>
  <c r="S12" i="2" s="1"/>
  <c r="T534" i="2"/>
  <c r="V524" i="2"/>
  <c r="K466" i="2"/>
  <c r="N238" i="2"/>
  <c r="J248" i="2"/>
  <c r="J381" i="2"/>
  <c r="V541" i="2"/>
  <c r="Q823" i="2"/>
  <c r="N480" i="2"/>
  <c r="S23" i="2"/>
  <c r="P655" i="2"/>
  <c r="U124" i="2"/>
  <c r="Q369" i="2"/>
  <c r="N545" i="2"/>
  <c r="K499" i="2"/>
  <c r="N433" i="2"/>
  <c r="O309" i="2"/>
  <c r="U373" i="2"/>
  <c r="I9" i="2"/>
  <c r="N548" i="2"/>
  <c r="R100" i="2"/>
  <c r="H260" i="2"/>
  <c r="Q557" i="2"/>
  <c r="P533" i="2"/>
  <c r="I138" i="2"/>
  <c r="P667" i="2"/>
  <c r="Q57" i="2"/>
  <c r="U328" i="2"/>
  <c r="H553" i="2"/>
  <c r="R239" i="2"/>
  <c r="S524" i="2"/>
  <c r="L106" i="2"/>
  <c r="P660" i="2"/>
  <c r="N100" i="2"/>
  <c r="S603" i="2"/>
  <c r="Q534" i="2"/>
  <c r="L181" i="2"/>
  <c r="R316" i="2"/>
  <c r="J375" i="2"/>
  <c r="Q296" i="2"/>
  <c r="J77" i="2"/>
  <c r="I818" i="2"/>
  <c r="J195" i="2"/>
  <c r="U42" i="2"/>
  <c r="S18" i="2"/>
  <c r="J19" i="2"/>
  <c r="N134" i="2"/>
  <c r="Q361" i="2"/>
  <c r="I54" i="2"/>
  <c r="U409" i="2"/>
  <c r="R133" i="2"/>
  <c r="N38" i="2"/>
  <c r="H547" i="2"/>
  <c r="L656" i="2"/>
  <c r="M138" i="2"/>
  <c r="S138" i="2"/>
  <c r="R138" i="2"/>
  <c r="H10" i="2"/>
  <c r="L488" i="2"/>
  <c r="O353" i="2"/>
  <c r="H106" i="2"/>
  <c r="O610" i="2"/>
  <c r="O410" i="2"/>
  <c r="M81" i="2"/>
  <c r="Q203" i="2"/>
  <c r="L823" i="2"/>
  <c r="L634" i="2" s="1"/>
  <c r="U89" i="2"/>
  <c r="U109" i="2"/>
  <c r="M106" i="2"/>
  <c r="J115" i="2"/>
  <c r="I77" i="2"/>
  <c r="N442" i="2"/>
  <c r="J815" i="2"/>
  <c r="J13" i="2" s="1"/>
  <c r="O57" i="2"/>
  <c r="L238" i="2"/>
  <c r="V490" i="2"/>
  <c r="Q667" i="2"/>
  <c r="U81" i="2"/>
  <c r="K533" i="2"/>
  <c r="I385" i="2"/>
  <c r="I541" i="2"/>
  <c r="Q145" i="2"/>
  <c r="O318" i="2"/>
  <c r="S541" i="2"/>
  <c r="T26" i="2"/>
  <c r="S475" i="2"/>
  <c r="P271" i="2"/>
  <c r="L30" i="2"/>
  <c r="H30" i="2"/>
  <c r="T190" i="2"/>
  <c r="P587" i="2"/>
  <c r="J466" i="2"/>
  <c r="L9" i="2"/>
  <c r="J51" i="2"/>
  <c r="R317" i="2"/>
  <c r="Q431" i="2"/>
  <c r="R548" i="2"/>
  <c r="S190" i="2"/>
  <c r="P557" i="2"/>
  <c r="M822" i="2"/>
  <c r="M223" i="2" s="1"/>
  <c r="Q659" i="2"/>
  <c r="N534" i="2"/>
  <c r="Q476" i="2"/>
  <c r="R318" i="2"/>
  <c r="K475" i="2"/>
  <c r="U32" i="2"/>
  <c r="L622" i="2"/>
  <c r="I823" i="2"/>
  <c r="I400" i="2" s="1"/>
  <c r="N54" i="2"/>
  <c r="J32" i="2"/>
  <c r="V369" i="2"/>
  <c r="H488" i="2"/>
  <c r="U476" i="2"/>
  <c r="Q10" i="2"/>
  <c r="T239" i="2"/>
  <c r="I169" i="2"/>
  <c r="N385" i="2"/>
  <c r="H541" i="2"/>
  <c r="J665" i="2"/>
  <c r="K595" i="2"/>
  <c r="L467" i="2"/>
  <c r="N252" i="2"/>
  <c r="S655" i="2"/>
  <c r="T54" i="2"/>
  <c r="J587" i="2"/>
  <c r="O267" i="2"/>
  <c r="N667" i="2"/>
  <c r="S181" i="2"/>
  <c r="P252" i="2"/>
  <c r="Q248" i="2"/>
  <c r="R667" i="2"/>
  <c r="O664" i="2"/>
  <c r="V557" i="2"/>
  <c r="T545" i="2"/>
  <c r="Q18" i="2"/>
  <c r="H19" i="2"/>
  <c r="O124" i="2"/>
  <c r="M557" i="2"/>
  <c r="J296" i="2"/>
  <c r="P818" i="2"/>
  <c r="R271" i="2"/>
  <c r="R664" i="2"/>
  <c r="P317" i="2"/>
  <c r="P312" i="2"/>
  <c r="P426" i="2"/>
  <c r="P654" i="2"/>
  <c r="P431" i="2"/>
  <c r="K486" i="2"/>
  <c r="N152" i="2"/>
  <c r="O606" i="2"/>
  <c r="O201" i="2"/>
  <c r="H486" i="2"/>
  <c r="M934" i="2"/>
  <c r="M935" i="2" s="1"/>
  <c r="M936" i="2" s="1"/>
  <c r="M331" i="2" s="1"/>
  <c r="R494" i="2"/>
  <c r="O258" i="2"/>
  <c r="N437" i="2"/>
  <c r="U372" i="2"/>
  <c r="M258" i="2"/>
  <c r="M594" i="2"/>
  <c r="I594" i="2"/>
  <c r="P144" i="2"/>
  <c r="H312" i="2"/>
  <c r="T934" i="2"/>
  <c r="T935" i="2" s="1"/>
  <c r="T936" i="2" s="1"/>
  <c r="T331" i="2" s="1"/>
  <c r="U144" i="2"/>
  <c r="P258" i="2"/>
  <c r="U315" i="2"/>
  <c r="U201" i="2"/>
  <c r="M606" i="2"/>
  <c r="M494" i="2"/>
  <c r="M496" i="2" s="1"/>
  <c r="R920" i="2"/>
  <c r="R921" i="2" s="1"/>
  <c r="R922" i="2" s="1"/>
  <c r="R160" i="2" s="1"/>
  <c r="O884" i="2"/>
  <c r="O885" i="2" s="1"/>
  <c r="O886" i="2" s="1"/>
  <c r="O180" i="2" s="1"/>
  <c r="O614" i="2"/>
  <c r="U429" i="2"/>
  <c r="N606" i="2"/>
  <c r="R486" i="2"/>
  <c r="I465" i="2"/>
  <c r="P913" i="2"/>
  <c r="P914" i="2" s="1"/>
  <c r="P915" i="2" s="1"/>
  <c r="P103" i="2" s="1"/>
  <c r="K532" i="2"/>
  <c r="M870" i="2"/>
  <c r="M871" i="2" s="1"/>
  <c r="M872" i="2" s="1"/>
  <c r="M66" i="2" s="1"/>
  <c r="Q437" i="2"/>
  <c r="R95" i="2"/>
  <c r="N209" i="2"/>
  <c r="H315" i="2"/>
  <c r="J372" i="2"/>
  <c r="M906" i="2"/>
  <c r="M907" i="2" s="1"/>
  <c r="N429" i="2"/>
  <c r="O898" i="2"/>
  <c r="O899" i="2" s="1"/>
  <c r="O900" i="2" s="1"/>
  <c r="O408" i="2" s="1"/>
  <c r="N29" i="2"/>
  <c r="I29" i="2"/>
  <c r="H152" i="2"/>
  <c r="H154" i="2" s="1"/>
  <c r="K380" i="2"/>
  <c r="J494" i="2"/>
  <c r="L544" i="2"/>
  <c r="L920" i="2"/>
  <c r="L921" i="2" s="1"/>
  <c r="L922" i="2" s="1"/>
  <c r="L160" i="2" s="1"/>
  <c r="P884" i="2"/>
  <c r="P885" i="2" s="1"/>
  <c r="P886" i="2" s="1"/>
  <c r="P180" i="2" s="1"/>
  <c r="J29" i="2"/>
  <c r="J360" i="2"/>
  <c r="U266" i="2"/>
  <c r="Q201" i="2"/>
  <c r="L532" i="2"/>
  <c r="M246" i="2"/>
  <c r="M237" i="2"/>
  <c r="P532" i="2"/>
  <c r="J380" i="2"/>
  <c r="P494" i="2"/>
  <c r="S494" i="2"/>
  <c r="S209" i="2"/>
  <c r="N144" i="2"/>
  <c r="O266" i="2"/>
  <c r="S544" i="2"/>
  <c r="H144" i="2"/>
  <c r="S152" i="2"/>
  <c r="O37" i="2"/>
  <c r="L594" i="2"/>
  <c r="U87" i="2"/>
  <c r="U877" i="2"/>
  <c r="U878" i="2" s="1"/>
  <c r="U879" i="2" s="1"/>
  <c r="U123" i="2" s="1"/>
  <c r="I614" i="2"/>
  <c r="T37" i="2"/>
  <c r="K913" i="2"/>
  <c r="K914" i="2" s="1"/>
  <c r="K915" i="2" s="1"/>
  <c r="K103" i="2" s="1"/>
  <c r="M941" i="2"/>
  <c r="M942" i="2" s="1"/>
  <c r="M943" i="2" s="1"/>
  <c r="M445" i="2" s="1"/>
  <c r="P266" i="2"/>
  <c r="Q417" i="2"/>
  <c r="V144" i="2"/>
  <c r="J152" i="2"/>
  <c r="J154" i="2" s="1"/>
  <c r="T437" i="2"/>
  <c r="K29" i="2"/>
  <c r="P372" i="2"/>
  <c r="L614" i="2"/>
  <c r="S144" i="2"/>
  <c r="J863" i="2"/>
  <c r="J864" i="2" s="1"/>
  <c r="N913" i="2"/>
  <c r="N914" i="2" s="1"/>
  <c r="N915" i="2" s="1"/>
  <c r="N103" i="2" s="1"/>
  <c r="H474" i="2"/>
  <c r="M372" i="2"/>
  <c r="T544" i="2"/>
  <c r="V152" i="2"/>
  <c r="U417" i="2"/>
  <c r="P29" i="2"/>
  <c r="U95" i="2"/>
  <c r="H429" i="2"/>
  <c r="P898" i="2"/>
  <c r="P899" i="2" s="1"/>
  <c r="P900" i="2" s="1"/>
  <c r="P408" i="2" s="1"/>
  <c r="T209" i="2"/>
  <c r="O144" i="2"/>
  <c r="N863" i="2"/>
  <c r="N864" i="2" s="1"/>
  <c r="R906" i="2"/>
  <c r="R907" i="2" s="1"/>
  <c r="J870" i="2"/>
  <c r="J871" i="2" s="1"/>
  <c r="J872" i="2" s="1"/>
  <c r="J66" i="2" s="1"/>
  <c r="V532" i="2"/>
  <c r="P429" i="2"/>
  <c r="H906" i="2"/>
  <c r="H907" i="2" s="1"/>
  <c r="P95" i="2"/>
  <c r="P75" i="2"/>
  <c r="V606" i="2"/>
  <c r="S87" i="2"/>
  <c r="Q884" i="2"/>
  <c r="Q885" i="2" s="1"/>
  <c r="Q886" i="2" s="1"/>
  <c r="Q180" i="2" s="1"/>
  <c r="K594" i="2"/>
  <c r="L315" i="2"/>
  <c r="M532" i="2"/>
  <c r="U323" i="2"/>
  <c r="K941" i="2"/>
  <c r="K942" i="2" s="1"/>
  <c r="K943" i="2" s="1"/>
  <c r="K445" i="2" s="1"/>
  <c r="L927" i="2"/>
  <c r="L928" i="2" s="1"/>
  <c r="L929" i="2" s="1"/>
  <c r="L217" i="2" s="1"/>
  <c r="S863" i="2"/>
  <c r="S864" i="2" s="1"/>
  <c r="L360" i="2"/>
  <c r="S372" i="2"/>
  <c r="I95" i="2"/>
  <c r="I97" i="2" s="1"/>
  <c r="T315" i="2"/>
  <c r="K934" i="2"/>
  <c r="K935" i="2" s="1"/>
  <c r="K936" i="2" s="1"/>
  <c r="K331" i="2" s="1"/>
  <c r="T474" i="2"/>
  <c r="S29" i="2"/>
  <c r="V544" i="2"/>
  <c r="J486" i="2"/>
  <c r="N898" i="2"/>
  <c r="N899" i="2" s="1"/>
  <c r="N900" i="2" s="1"/>
  <c r="N408" i="2" s="1"/>
  <c r="R863" i="2"/>
  <c r="R864" i="2" s="1"/>
  <c r="O372" i="2"/>
  <c r="H201" i="2"/>
  <c r="N474" i="2"/>
  <c r="O474" i="2"/>
  <c r="L95" i="2"/>
  <c r="I654" i="2"/>
  <c r="N920" i="2"/>
  <c r="N921" i="2" s="1"/>
  <c r="N922" i="2" s="1"/>
  <c r="N160" i="2" s="1"/>
  <c r="L351" i="2"/>
  <c r="N75" i="2"/>
  <c r="L258" i="2"/>
  <c r="N266" i="2"/>
  <c r="S927" i="2"/>
  <c r="S928" i="2" s="1"/>
  <c r="S929" i="2" s="1"/>
  <c r="S217" i="2" s="1"/>
  <c r="O552" i="2"/>
  <c r="Q486" i="2"/>
  <c r="S360" i="2"/>
  <c r="H266" i="2"/>
  <c r="O870" i="2"/>
  <c r="O871" i="2" s="1"/>
  <c r="O872" i="2" s="1"/>
  <c r="O66" i="2" s="1"/>
  <c r="K614" i="2"/>
  <c r="K426" i="2"/>
  <c r="M201" i="2"/>
  <c r="N877" i="2"/>
  <c r="N878" i="2" s="1"/>
  <c r="N879" i="2" s="1"/>
  <c r="N123" i="2" s="1"/>
  <c r="R360" i="2"/>
  <c r="R898" i="2"/>
  <c r="R899" i="2" s="1"/>
  <c r="R900" i="2" s="1"/>
  <c r="R408" i="2" s="1"/>
  <c r="K877" i="2"/>
  <c r="K878" i="2" s="1"/>
  <c r="K879" i="2" s="1"/>
  <c r="K123" i="2" s="1"/>
  <c r="L494" i="2"/>
  <c r="J75" i="2"/>
  <c r="V29" i="2"/>
  <c r="J927" i="2"/>
  <c r="J928" i="2" s="1"/>
  <c r="J929" i="2" s="1"/>
  <c r="J217" i="2" s="1"/>
  <c r="Q927" i="2"/>
  <c r="Q928" i="2" s="1"/>
  <c r="Q929" i="2" s="1"/>
  <c r="Q217" i="2" s="1"/>
  <c r="T323" i="2"/>
  <c r="H552" i="2"/>
  <c r="S898" i="2"/>
  <c r="S899" i="2" s="1"/>
  <c r="S900" i="2" s="1"/>
  <c r="S408" i="2" s="1"/>
  <c r="U486" i="2"/>
  <c r="V594" i="2"/>
  <c r="I209" i="2"/>
  <c r="T17" i="2"/>
  <c r="N315" i="2"/>
  <c r="J594" i="2"/>
  <c r="M884" i="2"/>
  <c r="M885" i="2" s="1"/>
  <c r="M886" i="2" s="1"/>
  <c r="M180" i="2" s="1"/>
  <c r="Q494" i="2"/>
  <c r="H870" i="2"/>
  <c r="H871" i="2" s="1"/>
  <c r="H872" i="2" s="1"/>
  <c r="H66" i="2" s="1"/>
  <c r="O941" i="2"/>
  <c r="O942" i="2" s="1"/>
  <c r="O943" i="2" s="1"/>
  <c r="O445" i="2" s="1"/>
  <c r="Q209" i="2"/>
  <c r="T891" i="2"/>
  <c r="T892" i="2" s="1"/>
  <c r="T893" i="2" s="1"/>
  <c r="T294" i="2" s="1"/>
  <c r="M891" i="2"/>
  <c r="M892" i="2" s="1"/>
  <c r="M893" i="2" s="1"/>
  <c r="M294" i="2" s="1"/>
  <c r="U258" i="2"/>
  <c r="M429" i="2"/>
  <c r="H323" i="2"/>
  <c r="L317" i="2"/>
  <c r="N544" i="2"/>
  <c r="K906" i="2"/>
  <c r="K907" i="2" s="1"/>
  <c r="K246" i="2"/>
  <c r="O323" i="2"/>
  <c r="V37" i="2"/>
  <c r="N532" i="2"/>
  <c r="H941" i="2"/>
  <c r="H942" i="2" s="1"/>
  <c r="H943" i="2" s="1"/>
  <c r="H445" i="2" s="1"/>
  <c r="T654" i="2"/>
  <c r="R201" i="2"/>
  <c r="R941" i="2"/>
  <c r="R942" i="2" s="1"/>
  <c r="R943" i="2" s="1"/>
  <c r="R445" i="2" s="1"/>
  <c r="S532" i="2"/>
  <c r="P606" i="2"/>
  <c r="T941" i="2"/>
  <c r="T942" i="2" s="1"/>
  <c r="T943" i="2" s="1"/>
  <c r="T445" i="2" s="1"/>
  <c r="U941" i="2"/>
  <c r="U942" i="2" s="1"/>
  <c r="U943" i="2" s="1"/>
  <c r="U445" i="2" s="1"/>
  <c r="H494" i="2"/>
  <c r="R380" i="2"/>
  <c r="T614" i="2"/>
  <c r="K437" i="2"/>
  <c r="J144" i="2"/>
  <c r="K884" i="2"/>
  <c r="K885" i="2" s="1"/>
  <c r="K886" i="2" s="1"/>
  <c r="K180" i="2" s="1"/>
  <c r="J934" i="2"/>
  <c r="J935" i="2" s="1"/>
  <c r="J936" i="2" s="1"/>
  <c r="J331" i="2" s="1"/>
  <c r="Q323" i="2"/>
  <c r="T201" i="2"/>
  <c r="K209" i="2"/>
  <c r="H258" i="2"/>
  <c r="J941" i="2"/>
  <c r="J942" i="2" s="1"/>
  <c r="J943" i="2" s="1"/>
  <c r="J445" i="2" s="1"/>
  <c r="S941" i="2"/>
  <c r="S942" i="2" s="1"/>
  <c r="S943" i="2" s="1"/>
  <c r="S445" i="2" s="1"/>
  <c r="L552" i="2"/>
  <c r="O891" i="2"/>
  <c r="O892" i="2" s="1"/>
  <c r="O893" i="2" s="1"/>
  <c r="O294" i="2" s="1"/>
  <c r="I906" i="2"/>
  <c r="I907" i="2" s="1"/>
  <c r="O87" i="2"/>
  <c r="P323" i="2"/>
  <c r="I494" i="2"/>
  <c r="R429" i="2"/>
  <c r="J429" i="2"/>
  <c r="Q941" i="2"/>
  <c r="Q942" i="2" s="1"/>
  <c r="Q943" i="2" s="1"/>
  <c r="Q445" i="2" s="1"/>
  <c r="Q920" i="2"/>
  <c r="Q921" i="2" s="1"/>
  <c r="Q922" i="2" s="1"/>
  <c r="Q160" i="2" s="1"/>
  <c r="Q934" i="2"/>
  <c r="Q935" i="2" s="1"/>
  <c r="Q936" i="2" s="1"/>
  <c r="Q331" i="2" s="1"/>
  <c r="T913" i="2"/>
  <c r="T914" i="2" s="1"/>
  <c r="T915" i="2" s="1"/>
  <c r="T103" i="2" s="1"/>
  <c r="L209" i="2"/>
  <c r="V246" i="2"/>
  <c r="I898" i="2"/>
  <c r="I899" i="2" s="1"/>
  <c r="I900" i="2" s="1"/>
  <c r="I408" i="2" s="1"/>
  <c r="T312" i="2"/>
  <c r="O920" i="2"/>
  <c r="O921" i="2" s="1"/>
  <c r="O922" i="2" s="1"/>
  <c r="O160" i="2" s="1"/>
  <c r="M465" i="2"/>
  <c r="M87" i="2"/>
  <c r="Q877" i="2"/>
  <c r="Q878" i="2" s="1"/>
  <c r="Q879" i="2" s="1"/>
  <c r="Q123" i="2" s="1"/>
  <c r="M317" i="2"/>
  <c r="K258" i="2"/>
  <c r="U606" i="2"/>
  <c r="H146" i="2"/>
  <c r="R877" i="2"/>
  <c r="R878" i="2" s="1"/>
  <c r="R879" i="2" s="1"/>
  <c r="R123" i="2" s="1"/>
  <c r="P906" i="2"/>
  <c r="P907" i="2" s="1"/>
  <c r="R144" i="2"/>
  <c r="T906" i="2"/>
  <c r="T907" i="2" s="1"/>
  <c r="H606" i="2"/>
  <c r="L144" i="2"/>
  <c r="K17" i="2"/>
  <c r="R189" i="2"/>
  <c r="O237" i="2"/>
  <c r="T431" i="2"/>
  <c r="R37" i="2"/>
  <c r="U303" i="2"/>
  <c r="S323" i="2"/>
  <c r="H927" i="2"/>
  <c r="H928" i="2" s="1"/>
  <c r="H929" i="2" s="1"/>
  <c r="H217" i="2" s="1"/>
  <c r="I144" i="2"/>
  <c r="Q237" i="2"/>
  <c r="G90" i="2"/>
  <c r="O152" i="2"/>
  <c r="O863" i="2"/>
  <c r="O864" i="2" s="1"/>
  <c r="U29" i="2"/>
  <c r="N494" i="2"/>
  <c r="U920" i="2"/>
  <c r="U921" i="2" s="1"/>
  <c r="U922" i="2" s="1"/>
  <c r="U160" i="2" s="1"/>
  <c r="P891" i="2"/>
  <c r="P892" i="2" s="1"/>
  <c r="P893" i="2" s="1"/>
  <c r="P294" i="2" s="1"/>
  <c r="S465" i="2"/>
  <c r="U863" i="2"/>
  <c r="U864" i="2" s="1"/>
  <c r="L29" i="2"/>
  <c r="J920" i="2"/>
  <c r="J921" i="2" s="1"/>
  <c r="J922" i="2" s="1"/>
  <c r="J160" i="2" s="1"/>
  <c r="I941" i="2"/>
  <c r="I942" i="2" s="1"/>
  <c r="I943" i="2" s="1"/>
  <c r="I445" i="2" s="1"/>
  <c r="K201" i="2"/>
  <c r="L486" i="2"/>
  <c r="J312" i="2"/>
  <c r="L913" i="2"/>
  <c r="L914" i="2" s="1"/>
  <c r="L915" i="2" s="1"/>
  <c r="L103" i="2" s="1"/>
  <c r="R323" i="2"/>
  <c r="V209" i="2"/>
  <c r="R913" i="2"/>
  <c r="R914" i="2" s="1"/>
  <c r="R915" i="2" s="1"/>
  <c r="R103" i="2" s="1"/>
  <c r="R258" i="2"/>
  <c r="M95" i="2"/>
  <c r="H317" i="2"/>
  <c r="R303" i="2"/>
  <c r="I884" i="2"/>
  <c r="I885" i="2" s="1"/>
  <c r="I886" i="2" s="1"/>
  <c r="I180" i="2" s="1"/>
  <c r="O246" i="2"/>
  <c r="O437" i="2"/>
  <c r="O494" i="2"/>
  <c r="J315" i="2"/>
  <c r="I532" i="2"/>
  <c r="V189" i="2"/>
  <c r="V486" i="2"/>
  <c r="G586" i="2"/>
  <c r="P941" i="2"/>
  <c r="P942" i="2" s="1"/>
  <c r="P943" i="2" s="1"/>
  <c r="P445" i="2" s="1"/>
  <c r="N654" i="2"/>
  <c r="S913" i="2"/>
  <c r="S914" i="2" s="1"/>
  <c r="S915" i="2" s="1"/>
  <c r="S103" i="2" s="1"/>
  <c r="N941" i="2"/>
  <c r="N942" i="2" s="1"/>
  <c r="N943" i="2" s="1"/>
  <c r="N445" i="2" s="1"/>
  <c r="I934" i="2"/>
  <c r="I935" i="2" s="1"/>
  <c r="I936" i="2" s="1"/>
  <c r="I331" i="2" s="1"/>
  <c r="O913" i="2"/>
  <c r="O914" i="2" s="1"/>
  <c r="O915" i="2" s="1"/>
  <c r="O103" i="2" s="1"/>
  <c r="T927" i="2"/>
  <c r="T928" i="2" s="1"/>
  <c r="T929" i="2" s="1"/>
  <c r="T217" i="2" s="1"/>
  <c r="T75" i="2"/>
  <c r="V870" i="2"/>
  <c r="V871" i="2" s="1"/>
  <c r="V872" i="2" s="1"/>
  <c r="S315" i="2"/>
  <c r="Q594" i="2"/>
  <c r="Q372" i="2"/>
  <c r="Q95" i="2"/>
  <c r="K927" i="2"/>
  <c r="K928" i="2" s="1"/>
  <c r="K929" i="2" s="1"/>
  <c r="K217" i="2" s="1"/>
  <c r="S95" i="2"/>
  <c r="U380" i="2"/>
  <c r="I544" i="2"/>
  <c r="V585" i="2"/>
  <c r="O75" i="2"/>
  <c r="G499" i="2"/>
  <c r="M486" i="2"/>
  <c r="H29" i="2"/>
  <c r="I913" i="2"/>
  <c r="I914" i="2" s="1"/>
  <c r="I915" i="2" s="1"/>
  <c r="I103" i="2" s="1"/>
  <c r="I17" i="2"/>
  <c r="H431" i="2"/>
  <c r="J898" i="2"/>
  <c r="J899" i="2" s="1"/>
  <c r="J900" i="2" s="1"/>
  <c r="J408" i="2" s="1"/>
  <c r="K152" i="2"/>
  <c r="K87" i="2"/>
  <c r="K372" i="2"/>
  <c r="T360" i="2"/>
  <c r="K606" i="2"/>
  <c r="R17" i="2"/>
  <c r="P246" i="2"/>
  <c r="R75" i="2"/>
  <c r="V437" i="2"/>
  <c r="K303" i="2"/>
  <c r="R152" i="2"/>
  <c r="S585" i="2"/>
  <c r="L380" i="2"/>
  <c r="K144" i="2"/>
  <c r="K898" i="2"/>
  <c r="K899" i="2" s="1"/>
  <c r="K900" i="2" s="1"/>
  <c r="K408" i="2" s="1"/>
  <c r="J614" i="2"/>
  <c r="J616" i="2" s="1"/>
  <c r="H37" i="2"/>
  <c r="R585" i="2"/>
  <c r="G429" i="2"/>
  <c r="O417" i="2"/>
  <c r="I201" i="2"/>
  <c r="K37" i="2"/>
  <c r="K351" i="2"/>
  <c r="R614" i="2"/>
  <c r="G419" i="2"/>
  <c r="S474" i="2"/>
  <c r="N372" i="2"/>
  <c r="L372" i="2"/>
  <c r="O380" i="2"/>
  <c r="I246" i="2"/>
  <c r="Q258" i="2"/>
  <c r="K360" i="2"/>
  <c r="M266" i="2"/>
  <c r="N884" i="2"/>
  <c r="N885" i="2" s="1"/>
  <c r="N886" i="2" s="1"/>
  <c r="N180" i="2" s="1"/>
  <c r="T863" i="2"/>
  <c r="T864" i="2" s="1"/>
  <c r="P927" i="2"/>
  <c r="P928" i="2" s="1"/>
  <c r="P929" i="2" s="1"/>
  <c r="P217" i="2" s="1"/>
  <c r="I891" i="2"/>
  <c r="I892" i="2" s="1"/>
  <c r="I893" i="2" s="1"/>
  <c r="I294" i="2" s="1"/>
  <c r="V429" i="2"/>
  <c r="I87" i="2"/>
  <c r="U552" i="2"/>
  <c r="G369" i="2"/>
  <c r="H303" i="2"/>
  <c r="U898" i="2"/>
  <c r="U899" i="2" s="1"/>
  <c r="U900" i="2" s="1"/>
  <c r="U408" i="2" s="1"/>
  <c r="O29" i="2"/>
  <c r="O95" i="2"/>
  <c r="S437" i="2"/>
  <c r="V920" i="2"/>
  <c r="V921" i="2" s="1"/>
  <c r="R266" i="2"/>
  <c r="L237" i="2"/>
  <c r="T144" i="2"/>
  <c r="J906" i="2"/>
  <c r="J907" i="2" s="1"/>
  <c r="T246" i="2"/>
  <c r="T303" i="2"/>
  <c r="O532" i="2"/>
  <c r="N465" i="2"/>
  <c r="H246" i="2"/>
  <c r="R891" i="2"/>
  <c r="R892" i="2" s="1"/>
  <c r="R893" i="2" s="1"/>
  <c r="R294" i="2" s="1"/>
  <c r="I152" i="2"/>
  <c r="S552" i="2"/>
  <c r="U544" i="2"/>
  <c r="O594" i="2"/>
  <c r="I146" i="2"/>
  <c r="U594" i="2"/>
  <c r="U189" i="2"/>
  <c r="H920" i="2"/>
  <c r="H921" i="2" s="1"/>
  <c r="H922" i="2" s="1"/>
  <c r="H160" i="2" s="1"/>
  <c r="V494" i="2"/>
  <c r="G259" i="2"/>
  <c r="N594" i="2"/>
  <c r="G318" i="2"/>
  <c r="I360" i="2"/>
  <c r="G385" i="2"/>
  <c r="S906" i="2"/>
  <c r="S907" i="2" s="1"/>
  <c r="M863" i="2"/>
  <c r="M864" i="2" s="1"/>
  <c r="G248" i="2"/>
  <c r="T380" i="2"/>
  <c r="V87" i="2"/>
  <c r="K654" i="2"/>
  <c r="U474" i="2"/>
  <c r="R465" i="2"/>
  <c r="S920" i="2"/>
  <c r="S921" i="2" s="1"/>
  <c r="S922" i="2" s="1"/>
  <c r="S160" i="2" s="1"/>
  <c r="M380" i="2"/>
  <c r="O934" i="2"/>
  <c r="O935" i="2" s="1"/>
  <c r="O936" i="2" s="1"/>
  <c r="O331" i="2" s="1"/>
  <c r="M877" i="2"/>
  <c r="M878" i="2" s="1"/>
  <c r="M879" i="2" s="1"/>
  <c r="M123" i="2" s="1"/>
  <c r="K552" i="2"/>
  <c r="P417" i="2"/>
  <c r="T532" i="2"/>
  <c r="U934" i="2"/>
  <c r="U935" i="2" s="1"/>
  <c r="U936" i="2" s="1"/>
  <c r="U331" i="2" s="1"/>
  <c r="J474" i="2"/>
  <c r="J37" i="2"/>
  <c r="S891" i="2"/>
  <c r="S892" i="2" s="1"/>
  <c r="S893" i="2" s="1"/>
  <c r="S294" i="2" s="1"/>
  <c r="L17" i="2"/>
  <c r="Q17" i="2"/>
  <c r="I877" i="2"/>
  <c r="I878" i="2" s="1"/>
  <c r="I879" i="2" s="1"/>
  <c r="I123" i="2" s="1"/>
  <c r="K494" i="2"/>
  <c r="U351" i="2"/>
  <c r="V417" i="2"/>
  <c r="M152" i="2"/>
  <c r="T870" i="2"/>
  <c r="T871" i="2" s="1"/>
  <c r="T872" i="2" s="1"/>
  <c r="T66" i="2" s="1"/>
  <c r="I429" i="2"/>
  <c r="G426" i="2"/>
  <c r="P474" i="2"/>
  <c r="R246" i="2"/>
  <c r="V651" i="2"/>
  <c r="Q898" i="2"/>
  <c r="Q899" i="2" s="1"/>
  <c r="Q900" i="2" s="1"/>
  <c r="Q408" i="2" s="1"/>
  <c r="G487" i="2"/>
  <c r="V552" i="2"/>
  <c r="H380" i="2"/>
  <c r="S75" i="2"/>
  <c r="I474" i="2"/>
  <c r="Q891" i="2"/>
  <c r="Q892" i="2" s="1"/>
  <c r="Q893" i="2" s="1"/>
  <c r="Q294" i="2" s="1"/>
  <c r="V258" i="2"/>
  <c r="G476" i="2"/>
  <c r="S258" i="2"/>
  <c r="S201" i="2"/>
  <c r="T486" i="2"/>
  <c r="G303" i="2"/>
  <c r="O360" i="2"/>
  <c r="R552" i="2"/>
  <c r="H87" i="2"/>
  <c r="G324" i="2"/>
  <c r="G48" i="2"/>
  <c r="N380" i="2"/>
  <c r="Q380" i="2"/>
  <c r="K544" i="2"/>
  <c r="Q152" i="2"/>
  <c r="J532" i="2"/>
  <c r="S17" i="2"/>
  <c r="R870" i="2"/>
  <c r="R871" i="2" s="1"/>
  <c r="R872" i="2" s="1"/>
  <c r="R66" i="2" s="1"/>
  <c r="H877" i="2"/>
  <c r="H878" i="2" s="1"/>
  <c r="H879" i="2" s="1"/>
  <c r="H123" i="2" s="1"/>
  <c r="T884" i="2"/>
  <c r="T885" i="2" s="1"/>
  <c r="T886" i="2" s="1"/>
  <c r="T180" i="2" s="1"/>
  <c r="P552" i="2"/>
  <c r="S417" i="2"/>
  <c r="I920" i="2"/>
  <c r="I921" i="2" s="1"/>
  <c r="I922" i="2" s="1"/>
  <c r="I160" i="2" s="1"/>
  <c r="U360" i="2"/>
  <c r="G148" i="2"/>
  <c r="M29" i="2"/>
  <c r="V132" i="2"/>
  <c r="P380" i="2"/>
  <c r="L431" i="2"/>
  <c r="Q315" i="2"/>
  <c r="L152" i="2"/>
  <c r="Q144" i="2"/>
  <c r="R29" i="2"/>
  <c r="O315" i="2"/>
  <c r="G260" i="2"/>
  <c r="K95" i="2"/>
  <c r="P17" i="2"/>
  <c r="P877" i="2"/>
  <c r="P878" i="2" s="1"/>
  <c r="P879" i="2" s="1"/>
  <c r="P123" i="2" s="1"/>
  <c r="N360" i="2"/>
  <c r="S486" i="2"/>
  <c r="M927" i="2"/>
  <c r="M928" i="2" s="1"/>
  <c r="M929" i="2" s="1"/>
  <c r="M217" i="2" s="1"/>
  <c r="H652" i="2"/>
  <c r="D44" i="27" s="1"/>
  <c r="F44" i="27" s="1"/>
  <c r="M898" i="2"/>
  <c r="M899" i="2" s="1"/>
  <c r="M900" i="2" s="1"/>
  <c r="M408" i="2" s="1"/>
  <c r="T429" i="2"/>
  <c r="L87" i="2"/>
  <c r="V877" i="2"/>
  <c r="V878" i="2" s="1"/>
  <c r="V879" i="2" s="1"/>
  <c r="V882" i="2" s="1"/>
  <c r="N426" i="2"/>
  <c r="H166" i="2"/>
  <c r="P920" i="2"/>
  <c r="P921" i="2" s="1"/>
  <c r="P922" i="2" s="1"/>
  <c r="P160" i="2" s="1"/>
  <c r="S594" i="2"/>
  <c r="J544" i="2"/>
  <c r="G502" i="2"/>
  <c r="Q429" i="2"/>
  <c r="R606" i="2"/>
  <c r="V237" i="2"/>
  <c r="R209" i="2"/>
  <c r="M920" i="2"/>
  <c r="M921" i="2" s="1"/>
  <c r="M922" i="2" s="1"/>
  <c r="M160" i="2" s="1"/>
  <c r="J606" i="2"/>
  <c r="O877" i="2"/>
  <c r="O878" i="2" s="1"/>
  <c r="O879" i="2" s="1"/>
  <c r="O123" i="2" s="1"/>
  <c r="L877" i="2"/>
  <c r="L878" i="2" s="1"/>
  <c r="L879" i="2" s="1"/>
  <c r="L123" i="2" s="1"/>
  <c r="K317" i="2"/>
  <c r="L75" i="2"/>
  <c r="N246" i="2"/>
  <c r="J246" i="2"/>
  <c r="N317" i="2"/>
  <c r="T266" i="2"/>
  <c r="G547" i="2"/>
  <c r="P87" i="2"/>
  <c r="R594" i="2"/>
  <c r="K266" i="2"/>
  <c r="U891" i="2"/>
  <c r="U892" i="2" s="1"/>
  <c r="U893" i="2" s="1"/>
  <c r="U294" i="2" s="1"/>
  <c r="V95" i="2"/>
  <c r="G274" i="2"/>
  <c r="S189" i="2"/>
  <c r="K315" i="2"/>
  <c r="R417" i="2"/>
  <c r="J877" i="2"/>
  <c r="J878" i="2" s="1"/>
  <c r="J879" i="2" s="1"/>
  <c r="J123" i="2" s="1"/>
  <c r="U75" i="2"/>
  <c r="S37" i="2"/>
  <c r="H237" i="2"/>
  <c r="Q606" i="2"/>
  <c r="L870" i="2"/>
  <c r="L871" i="2" s="1"/>
  <c r="L872" i="2" s="1"/>
  <c r="L66" i="2" s="1"/>
  <c r="H75" i="2"/>
  <c r="V303" i="2"/>
  <c r="U906" i="2"/>
  <c r="U907" i="2" s="1"/>
  <c r="Q863" i="2"/>
  <c r="Q864" i="2" s="1"/>
  <c r="Q37" i="2"/>
  <c r="P934" i="2"/>
  <c r="P935" i="2" s="1"/>
  <c r="P936" i="2" s="1"/>
  <c r="P331" i="2" s="1"/>
  <c r="O927" i="2"/>
  <c r="O928" i="2" s="1"/>
  <c r="O929" i="2" s="1"/>
  <c r="O217" i="2" s="1"/>
  <c r="H351" i="2"/>
  <c r="T87" i="2"/>
  <c r="L659" i="2"/>
  <c r="U523" i="2"/>
  <c r="H145" i="2"/>
  <c r="R372" i="2"/>
  <c r="H594" i="2"/>
  <c r="R474" i="2"/>
  <c r="L884" i="2"/>
  <c r="L885" i="2" s="1"/>
  <c r="L886" i="2" s="1"/>
  <c r="L180" i="2" s="1"/>
  <c r="G533" i="2"/>
  <c r="G606" i="2"/>
  <c r="G353" i="2"/>
  <c r="T372" i="2"/>
  <c r="I258" i="2"/>
  <c r="Q465" i="2"/>
  <c r="H891" i="2"/>
  <c r="H892" i="2" s="1"/>
  <c r="H893" i="2" s="1"/>
  <c r="H294" i="2" s="1"/>
  <c r="U651" i="2"/>
  <c r="T594" i="2"/>
  <c r="H532" i="2"/>
  <c r="P614" i="2"/>
  <c r="H465" i="2"/>
  <c r="S303" i="2"/>
  <c r="I315" i="2"/>
  <c r="U246" i="2"/>
  <c r="T523" i="2"/>
  <c r="L941" i="2"/>
  <c r="L942" i="2" s="1"/>
  <c r="L943" i="2" s="1"/>
  <c r="L445" i="2" s="1"/>
  <c r="N659" i="2"/>
  <c r="H426" i="2"/>
  <c r="U927" i="2"/>
  <c r="U928" i="2" s="1"/>
  <c r="U929" i="2" s="1"/>
  <c r="U217" i="2" s="1"/>
  <c r="I606" i="2"/>
  <c r="S934" i="2"/>
  <c r="S935" i="2" s="1"/>
  <c r="S936" i="2" s="1"/>
  <c r="S331" i="2" s="1"/>
  <c r="R437" i="2"/>
  <c r="J654" i="2"/>
  <c r="G544" i="2"/>
  <c r="H654" i="2"/>
  <c r="G488" i="2"/>
  <c r="M144" i="2"/>
  <c r="N351" i="2"/>
  <c r="V323" i="2"/>
  <c r="G409" i="2"/>
  <c r="L323" i="2"/>
  <c r="H17" i="2"/>
  <c r="L417" i="2"/>
  <c r="K474" i="2"/>
  <c r="G109" i="2"/>
  <c r="J95" i="2"/>
  <c r="G437" i="2"/>
  <c r="I652" i="2"/>
  <c r="D44" i="32" s="1"/>
  <c r="F44" i="32" s="1"/>
  <c r="O486" i="2"/>
  <c r="K312" i="2"/>
  <c r="U437" i="2"/>
  <c r="Q585" i="2"/>
  <c r="G667" i="2"/>
  <c r="R544" i="2"/>
  <c r="T203" i="2"/>
  <c r="Q246" i="2"/>
  <c r="I426" i="2"/>
  <c r="J237" i="2"/>
  <c r="V465" i="2"/>
  <c r="P209" i="2"/>
  <c r="J465" i="2"/>
  <c r="Q614" i="2"/>
  <c r="N237" i="2"/>
  <c r="L266" i="2"/>
  <c r="G884" i="2"/>
  <c r="G885" i="2" s="1"/>
  <c r="G886" i="2" s="1"/>
  <c r="G180" i="2" s="1"/>
  <c r="T417" i="2"/>
  <c r="T494" i="2"/>
  <c r="G545" i="2"/>
  <c r="J437" i="2"/>
  <c r="G262" i="2"/>
  <c r="G433" i="2"/>
  <c r="G376" i="2"/>
  <c r="N201" i="2"/>
  <c r="J317" i="2"/>
  <c r="O906" i="2"/>
  <c r="O907" i="2" s="1"/>
  <c r="S884" i="2"/>
  <c r="S885" i="2" s="1"/>
  <c r="S886" i="2" s="1"/>
  <c r="S180" i="2" s="1"/>
  <c r="M426" i="2"/>
  <c r="Q532" i="2"/>
  <c r="L312" i="2"/>
  <c r="I317" i="2"/>
  <c r="G818" i="2"/>
  <c r="J552" i="2"/>
  <c r="G88" i="2"/>
  <c r="I37" i="2"/>
  <c r="N585" i="2"/>
  <c r="G255" i="2"/>
  <c r="Q351" i="2"/>
  <c r="N258" i="2"/>
  <c r="G153" i="2"/>
  <c r="I486" i="2"/>
  <c r="T317" i="2"/>
  <c r="I372" i="2"/>
  <c r="I75" i="2"/>
  <c r="N95" i="2"/>
  <c r="M552" i="2"/>
  <c r="R934" i="2"/>
  <c r="R935" i="2" s="1"/>
  <c r="R936" i="2" s="1"/>
  <c r="R331" i="2" s="1"/>
  <c r="G132" i="2"/>
  <c r="K323" i="2"/>
  <c r="T237" i="2"/>
  <c r="T351" i="2"/>
  <c r="L906" i="2"/>
  <c r="L907" i="2" s="1"/>
  <c r="U614" i="2"/>
  <c r="U616" i="2" s="1"/>
  <c r="M614" i="2"/>
  <c r="T920" i="2"/>
  <c r="T921" i="2" s="1"/>
  <c r="T922" i="2" s="1"/>
  <c r="T160" i="2" s="1"/>
  <c r="U494" i="2"/>
  <c r="V266" i="2"/>
  <c r="L474" i="2"/>
  <c r="V906" i="2"/>
  <c r="V907" i="2" s="1"/>
  <c r="V951" i="2" s="1"/>
  <c r="R315" i="2"/>
  <c r="O317" i="2"/>
  <c r="K659" i="2"/>
  <c r="K75" i="2"/>
  <c r="V913" i="2"/>
  <c r="V914" i="2" s="1"/>
  <c r="U209" i="2"/>
  <c r="G596" i="2"/>
  <c r="L145" i="2"/>
  <c r="N37" i="2"/>
  <c r="H913" i="2"/>
  <c r="H914" i="2" s="1"/>
  <c r="H915" i="2" s="1"/>
  <c r="H103" i="2" s="1"/>
  <c r="G30" i="2"/>
  <c r="I323" i="2"/>
  <c r="G660" i="2"/>
  <c r="M209" i="2"/>
  <c r="G323" i="2"/>
  <c r="G934" i="2"/>
  <c r="G935" i="2" s="1"/>
  <c r="G936" i="2" s="1"/>
  <c r="G331" i="2" s="1"/>
  <c r="Q913" i="2"/>
  <c r="Q914" i="2" s="1"/>
  <c r="Q915" i="2" s="1"/>
  <c r="Q103" i="2" s="1"/>
  <c r="G442" i="2"/>
  <c r="P146" i="2"/>
  <c r="N323" i="2"/>
  <c r="G210" i="2"/>
  <c r="T552" i="2"/>
  <c r="L426" i="2"/>
  <c r="H372" i="2"/>
  <c r="R884" i="2"/>
  <c r="R885" i="2" s="1"/>
  <c r="R886" i="2" s="1"/>
  <c r="R180" i="2" s="1"/>
  <c r="J146" i="2"/>
  <c r="M474" i="2"/>
  <c r="G87" i="2"/>
  <c r="O585" i="2"/>
  <c r="V372" i="2"/>
  <c r="J201" i="2"/>
  <c r="G373" i="2"/>
  <c r="G191" i="2"/>
  <c r="H437" i="2"/>
  <c r="Q266" i="2"/>
  <c r="H95" i="2"/>
  <c r="G362" i="2"/>
  <c r="M544" i="2"/>
  <c r="T189" i="2"/>
  <c r="G486" i="2"/>
  <c r="N431" i="2"/>
  <c r="N303" i="2"/>
  <c r="I927" i="2"/>
  <c r="I928" i="2" s="1"/>
  <c r="I929" i="2" s="1"/>
  <c r="I217" i="2" s="1"/>
  <c r="O351" i="2"/>
  <c r="J884" i="2"/>
  <c r="J885" i="2" s="1"/>
  <c r="J886" i="2" s="1"/>
  <c r="J180" i="2" s="1"/>
  <c r="K429" i="2"/>
  <c r="Q75" i="2"/>
  <c r="G474" i="2"/>
  <c r="G296" i="2"/>
  <c r="G317" i="2"/>
  <c r="S266" i="2"/>
  <c r="O429" i="2"/>
  <c r="N927" i="2"/>
  <c r="N928" i="2" s="1"/>
  <c r="N929" i="2" s="1"/>
  <c r="N217" i="2" s="1"/>
  <c r="G906" i="2"/>
  <c r="G907" i="2" s="1"/>
  <c r="G951" i="2" s="1"/>
  <c r="Q87" i="2"/>
  <c r="N523" i="2"/>
  <c r="G870" i="2"/>
  <c r="G871" i="2" s="1"/>
  <c r="G872" i="2" s="1"/>
  <c r="G66" i="2" s="1"/>
  <c r="G316" i="2"/>
  <c r="G112" i="2"/>
  <c r="S351" i="2"/>
  <c r="S606" i="2"/>
  <c r="G490" i="2"/>
  <c r="V863" i="2"/>
  <c r="V864" i="2" s="1"/>
  <c r="G532" i="2"/>
  <c r="U132" i="2"/>
  <c r="G877" i="2"/>
  <c r="S429" i="2"/>
  <c r="K920" i="2"/>
  <c r="K921" i="2" s="1"/>
  <c r="K922" i="2" s="1"/>
  <c r="K160" i="2" s="1"/>
  <c r="L246" i="2"/>
  <c r="T198" i="2"/>
  <c r="V891" i="2"/>
  <c r="V892" i="2" s="1"/>
  <c r="V893" i="2" s="1"/>
  <c r="P37" i="2"/>
  <c r="G622" i="2"/>
  <c r="G202" i="2"/>
  <c r="V884" i="2"/>
  <c r="V885" i="2" s="1"/>
  <c r="V886" i="2" s="1"/>
  <c r="G237" i="2"/>
  <c r="P585" i="2"/>
  <c r="V898" i="2"/>
  <c r="V899" i="2" s="1"/>
  <c r="V900" i="2" s="1"/>
  <c r="J132" i="2"/>
  <c r="G654" i="2"/>
  <c r="T166" i="2"/>
  <c r="N417" i="2"/>
  <c r="G664" i="2"/>
  <c r="G17" i="2"/>
  <c r="R87" i="2"/>
  <c r="V927" i="2"/>
  <c r="V928" i="2" s="1"/>
  <c r="M360" i="2"/>
  <c r="G483" i="2"/>
  <c r="H585" i="2"/>
  <c r="U870" i="2"/>
  <c r="U871" i="2" s="1"/>
  <c r="U872" i="2" s="1"/>
  <c r="U66" i="2" s="1"/>
  <c r="V682" i="2"/>
  <c r="X682" i="2" s="1"/>
  <c r="Y682" i="2" s="1"/>
  <c r="P544" i="2"/>
  <c r="G239" i="2"/>
  <c r="J659" i="2"/>
  <c r="L132" i="2"/>
  <c r="G546" i="2"/>
  <c r="G381" i="2"/>
  <c r="T465" i="2"/>
  <c r="V474" i="2"/>
  <c r="V614" i="2"/>
  <c r="V616" i="2" s="1"/>
  <c r="P594" i="2"/>
  <c r="Q906" i="2"/>
  <c r="Q907" i="2" s="1"/>
  <c r="H203" i="2"/>
  <c r="U884" i="2"/>
  <c r="U885" i="2" s="1"/>
  <c r="U886" i="2" s="1"/>
  <c r="U180" i="2" s="1"/>
  <c r="U532" i="2"/>
  <c r="K237" i="2"/>
  <c r="G152" i="2"/>
  <c r="N17" i="2"/>
  <c r="K465" i="2"/>
  <c r="O465" i="2"/>
  <c r="J87" i="2"/>
  <c r="I431" i="2"/>
  <c r="H360" i="2"/>
  <c r="O145" i="2"/>
  <c r="L437" i="2"/>
  <c r="T145" i="2"/>
  <c r="J913" i="2"/>
  <c r="J914" i="2" s="1"/>
  <c r="J915" i="2" s="1"/>
  <c r="J103" i="2" s="1"/>
  <c r="Q29" i="2"/>
  <c r="G37" i="2"/>
  <c r="K585" i="2"/>
  <c r="G614" i="2"/>
  <c r="K863" i="2"/>
  <c r="K864" i="2" s="1"/>
  <c r="G38" i="2"/>
  <c r="R523" i="2"/>
  <c r="P315" i="2"/>
  <c r="Q474" i="2"/>
  <c r="Q544" i="2"/>
  <c r="M166" i="2"/>
  <c r="P303" i="2"/>
  <c r="K891" i="2"/>
  <c r="K892" i="2" s="1"/>
  <c r="K893" i="2" s="1"/>
  <c r="K294" i="2" s="1"/>
  <c r="P486" i="2"/>
  <c r="G295" i="2"/>
  <c r="G898" i="2"/>
  <c r="O544" i="2"/>
  <c r="J303" i="2"/>
  <c r="O523" i="2"/>
  <c r="G68" i="2"/>
  <c r="P237" i="2"/>
  <c r="G23" i="2"/>
  <c r="G891" i="2"/>
  <c r="L465" i="2"/>
  <c r="N198" i="2"/>
  <c r="J431" i="2"/>
  <c r="G182" i="2"/>
  <c r="G100" i="2"/>
  <c r="L606" i="2"/>
  <c r="G238" i="2"/>
  <c r="G662" i="2"/>
  <c r="P465" i="2"/>
  <c r="V360" i="2"/>
  <c r="G204" i="2"/>
  <c r="G115" i="2"/>
  <c r="G145" i="2"/>
  <c r="G144" i="2"/>
  <c r="M659" i="2"/>
  <c r="I351" i="2"/>
  <c r="G541" i="2"/>
  <c r="O146" i="2"/>
  <c r="J258" i="2"/>
  <c r="V75" i="2"/>
  <c r="O431" i="2"/>
  <c r="S132" i="2"/>
  <c r="P201" i="2"/>
  <c r="I303" i="2"/>
  <c r="P870" i="2"/>
  <c r="P871" i="2" s="1"/>
  <c r="P872" i="2" s="1"/>
  <c r="P66" i="2" s="1"/>
  <c r="J426" i="2"/>
  <c r="G941" i="2"/>
  <c r="G942" i="2" s="1"/>
  <c r="G266" i="2"/>
  <c r="G655" i="2"/>
  <c r="G418" i="2"/>
  <c r="G659" i="2"/>
  <c r="T258" i="2"/>
  <c r="G133" i="2"/>
  <c r="G380" i="2"/>
  <c r="O659" i="2"/>
  <c r="O426" i="2"/>
  <c r="S246" i="2"/>
  <c r="I437" i="2"/>
  <c r="M146" i="2"/>
  <c r="L585" i="2"/>
  <c r="G209" i="2"/>
  <c r="G89" i="2"/>
  <c r="O166" i="2"/>
  <c r="J17" i="2"/>
  <c r="H544" i="2"/>
  <c r="G417" i="2"/>
  <c r="M75" i="2"/>
  <c r="M17" i="2"/>
  <c r="G822" i="2"/>
  <c r="G494" i="2"/>
  <c r="G106" i="2"/>
  <c r="Q870" i="2"/>
  <c r="Q871" i="2" s="1"/>
  <c r="Q872" i="2" s="1"/>
  <c r="Q66" i="2" s="1"/>
  <c r="M523" i="2"/>
  <c r="J145" i="2"/>
  <c r="P152" i="2"/>
  <c r="G95" i="2"/>
  <c r="G147" i="2"/>
  <c r="G663" i="2"/>
  <c r="G315" i="2"/>
  <c r="G42" i="2"/>
  <c r="P132" i="2"/>
  <c r="I585" i="2"/>
  <c r="H884" i="2"/>
  <c r="I863" i="2"/>
  <c r="I864" i="2" s="1"/>
  <c r="J266" i="2"/>
  <c r="L523" i="2"/>
  <c r="G557" i="2"/>
  <c r="S870" i="2"/>
  <c r="S871" i="2" s="1"/>
  <c r="S872" i="2" s="1"/>
  <c r="S66" i="2" s="1"/>
  <c r="G432" i="2"/>
  <c r="N652" i="2"/>
  <c r="D44" i="25" s="1"/>
  <c r="F44" i="25" s="1"/>
  <c r="G553" i="2"/>
  <c r="G615" i="2"/>
  <c r="J585" i="2"/>
  <c r="M37" i="2"/>
  <c r="G913" i="2"/>
  <c r="G914" i="2" s="1"/>
  <c r="S380" i="2"/>
  <c r="G665" i="2"/>
  <c r="I312" i="2"/>
  <c r="U913" i="2"/>
  <c r="U914" i="2" s="1"/>
  <c r="U915" i="2" s="1"/>
  <c r="U103" i="2" s="1"/>
  <c r="G495" i="2"/>
  <c r="M351" i="2"/>
  <c r="G169" i="2"/>
  <c r="H898" i="2"/>
  <c r="H899" i="2" s="1"/>
  <c r="H900" i="2" s="1"/>
  <c r="H408" i="2" s="1"/>
  <c r="G587" i="2"/>
  <c r="G467" i="2"/>
  <c r="K145" i="2"/>
  <c r="Q523" i="2"/>
  <c r="G388" i="2"/>
  <c r="G319" i="2"/>
  <c r="K166" i="2"/>
  <c r="O312" i="2"/>
  <c r="Q360" i="2"/>
  <c r="H934" i="2"/>
  <c r="H935" i="2" s="1"/>
  <c r="H936" i="2" s="1"/>
  <c r="H331" i="2" s="1"/>
  <c r="G141" i="2"/>
  <c r="S877" i="2"/>
  <c r="S878" i="2" s="1"/>
  <c r="S879" i="2" s="1"/>
  <c r="S123" i="2" s="1"/>
  <c r="T426" i="2"/>
  <c r="N312" i="2"/>
  <c r="O132" i="2"/>
  <c r="G594" i="2"/>
  <c r="G466" i="2"/>
  <c r="H417" i="2"/>
  <c r="G124" i="2"/>
  <c r="G920" i="2"/>
  <c r="J652" i="2"/>
  <c r="D44" i="17" s="1"/>
  <c r="F44" i="17" s="1"/>
  <c r="N87" i="2"/>
  <c r="L37" i="2"/>
  <c r="K417" i="2"/>
  <c r="G608" i="2"/>
  <c r="G214" i="2"/>
  <c r="P166" i="2"/>
  <c r="G607" i="2"/>
  <c r="L898" i="2"/>
  <c r="L899" i="2" s="1"/>
  <c r="L900" i="2" s="1"/>
  <c r="L408" i="2" s="1"/>
  <c r="I380" i="2"/>
  <c r="J323" i="2"/>
  <c r="I417" i="2"/>
  <c r="M315" i="2"/>
  <c r="U585" i="2"/>
  <c r="O209" i="2"/>
  <c r="O211" i="2" s="1"/>
  <c r="N146" i="2"/>
  <c r="G375" i="2"/>
  <c r="T585" i="2"/>
  <c r="T29" i="2"/>
  <c r="L654" i="2"/>
  <c r="G166" i="2"/>
  <c r="K870" i="2"/>
  <c r="K871" i="2" s="1"/>
  <c r="K872" i="2" s="1"/>
  <c r="K66" i="2" s="1"/>
  <c r="G57" i="2"/>
  <c r="G205" i="2"/>
  <c r="G77" i="2"/>
  <c r="L201" i="2"/>
  <c r="I266" i="2"/>
  <c r="V380" i="2"/>
  <c r="G374" i="2"/>
  <c r="P189" i="2"/>
  <c r="O652" i="2"/>
  <c r="D44" i="26" s="1"/>
  <c r="F44" i="26" s="1"/>
  <c r="M431" i="2"/>
  <c r="M652" i="2"/>
  <c r="D44" i="21" s="1"/>
  <c r="F44" i="21" s="1"/>
  <c r="M437" i="2"/>
  <c r="G271" i="2"/>
  <c r="G430" i="2"/>
  <c r="T146" i="2"/>
  <c r="G29" i="2"/>
  <c r="G75" i="2"/>
  <c r="G125" i="2"/>
  <c r="P198" i="2"/>
  <c r="P203" i="2"/>
  <c r="G815" i="2"/>
  <c r="G297" i="2" s="1"/>
  <c r="P351" i="2"/>
  <c r="G610" i="2"/>
  <c r="N486" i="2"/>
  <c r="T606" i="2"/>
  <c r="U152" i="2"/>
  <c r="I166" i="2"/>
  <c r="G652" i="2"/>
  <c r="V351" i="2"/>
  <c r="T877" i="2"/>
  <c r="T878" i="2" s="1"/>
  <c r="T879" i="2" s="1"/>
  <c r="T123" i="2" s="1"/>
  <c r="P437" i="2"/>
  <c r="G361" i="2"/>
  <c r="T95" i="2"/>
  <c r="Q651" i="2"/>
  <c r="G195" i="2"/>
  <c r="G651" i="2"/>
  <c r="M417" i="2"/>
  <c r="J166" i="2"/>
  <c r="J351" i="2"/>
  <c r="J198" i="2"/>
  <c r="R532" i="2"/>
  <c r="K146" i="2"/>
  <c r="L429" i="2"/>
  <c r="G609" i="2"/>
  <c r="H659" i="2"/>
  <c r="G157" i="2"/>
  <c r="G261" i="2"/>
  <c r="L189" i="2"/>
  <c r="M654" i="2"/>
  <c r="R927" i="2"/>
  <c r="R928" i="2" s="1"/>
  <c r="R929" i="2" s="1"/>
  <c r="R217" i="2" s="1"/>
  <c r="N166" i="2"/>
  <c r="H198" i="2"/>
  <c r="G328" i="2"/>
  <c r="S523" i="2"/>
  <c r="G552" i="2"/>
  <c r="L863" i="2"/>
  <c r="L864" i="2" s="1"/>
  <c r="I237" i="2"/>
  <c r="G309" i="2"/>
  <c r="G372" i="2"/>
  <c r="P360" i="2"/>
  <c r="G595" i="2"/>
  <c r="G523" i="2"/>
  <c r="G91" i="2"/>
  <c r="G304" i="2"/>
  <c r="G26" i="2"/>
  <c r="I870" i="2"/>
  <c r="I871" i="2" s="1"/>
  <c r="I872" i="2" s="1"/>
  <c r="I66" i="2" s="1"/>
  <c r="P145" i="2"/>
  <c r="M303" i="2"/>
  <c r="G76" i="2"/>
  <c r="G10" i="2"/>
  <c r="U237" i="2"/>
  <c r="K132" i="2"/>
  <c r="R132" i="2"/>
  <c r="L891" i="2"/>
  <c r="L892" i="2" s="1"/>
  <c r="L893" i="2" s="1"/>
  <c r="L294" i="2" s="1"/>
  <c r="G438" i="2"/>
  <c r="J203" i="2"/>
  <c r="V315" i="2"/>
  <c r="G465" i="2"/>
  <c r="G352" i="2"/>
  <c r="G201" i="2"/>
  <c r="G560" i="2"/>
  <c r="O17" i="2"/>
  <c r="H614" i="2"/>
  <c r="P659" i="2"/>
  <c r="H523" i="2"/>
  <c r="Q303" i="2"/>
  <c r="N891" i="2"/>
  <c r="N892" i="2" s="1"/>
  <c r="N893" i="2" s="1"/>
  <c r="N294" i="2" s="1"/>
  <c r="M312" i="2"/>
  <c r="P523" i="2"/>
  <c r="G19" i="2"/>
  <c r="G146" i="2"/>
  <c r="N870" i="2"/>
  <c r="N871" i="2" s="1"/>
  <c r="N872" i="2" s="1"/>
  <c r="N66" i="2" s="1"/>
  <c r="O654" i="2"/>
  <c r="S614" i="2"/>
  <c r="M198" i="2"/>
  <c r="V941" i="2"/>
  <c r="T152" i="2"/>
  <c r="H863" i="2"/>
  <c r="H864" i="2" s="1"/>
  <c r="N906" i="2"/>
  <c r="N907" i="2" s="1"/>
  <c r="G181" i="2"/>
  <c r="U465" i="2"/>
  <c r="M323" i="2"/>
  <c r="G927" i="2"/>
  <c r="G928" i="2" s="1"/>
  <c r="G929" i="2" s="1"/>
  <c r="V201" i="2"/>
  <c r="T652" i="2"/>
  <c r="G81" i="2"/>
  <c r="O189" i="2"/>
  <c r="I203" i="2"/>
  <c r="G312" i="2"/>
  <c r="G198" i="2"/>
  <c r="G67" i="2"/>
  <c r="I659" i="2"/>
  <c r="G32" i="2"/>
  <c r="N132" i="2"/>
  <c r="J417" i="2"/>
  <c r="K431" i="2"/>
  <c r="G360" i="2"/>
  <c r="L198" i="2"/>
  <c r="I523" i="2"/>
  <c r="G33" i="2"/>
  <c r="K652" i="2"/>
  <c r="D44" i="19" s="1"/>
  <c r="F44" i="19" s="1"/>
  <c r="I145" i="2"/>
  <c r="N614" i="2"/>
  <c r="G246" i="2"/>
  <c r="J209" i="2"/>
  <c r="N552" i="2"/>
  <c r="M585" i="2"/>
  <c r="G863" i="2"/>
  <c r="G864" i="2" s="1"/>
  <c r="I651" i="2"/>
  <c r="G247" i="2"/>
  <c r="G351" i="2"/>
  <c r="O203" i="2"/>
  <c r="G267" i="2"/>
  <c r="P863" i="2"/>
  <c r="P864" i="2" s="1"/>
  <c r="P652" i="2"/>
  <c r="K523" i="2"/>
  <c r="O303" i="2"/>
  <c r="G524" i="2"/>
  <c r="G821" i="2"/>
  <c r="G563" i="2" s="1"/>
  <c r="L652" i="2"/>
  <c r="D44" i="20" s="1"/>
  <c r="F44" i="20" s="1"/>
  <c r="H189" i="2"/>
  <c r="S651" i="2"/>
  <c r="T898" i="2"/>
  <c r="T899" i="2" s="1"/>
  <c r="T900" i="2" s="1"/>
  <c r="T408" i="2" s="1"/>
  <c r="U37" i="2"/>
  <c r="U39" i="2" s="1"/>
  <c r="H132" i="2"/>
  <c r="G538" i="2"/>
  <c r="L934" i="2"/>
  <c r="L935" i="2" s="1"/>
  <c r="L936" i="2" s="1"/>
  <c r="L331" i="2" s="1"/>
  <c r="Q189" i="2"/>
  <c r="G54" i="2"/>
  <c r="G258" i="2"/>
  <c r="Q132" i="2"/>
  <c r="I189" i="2"/>
  <c r="M145" i="2"/>
  <c r="Q552" i="2"/>
  <c r="G9" i="2"/>
  <c r="T651" i="2"/>
  <c r="R237" i="2"/>
  <c r="G305" i="2"/>
  <c r="G203" i="2"/>
  <c r="M132" i="2"/>
  <c r="N934" i="2"/>
  <c r="N935" i="2" s="1"/>
  <c r="N936" i="2" s="1"/>
  <c r="N331" i="2" s="1"/>
  <c r="G603" i="2"/>
  <c r="H209" i="2"/>
  <c r="J891" i="2"/>
  <c r="J892" i="2" s="1"/>
  <c r="J893" i="2" s="1"/>
  <c r="J294" i="2" s="1"/>
  <c r="G656" i="2"/>
  <c r="R651" i="2"/>
  <c r="G84" i="2"/>
  <c r="N203" i="2"/>
  <c r="G423" i="2"/>
  <c r="G163" i="2"/>
  <c r="L203" i="2"/>
  <c r="M189" i="2"/>
  <c r="G489" i="2"/>
  <c r="K651" i="2"/>
  <c r="G31" i="2"/>
  <c r="G548" i="2"/>
  <c r="G410" i="2"/>
  <c r="I552" i="2"/>
  <c r="G366" i="2"/>
  <c r="G823" i="2"/>
  <c r="G400" i="2" s="1"/>
  <c r="V934" i="2"/>
  <c r="V935" i="2" s="1"/>
  <c r="N145" i="2"/>
  <c r="H651" i="2"/>
  <c r="G172" i="2"/>
  <c r="L166" i="2"/>
  <c r="P651" i="2"/>
  <c r="S237" i="2"/>
  <c r="J651" i="2"/>
  <c r="K203" i="2"/>
  <c r="L651" i="2"/>
  <c r="T132" i="2"/>
  <c r="G431" i="2"/>
  <c r="R351" i="2"/>
  <c r="G252" i="2"/>
  <c r="M913" i="2"/>
  <c r="M914" i="2" s="1"/>
  <c r="M915" i="2" s="1"/>
  <c r="M103" i="2" s="1"/>
  <c r="J523" i="2"/>
  <c r="G600" i="2"/>
  <c r="G585" i="2"/>
  <c r="G534" i="2"/>
  <c r="I132" i="2"/>
  <c r="G525" i="2"/>
  <c r="M203" i="2"/>
  <c r="G189" i="2"/>
  <c r="L146" i="2"/>
  <c r="G475" i="2"/>
  <c r="G96" i="2"/>
  <c r="G18" i="2"/>
  <c r="G138" i="2"/>
  <c r="G134" i="2"/>
  <c r="G619" i="2"/>
  <c r="L303" i="2"/>
  <c r="O651" i="2"/>
  <c r="G785" i="2"/>
  <c r="K189" i="2"/>
  <c r="V523" i="2"/>
  <c r="K198" i="2"/>
  <c r="G480" i="2"/>
  <c r="G190" i="2"/>
  <c r="G51" i="2"/>
  <c r="N189" i="2"/>
  <c r="M651" i="2"/>
  <c r="I198" i="2"/>
  <c r="N651" i="2"/>
  <c r="J189" i="2"/>
  <c r="O198" i="2"/>
  <c r="I908" i="2" l="1"/>
  <c r="I45" i="2" s="1"/>
  <c r="I951" i="2"/>
  <c r="I226" i="2" s="1"/>
  <c r="Q908" i="2"/>
  <c r="Q45" i="2" s="1"/>
  <c r="Q951" i="2"/>
  <c r="Q226" i="2" s="1"/>
  <c r="L908" i="2"/>
  <c r="L45" i="2" s="1"/>
  <c r="L951" i="2"/>
  <c r="L226" i="2" s="1"/>
  <c r="S908" i="2"/>
  <c r="S45" i="2" s="1"/>
  <c r="S951" i="2"/>
  <c r="S226" i="2" s="1"/>
  <c r="P908" i="2"/>
  <c r="P45" i="2" s="1"/>
  <c r="P951" i="2"/>
  <c r="P226" i="2" s="1"/>
  <c r="M908" i="2"/>
  <c r="M45" i="2" s="1"/>
  <c r="M951" i="2"/>
  <c r="M226" i="2" s="1"/>
  <c r="J28" i="21" s="1"/>
  <c r="K908" i="2"/>
  <c r="K45" i="2" s="1"/>
  <c r="K951" i="2"/>
  <c r="K229" i="2" s="1"/>
  <c r="N908" i="2"/>
  <c r="N45" i="2" s="1"/>
  <c r="N951" i="2"/>
  <c r="N226" i="2" s="1"/>
  <c r="U908" i="2"/>
  <c r="U45" i="2" s="1"/>
  <c r="U951" i="2"/>
  <c r="U226" i="2" s="1"/>
  <c r="J908" i="2"/>
  <c r="J45" i="2" s="1"/>
  <c r="J951" i="2"/>
  <c r="J226" i="2" s="1"/>
  <c r="H908" i="2"/>
  <c r="H45" i="2" s="1"/>
  <c r="H951" i="2"/>
  <c r="H226" i="2" s="1"/>
  <c r="R908" i="2"/>
  <c r="R45" i="2" s="1"/>
  <c r="R951" i="2"/>
  <c r="R226" i="2" s="1"/>
  <c r="O908" i="2"/>
  <c r="O45" i="2" s="1"/>
  <c r="O951" i="2"/>
  <c r="O226" i="2" s="1"/>
  <c r="T908" i="2"/>
  <c r="T45" i="2" s="1"/>
  <c r="T951" i="2"/>
  <c r="T226" i="2" s="1"/>
  <c r="K183" i="2"/>
  <c r="F28" i="19" s="1"/>
  <c r="H439" i="2"/>
  <c r="V439" i="2"/>
  <c r="R496" i="2"/>
  <c r="O183" i="2"/>
  <c r="F28" i="26" s="1"/>
  <c r="T211" i="2"/>
  <c r="I616" i="2"/>
  <c r="S39" i="2"/>
  <c r="M211" i="2"/>
  <c r="N154" i="2"/>
  <c r="K154" i="2"/>
  <c r="K439" i="2"/>
  <c r="R154" i="2"/>
  <c r="V268" i="2"/>
  <c r="I211" i="2"/>
  <c r="V355" i="2"/>
  <c r="K185" i="2"/>
  <c r="P439" i="2"/>
  <c r="I865" i="2"/>
  <c r="I8" i="2" s="1"/>
  <c r="I961" i="2" s="1"/>
  <c r="T865" i="2"/>
  <c r="T8" i="2" s="1"/>
  <c r="U865" i="2"/>
  <c r="U8" i="2" s="1"/>
  <c r="S865" i="2"/>
  <c r="S8" i="2" s="1"/>
  <c r="S961" i="2" s="1"/>
  <c r="Q865" i="2"/>
  <c r="Q8" i="2" s="1"/>
  <c r="Q961" i="2" s="1"/>
  <c r="H865" i="2"/>
  <c r="H8" i="2" s="1"/>
  <c r="H961" i="2" s="1"/>
  <c r="V865" i="2"/>
  <c r="V8" i="2" s="1"/>
  <c r="R865" i="2"/>
  <c r="R8" i="2" s="1"/>
  <c r="R961" i="2" s="1"/>
  <c r="N865" i="2"/>
  <c r="N8" i="2" s="1"/>
  <c r="N961" i="2" s="1"/>
  <c r="L865" i="2"/>
  <c r="L8" i="2" s="1"/>
  <c r="L961" i="2" s="1"/>
  <c r="P865" i="2"/>
  <c r="P8" i="2" s="1"/>
  <c r="P961" i="2" s="1"/>
  <c r="K865" i="2"/>
  <c r="K8" i="2" s="1"/>
  <c r="K961" i="2" s="1"/>
  <c r="V904" i="2"/>
  <c r="M865" i="2"/>
  <c r="M8" i="2" s="1"/>
  <c r="M961" i="2" s="1"/>
  <c r="O865" i="2"/>
  <c r="O8" i="2" s="1"/>
  <c r="O961" i="2" s="1"/>
  <c r="J865" i="2"/>
  <c r="J8" i="2" s="1"/>
  <c r="J961" i="2" s="1"/>
  <c r="Q439" i="2"/>
  <c r="S382" i="2"/>
  <c r="Q154" i="2"/>
  <c r="N211" i="2"/>
  <c r="K588" i="2"/>
  <c r="V589" i="2"/>
  <c r="K526" i="2"/>
  <c r="V528" i="2"/>
  <c r="J211" i="2"/>
  <c r="K12" i="2"/>
  <c r="K298" i="2"/>
  <c r="K13" i="2"/>
  <c r="V185" i="2"/>
  <c r="M97" i="2"/>
  <c r="K589" i="2"/>
  <c r="L382" i="2"/>
  <c r="K126" i="2"/>
  <c r="F14" i="19" s="1"/>
  <c r="V356" i="2"/>
  <c r="V184" i="2"/>
  <c r="U229" i="2"/>
  <c r="N505" i="2"/>
  <c r="K411" i="2"/>
  <c r="V413" i="2"/>
  <c r="V469" i="2"/>
  <c r="V527" i="2"/>
  <c r="J14" i="21"/>
  <c r="P39" i="2"/>
  <c r="U263" i="2"/>
  <c r="N325" i="2"/>
  <c r="O154" i="2"/>
  <c r="K263" i="2"/>
  <c r="V39" i="2"/>
  <c r="T325" i="2"/>
  <c r="J286" i="2"/>
  <c r="M306" i="2"/>
  <c r="G29" i="21" s="1"/>
  <c r="N400" i="2"/>
  <c r="N298" i="2"/>
  <c r="U572" i="2"/>
  <c r="N588" i="2"/>
  <c r="N71" i="2"/>
  <c r="K70" i="2"/>
  <c r="K468" i="2"/>
  <c r="V70" i="2"/>
  <c r="D43" i="32"/>
  <c r="E43" i="32" s="1"/>
  <c r="R211" i="2"/>
  <c r="Q97" i="2"/>
  <c r="M554" i="2"/>
  <c r="T496" i="2"/>
  <c r="V496" i="2"/>
  <c r="N97" i="2"/>
  <c r="U439" i="2"/>
  <c r="V306" i="2"/>
  <c r="J535" i="2"/>
  <c r="K496" i="2"/>
  <c r="L183" i="2"/>
  <c r="F28" i="20" s="1"/>
  <c r="V566" i="2"/>
  <c r="I325" i="2"/>
  <c r="J39" i="2"/>
  <c r="J14" i="26"/>
  <c r="D43" i="21"/>
  <c r="E43" i="21" s="1"/>
  <c r="K43" i="21" s="1"/>
  <c r="L43" i="21" s="1"/>
  <c r="N126" i="2"/>
  <c r="F14" i="25" s="1"/>
  <c r="N20" i="2"/>
  <c r="N658" i="2" s="1"/>
  <c r="D45" i="25" s="1"/>
  <c r="G45" i="25" s="1"/>
  <c r="K45" i="25" s="1"/>
  <c r="L45" i="25" s="1"/>
  <c r="M34" i="2"/>
  <c r="V154" i="2"/>
  <c r="S211" i="2"/>
  <c r="O508" i="2"/>
  <c r="N391" i="2"/>
  <c r="M183" i="2"/>
  <c r="F28" i="21" s="1"/>
  <c r="O223" i="2"/>
  <c r="I268" i="2"/>
  <c r="T39" i="2"/>
  <c r="L597" i="2"/>
  <c r="M263" i="2"/>
  <c r="O337" i="2"/>
  <c r="O454" i="2"/>
  <c r="U634" i="2"/>
  <c r="K616" i="2"/>
  <c r="J439" i="2"/>
  <c r="L325" i="2"/>
  <c r="T223" i="2"/>
  <c r="O597" i="2"/>
  <c r="O382" i="2"/>
  <c r="L97" i="2"/>
  <c r="J496" i="2"/>
  <c r="N185" i="2"/>
  <c r="I183" i="2"/>
  <c r="F28" i="32" s="1"/>
  <c r="V337" i="2"/>
  <c r="L454" i="2"/>
  <c r="L569" i="2"/>
  <c r="L394" i="2"/>
  <c r="L223" i="2"/>
  <c r="V631" i="2"/>
  <c r="L439" i="2"/>
  <c r="S268" i="2"/>
  <c r="T382" i="2"/>
  <c r="U135" i="2"/>
  <c r="O126" i="2"/>
  <c r="F14" i="26" s="1"/>
  <c r="J554" i="2"/>
  <c r="H535" i="2"/>
  <c r="V97" i="2"/>
  <c r="R554" i="2"/>
  <c r="R249" i="2"/>
  <c r="H306" i="2"/>
  <c r="G29" i="27" s="1"/>
  <c r="K39" i="2"/>
  <c r="L451" i="2"/>
  <c r="V394" i="2"/>
  <c r="L397" i="2"/>
  <c r="O135" i="2"/>
  <c r="G14" i="26" s="1"/>
  <c r="J14" i="19"/>
  <c r="M39" i="2"/>
  <c r="V206" i="2"/>
  <c r="P192" i="2"/>
  <c r="P306" i="2"/>
  <c r="J183" i="2"/>
  <c r="F28" i="17" s="1"/>
  <c r="H496" i="2"/>
  <c r="L616" i="2"/>
  <c r="O192" i="2"/>
  <c r="G28" i="26" s="1"/>
  <c r="J14" i="25"/>
  <c r="J268" i="2"/>
  <c r="H97" i="2"/>
  <c r="O298" i="2"/>
  <c r="O470" i="2"/>
  <c r="T154" i="2"/>
  <c r="L39" i="2"/>
  <c r="R597" i="2"/>
  <c r="P554" i="2"/>
  <c r="Q382" i="2"/>
  <c r="L20" i="2"/>
  <c r="L658" i="2" s="1"/>
  <c r="D45" i="20" s="1"/>
  <c r="G45" i="20" s="1"/>
  <c r="K45" i="20" s="1"/>
  <c r="L45" i="20" s="1"/>
  <c r="S363" i="2"/>
  <c r="O589" i="2"/>
  <c r="S616" i="2"/>
  <c r="K135" i="2"/>
  <c r="G14" i="19" s="1"/>
  <c r="I382" i="2"/>
  <c r="H420" i="2"/>
  <c r="R34" i="2"/>
  <c r="V263" i="2"/>
  <c r="T477" i="2"/>
  <c r="U320" i="2"/>
  <c r="N527" i="2"/>
  <c r="N356" i="2"/>
  <c r="L306" i="2"/>
  <c r="G29" i="20" s="1"/>
  <c r="N183" i="2"/>
  <c r="F28" i="25" s="1"/>
  <c r="N616" i="2"/>
  <c r="M126" i="2"/>
  <c r="F14" i="21" s="1"/>
  <c r="Q616" i="2"/>
  <c r="D43" i="25"/>
  <c r="E43" i="25" s="1"/>
  <c r="K97" i="2"/>
  <c r="L554" i="2"/>
  <c r="P268" i="2"/>
  <c r="O39" i="2"/>
  <c r="N589" i="2"/>
  <c r="N299" i="2"/>
  <c r="Q78" i="2"/>
  <c r="D43" i="19"/>
  <c r="E43" i="19" s="1"/>
  <c r="J477" i="2"/>
  <c r="N597" i="2"/>
  <c r="K363" i="2"/>
  <c r="U611" i="2"/>
  <c r="N11" i="2"/>
  <c r="N355" i="2"/>
  <c r="T340" i="2"/>
  <c r="N128" i="2"/>
  <c r="N468" i="2"/>
  <c r="N354" i="2"/>
  <c r="P382" i="2"/>
  <c r="W141" i="2"/>
  <c r="X141" i="2" s="1"/>
  <c r="Y141" i="2" s="1"/>
  <c r="H78" i="2"/>
  <c r="J420" i="2"/>
  <c r="S135" i="2"/>
  <c r="V363" i="2"/>
  <c r="T78" i="2"/>
  <c r="Q496" i="2"/>
  <c r="N508" i="2"/>
  <c r="H616" i="2"/>
  <c r="W261" i="2"/>
  <c r="X261" i="2" s="1"/>
  <c r="Y261" i="2" s="1"/>
  <c r="N92" i="2"/>
  <c r="N306" i="2"/>
  <c r="G29" i="25" s="1"/>
  <c r="K268" i="2"/>
  <c r="J611" i="2"/>
  <c r="S78" i="2"/>
  <c r="K554" i="2"/>
  <c r="R39" i="2"/>
  <c r="N340" i="2"/>
  <c r="M192" i="2"/>
  <c r="G28" i="21" s="1"/>
  <c r="E14" i="26"/>
  <c r="O363" i="2"/>
  <c r="T554" i="2"/>
  <c r="S420" i="2"/>
  <c r="H14" i="25"/>
  <c r="H211" i="2"/>
  <c r="N223" i="2"/>
  <c r="M20" i="2"/>
  <c r="M658" i="2" s="1"/>
  <c r="D45" i="21" s="1"/>
  <c r="G45" i="21" s="1"/>
  <c r="K45" i="21" s="1"/>
  <c r="L45" i="21" s="1"/>
  <c r="H363" i="2"/>
  <c r="U535" i="2"/>
  <c r="R92" i="2"/>
  <c r="L249" i="2"/>
  <c r="H223" i="2"/>
  <c r="M616" i="2"/>
  <c r="L420" i="2"/>
  <c r="P616" i="2"/>
  <c r="Q611" i="2"/>
  <c r="Q263" i="2"/>
  <c r="P78" i="2"/>
  <c r="H28" i="32"/>
  <c r="Q192" i="2"/>
  <c r="W91" i="2"/>
  <c r="X91" i="2" s="1"/>
  <c r="Y91" i="2" s="1"/>
  <c r="I611" i="2"/>
  <c r="T126" i="2"/>
  <c r="T183" i="2"/>
  <c r="P477" i="2"/>
  <c r="H325" i="2"/>
  <c r="N439" i="2"/>
  <c r="K491" i="2"/>
  <c r="P397" i="2"/>
  <c r="R135" i="2"/>
  <c r="W418" i="2"/>
  <c r="X418" i="2" s="1"/>
  <c r="Y418" i="2" s="1"/>
  <c r="E28" i="17"/>
  <c r="D43" i="27"/>
  <c r="E43" i="27" s="1"/>
  <c r="P597" i="2"/>
  <c r="S611" i="2"/>
  <c r="W210" i="2"/>
  <c r="X210" i="2" s="1"/>
  <c r="Y210" i="2" s="1"/>
  <c r="W433" i="2"/>
  <c r="X433" i="2" s="1"/>
  <c r="Y433" i="2" s="1"/>
  <c r="U249" i="2"/>
  <c r="E14" i="17"/>
  <c r="P20" i="2"/>
  <c r="P658" i="2" s="1"/>
  <c r="L126" i="2"/>
  <c r="F14" i="20" s="1"/>
  <c r="O496" i="2"/>
  <c r="R149" i="2"/>
  <c r="Q325" i="2"/>
  <c r="K382" i="2"/>
  <c r="M597" i="2"/>
  <c r="N229" i="2"/>
  <c r="J343" i="2"/>
  <c r="J192" i="2"/>
  <c r="G28" i="17" s="1"/>
  <c r="N192" i="2"/>
  <c r="G28" i="25" s="1"/>
  <c r="Q135" i="2"/>
  <c r="O20" i="2"/>
  <c r="O658" i="2" s="1"/>
  <c r="D45" i="26" s="1"/>
  <c r="G45" i="26" s="1"/>
  <c r="K45" i="26" s="1"/>
  <c r="L45" i="26" s="1"/>
  <c r="W157" i="2"/>
  <c r="X157" i="2" s="1"/>
  <c r="Y157" i="2" s="1"/>
  <c r="J14" i="17"/>
  <c r="U154" i="2"/>
  <c r="V382" i="2"/>
  <c r="I420" i="2"/>
  <c r="I306" i="2"/>
  <c r="G29" i="32" s="1"/>
  <c r="V78" i="2"/>
  <c r="Q549" i="2"/>
  <c r="J135" i="2"/>
  <c r="G14" i="17" s="1"/>
  <c r="S434" i="2"/>
  <c r="Q268" i="2"/>
  <c r="U496" i="2"/>
  <c r="I263" i="2"/>
  <c r="Q39" i="2"/>
  <c r="V135" i="2"/>
  <c r="E14" i="27"/>
  <c r="I477" i="2"/>
  <c r="E14" i="32"/>
  <c r="M382" i="2"/>
  <c r="H39" i="2"/>
  <c r="K611" i="2"/>
  <c r="R325" i="2"/>
  <c r="I29" i="21"/>
  <c r="K211" i="2"/>
  <c r="R382" i="2"/>
  <c r="P611" i="2"/>
  <c r="O325" i="2"/>
  <c r="P496" i="2"/>
  <c r="R97" i="2"/>
  <c r="J514" i="2"/>
  <c r="N343" i="2"/>
  <c r="J572" i="2"/>
  <c r="J229" i="2"/>
  <c r="J223" i="2"/>
  <c r="W96" i="2"/>
  <c r="X96" i="2" s="1"/>
  <c r="Y96" i="2" s="1"/>
  <c r="J14" i="20"/>
  <c r="W410" i="2"/>
  <c r="X410" i="2" s="1"/>
  <c r="Y410" i="2" s="1"/>
  <c r="W489" i="2"/>
  <c r="X489" i="2" s="1"/>
  <c r="Y489" i="2" s="1"/>
  <c r="W603" i="2"/>
  <c r="X603" i="2" s="1"/>
  <c r="Y603" i="2" s="1"/>
  <c r="O206" i="2"/>
  <c r="V320" i="2"/>
  <c r="R535" i="2"/>
  <c r="M420" i="2"/>
  <c r="J263" i="2"/>
  <c r="I377" i="2"/>
  <c r="N263" i="2"/>
  <c r="P211" i="2"/>
  <c r="T268" i="2"/>
  <c r="R611" i="2"/>
  <c r="S597" i="2"/>
  <c r="V420" i="2"/>
  <c r="V92" i="2"/>
  <c r="U192" i="2"/>
  <c r="U549" i="2"/>
  <c r="R268" i="2"/>
  <c r="O34" i="2"/>
  <c r="U554" i="2"/>
  <c r="O420" i="2"/>
  <c r="O78" i="2"/>
  <c r="S97" i="2"/>
  <c r="Q597" i="2"/>
  <c r="O92" i="2"/>
  <c r="M535" i="2"/>
  <c r="L535" i="2"/>
  <c r="N34" i="2"/>
  <c r="O616" i="2"/>
  <c r="M611" i="2"/>
  <c r="U149" i="2"/>
  <c r="I597" i="2"/>
  <c r="J400" i="2"/>
  <c r="N634" i="2"/>
  <c r="W33" i="2"/>
  <c r="X33" i="2" s="1"/>
  <c r="Y33" i="2" s="1"/>
  <c r="W147" i="2"/>
  <c r="X147" i="2" s="1"/>
  <c r="Y147" i="2" s="1"/>
  <c r="W295" i="2"/>
  <c r="X295" i="2" s="1"/>
  <c r="Y295" i="2" s="1"/>
  <c r="W148" i="2"/>
  <c r="X148" i="2" s="1"/>
  <c r="Y148" i="2" s="1"/>
  <c r="H382" i="2"/>
  <c r="W259" i="2"/>
  <c r="X259" i="2" s="1"/>
  <c r="Y259" i="2" s="1"/>
  <c r="M92" i="2"/>
  <c r="V34" i="2"/>
  <c r="H268" i="2"/>
  <c r="V611" i="2"/>
  <c r="R491" i="2"/>
  <c r="U206" i="2"/>
  <c r="P340" i="2"/>
  <c r="W54" i="2"/>
  <c r="X54" i="2" s="1"/>
  <c r="Y54" i="2" s="1"/>
  <c r="W319" i="2"/>
  <c r="X319" i="2" s="1"/>
  <c r="Y319" i="2" s="1"/>
  <c r="W822" i="2"/>
  <c r="X822" i="2" s="1"/>
  <c r="Y822" i="2" s="1"/>
  <c r="W373" i="2"/>
  <c r="X373" i="2" s="1"/>
  <c r="Y373" i="2" s="1"/>
  <c r="H377" i="2"/>
  <c r="W262" i="2"/>
  <c r="X262" i="2" s="1"/>
  <c r="Y262" i="2" s="1"/>
  <c r="J97" i="2"/>
  <c r="L92" i="2"/>
  <c r="W138" i="2"/>
  <c r="X138" i="2" s="1"/>
  <c r="Y138" i="2" s="1"/>
  <c r="T135" i="2"/>
  <c r="W366" i="2"/>
  <c r="X366" i="2" s="1"/>
  <c r="Y366" i="2" s="1"/>
  <c r="W84" i="2"/>
  <c r="X84" i="2" s="1"/>
  <c r="Y84" i="2" s="1"/>
  <c r="M135" i="2"/>
  <c r="G14" i="21" s="1"/>
  <c r="I192" i="2"/>
  <c r="G28" i="32" s="1"/>
  <c r="W524" i="2"/>
  <c r="X524" i="2" s="1"/>
  <c r="Y524" i="2" s="1"/>
  <c r="W67" i="2"/>
  <c r="X67" i="2" s="1"/>
  <c r="Y67" i="2" s="1"/>
  <c r="W76" i="2"/>
  <c r="X76" i="2" s="1"/>
  <c r="Y76" i="2" s="1"/>
  <c r="W26" i="2"/>
  <c r="X26" i="2" s="1"/>
  <c r="Y26" i="2" s="1"/>
  <c r="T97" i="2"/>
  <c r="T611" i="2"/>
  <c r="W271" i="2"/>
  <c r="X271" i="2" s="1"/>
  <c r="Y271" i="2" s="1"/>
  <c r="W205" i="2"/>
  <c r="X205" i="2" s="1"/>
  <c r="Y205" i="2" s="1"/>
  <c r="W607" i="2"/>
  <c r="X607" i="2" s="1"/>
  <c r="Y607" i="2" s="1"/>
  <c r="W42" i="2"/>
  <c r="X42" i="2" s="1"/>
  <c r="Y42" i="2" s="1"/>
  <c r="T263" i="2"/>
  <c r="P491" i="2"/>
  <c r="J92" i="2"/>
  <c r="L135" i="2"/>
  <c r="G14" i="20" s="1"/>
  <c r="Q92" i="2"/>
  <c r="W153" i="2"/>
  <c r="X153" i="2" s="1"/>
  <c r="Y153" i="2" s="1"/>
  <c r="O491" i="2"/>
  <c r="T597" i="2"/>
  <c r="R377" i="2"/>
  <c r="T92" i="2"/>
  <c r="N249" i="2"/>
  <c r="E14" i="20"/>
  <c r="J14" i="27"/>
  <c r="U363" i="2"/>
  <c r="N382" i="2"/>
  <c r="S206" i="2"/>
  <c r="V554" i="2"/>
  <c r="T535" i="2"/>
  <c r="I363" i="2"/>
  <c r="I154" i="2"/>
  <c r="S439" i="2"/>
  <c r="V434" i="2"/>
  <c r="I249" i="2"/>
  <c r="M491" i="2"/>
  <c r="O439" i="2"/>
  <c r="V211" i="2"/>
  <c r="I496" i="2"/>
  <c r="T616" i="2"/>
  <c r="R206" i="2"/>
  <c r="N268" i="2"/>
  <c r="N477" i="2"/>
  <c r="S377" i="2"/>
  <c r="S496" i="2"/>
  <c r="U268" i="2"/>
  <c r="Q126" i="2"/>
  <c r="H511" i="2"/>
  <c r="P280" i="2"/>
  <c r="I126" i="2"/>
  <c r="F14" i="32" s="1"/>
  <c r="W169" i="2"/>
  <c r="X169" i="2" s="1"/>
  <c r="Y169" i="2" s="1"/>
  <c r="P135" i="2"/>
  <c r="S249" i="2"/>
  <c r="W133" i="2"/>
  <c r="X133" i="2" s="1"/>
  <c r="Y133" i="2" s="1"/>
  <c r="R420" i="2"/>
  <c r="S554" i="2"/>
  <c r="R306" i="2"/>
  <c r="W480" i="2"/>
  <c r="X480" i="2" s="1"/>
  <c r="Y480" i="2" s="1"/>
  <c r="K192" i="2"/>
  <c r="G28" i="19" s="1"/>
  <c r="W619" i="2"/>
  <c r="X619" i="2" s="1"/>
  <c r="Y619" i="2" s="1"/>
  <c r="I135" i="2"/>
  <c r="G14" i="32" s="1"/>
  <c r="W600" i="2"/>
  <c r="X600" i="2" s="1"/>
  <c r="Y600" i="2" s="1"/>
  <c r="I29" i="20"/>
  <c r="H192" i="2"/>
  <c r="G28" i="27" s="1"/>
  <c r="O306" i="2"/>
  <c r="G29" i="26" s="1"/>
  <c r="W247" i="2"/>
  <c r="X247" i="2" s="1"/>
  <c r="Y247" i="2" s="1"/>
  <c r="N135" i="2"/>
  <c r="G14" i="25" s="1"/>
  <c r="P223" i="2"/>
  <c r="P363" i="2"/>
  <c r="L192" i="2"/>
  <c r="G28" i="20" s="1"/>
  <c r="N491" i="2"/>
  <c r="T34" i="2"/>
  <c r="W495" i="2"/>
  <c r="X495" i="2" s="1"/>
  <c r="Y495" i="2" s="1"/>
  <c r="P154" i="2"/>
  <c r="M78" i="2"/>
  <c r="D43" i="26"/>
  <c r="E43" i="26" s="1"/>
  <c r="Q34" i="2"/>
  <c r="N420" i="2"/>
  <c r="W316" i="2"/>
  <c r="X316" i="2" s="1"/>
  <c r="Y316" i="2" s="1"/>
  <c r="I39" i="2"/>
  <c r="L268" i="2"/>
  <c r="R439" i="2"/>
  <c r="N363" i="2"/>
  <c r="L154" i="2"/>
  <c r="M154" i="2"/>
  <c r="T306" i="2"/>
  <c r="O97" i="2"/>
  <c r="M268" i="2"/>
  <c r="U382" i="2"/>
  <c r="Q377" i="2"/>
  <c r="N496" i="2"/>
  <c r="H611" i="2"/>
  <c r="P325" i="2"/>
  <c r="L496" i="2"/>
  <c r="J491" i="2"/>
  <c r="P97" i="2"/>
  <c r="S149" i="2"/>
  <c r="U434" i="2"/>
  <c r="I411" i="2"/>
  <c r="P631" i="2"/>
  <c r="P566" i="2"/>
  <c r="I528" i="2"/>
  <c r="I14" i="20"/>
  <c r="W23" i="2"/>
  <c r="X23" i="2" s="1"/>
  <c r="Y23" i="2" s="1"/>
  <c r="W191" i="2"/>
  <c r="X191" i="2" s="1"/>
  <c r="Y191" i="2" s="1"/>
  <c r="N39" i="2"/>
  <c r="W88" i="2"/>
  <c r="X88" i="2" s="1"/>
  <c r="Y88" i="2" s="1"/>
  <c r="P451" i="2"/>
  <c r="W134" i="2"/>
  <c r="X134" i="2" s="1"/>
  <c r="Y134" i="2" s="1"/>
  <c r="I554" i="2"/>
  <c r="W163" i="2"/>
  <c r="X163" i="2" s="1"/>
  <c r="Y163" i="2" s="1"/>
  <c r="N554" i="2"/>
  <c r="W81" i="2"/>
  <c r="X81" i="2" s="1"/>
  <c r="Y81" i="2" s="1"/>
  <c r="W304" i="2"/>
  <c r="X304" i="2" s="1"/>
  <c r="Y304" i="2" s="1"/>
  <c r="W609" i="2"/>
  <c r="X609" i="2" s="1"/>
  <c r="Y609" i="2" s="1"/>
  <c r="W361" i="2"/>
  <c r="X361" i="2" s="1"/>
  <c r="Y361" i="2" s="1"/>
  <c r="P183" i="2"/>
  <c r="Q363" i="2"/>
  <c r="J20" i="2"/>
  <c r="J658" i="2" s="1"/>
  <c r="D45" i="17" s="1"/>
  <c r="G45" i="17" s="1"/>
  <c r="K45" i="17" s="1"/>
  <c r="L45" i="17" s="1"/>
  <c r="L611" i="2"/>
  <c r="U669" i="2"/>
  <c r="U78" i="2"/>
  <c r="W172" i="2"/>
  <c r="X172" i="2" s="1"/>
  <c r="Y172" i="2" s="1"/>
  <c r="W423" i="2"/>
  <c r="X423" i="2" s="1"/>
  <c r="Y423" i="2" s="1"/>
  <c r="Q554" i="2"/>
  <c r="W32" i="2"/>
  <c r="X32" i="2" s="1"/>
  <c r="Y32" i="2" s="1"/>
  <c r="W19" i="2"/>
  <c r="X19" i="2" s="1"/>
  <c r="Y19" i="2" s="1"/>
  <c r="Q306" i="2"/>
  <c r="W195" i="2"/>
  <c r="X195" i="2" s="1"/>
  <c r="Y195" i="2" s="1"/>
  <c r="W374" i="2"/>
  <c r="X374" i="2" s="1"/>
  <c r="Y374" i="2" s="1"/>
  <c r="W214" i="2"/>
  <c r="X214" i="2" s="1"/>
  <c r="Y214" i="2" s="1"/>
  <c r="K420" i="2"/>
  <c r="W388" i="2"/>
  <c r="X388" i="2" s="1"/>
  <c r="Y388" i="2" s="1"/>
  <c r="W106" i="2"/>
  <c r="X106" i="2" s="1"/>
  <c r="Y106" i="2" s="1"/>
  <c r="W115" i="2"/>
  <c r="X115" i="2" s="1"/>
  <c r="Y115" i="2" s="1"/>
  <c r="J306" i="2"/>
  <c r="G29" i="17" s="1"/>
  <c r="M363" i="2"/>
  <c r="M477" i="2"/>
  <c r="R616" i="2"/>
  <c r="W525" i="2"/>
  <c r="X525" i="2" s="1"/>
  <c r="Y525" i="2" s="1"/>
  <c r="W548" i="2"/>
  <c r="X548" i="2" s="1"/>
  <c r="Y548" i="2" s="1"/>
  <c r="W656" i="2"/>
  <c r="X656" i="2" s="1"/>
  <c r="Y656" i="2" s="1"/>
  <c r="W538" i="2"/>
  <c r="X538" i="2" s="1"/>
  <c r="Y538" i="2" s="1"/>
  <c r="I30" i="19"/>
  <c r="W10" i="2"/>
  <c r="X10" i="2" s="1"/>
  <c r="Y10" i="2" s="1"/>
  <c r="W125" i="2"/>
  <c r="X125" i="2" s="1"/>
  <c r="Y125" i="2" s="1"/>
  <c r="W430" i="2"/>
  <c r="X430" i="2" s="1"/>
  <c r="Y430" i="2" s="1"/>
  <c r="W375" i="2"/>
  <c r="X375" i="2" s="1"/>
  <c r="Y375" i="2" s="1"/>
  <c r="W615" i="2"/>
  <c r="X615" i="2" s="1"/>
  <c r="Y615" i="2" s="1"/>
  <c r="W89" i="2"/>
  <c r="X89" i="2" s="1"/>
  <c r="Y89" i="2" s="1"/>
  <c r="H126" i="2"/>
  <c r="F14" i="27" s="1"/>
  <c r="W202" i="2"/>
  <c r="X202" i="2" s="1"/>
  <c r="Y202" i="2" s="1"/>
  <c r="M549" i="2"/>
  <c r="K223" i="2"/>
  <c r="P126" i="2"/>
  <c r="P92" i="2"/>
  <c r="T491" i="2"/>
  <c r="O377" i="2"/>
  <c r="W655" i="2"/>
  <c r="X655" i="2" s="1"/>
  <c r="Y655" i="2" s="1"/>
  <c r="P549" i="2"/>
  <c r="W483" i="2"/>
  <c r="X483" i="2" s="1"/>
  <c r="Y483" i="2" s="1"/>
  <c r="V325" i="2"/>
  <c r="T377" i="2"/>
  <c r="L78" i="2"/>
  <c r="W48" i="2"/>
  <c r="X48" i="2" s="1"/>
  <c r="Y48" i="2" s="1"/>
  <c r="E28" i="19"/>
  <c r="L263" i="2"/>
  <c r="M377" i="2"/>
  <c r="Q13" i="2"/>
  <c r="Q470" i="2"/>
  <c r="I413" i="2"/>
  <c r="Q12" i="2"/>
  <c r="Q468" i="2"/>
  <c r="S154" i="2"/>
  <c r="I468" i="2"/>
  <c r="Q183" i="2"/>
  <c r="Q411" i="2"/>
  <c r="H14" i="26"/>
  <c r="Q527" i="2"/>
  <c r="Q184" i="2"/>
  <c r="I527" i="2"/>
  <c r="T566" i="2"/>
  <c r="N242" i="2"/>
  <c r="N69" i="2"/>
  <c r="N411" i="2"/>
  <c r="U563" i="2"/>
  <c r="V511" i="2"/>
  <c r="O69" i="2"/>
  <c r="I590" i="2"/>
  <c r="Q299" i="2"/>
  <c r="W38" i="2"/>
  <c r="X38" i="2" s="1"/>
  <c r="Y38" i="2" s="1"/>
  <c r="N566" i="2"/>
  <c r="V508" i="2"/>
  <c r="O71" i="2"/>
  <c r="V241" i="2"/>
  <c r="I11" i="2"/>
  <c r="I69" i="2"/>
  <c r="K277" i="2"/>
  <c r="I241" i="2"/>
  <c r="I223" i="2"/>
  <c r="W267" i="2"/>
  <c r="X267" i="2" s="1"/>
  <c r="Y267" i="2" s="1"/>
  <c r="W352" i="2"/>
  <c r="X352" i="2" s="1"/>
  <c r="Y352" i="2" s="1"/>
  <c r="W610" i="2"/>
  <c r="X610" i="2" s="1"/>
  <c r="Y610" i="2" s="1"/>
  <c r="W77" i="2"/>
  <c r="X77" i="2" s="1"/>
  <c r="Y77" i="2" s="1"/>
  <c r="H29" i="26"/>
  <c r="W432" i="2"/>
  <c r="X432" i="2" s="1"/>
  <c r="Y432" i="2" s="1"/>
  <c r="L477" i="2"/>
  <c r="W353" i="2"/>
  <c r="X353" i="2" s="1"/>
  <c r="Y353" i="2" s="1"/>
  <c r="I29" i="19"/>
  <c r="K549" i="2"/>
  <c r="H249" i="2"/>
  <c r="H28" i="19"/>
  <c r="W560" i="2"/>
  <c r="X560" i="2" s="1"/>
  <c r="Y560" i="2" s="1"/>
  <c r="M320" i="2"/>
  <c r="W608" i="2"/>
  <c r="X608" i="2" s="1"/>
  <c r="Y608" i="2" s="1"/>
  <c r="W204" i="2"/>
  <c r="X204" i="2" s="1"/>
  <c r="Y204" i="2" s="1"/>
  <c r="W662" i="2"/>
  <c r="X662" i="2" s="1"/>
  <c r="Y662" i="2" s="1"/>
  <c r="W182" i="2"/>
  <c r="X182" i="2" s="1"/>
  <c r="Y182" i="2" s="1"/>
  <c r="W68" i="2"/>
  <c r="X68" i="2" s="1"/>
  <c r="Y68" i="2" s="1"/>
  <c r="V377" i="2"/>
  <c r="W442" i="2"/>
  <c r="X442" i="2" s="1"/>
  <c r="Y442" i="2" s="1"/>
  <c r="U211" i="2"/>
  <c r="E28" i="25"/>
  <c r="V192" i="2"/>
  <c r="J634" i="2"/>
  <c r="N457" i="2"/>
  <c r="S34" i="2"/>
  <c r="N286" i="2"/>
  <c r="N514" i="2"/>
  <c r="E28" i="21"/>
  <c r="E28" i="26"/>
  <c r="I30" i="21"/>
  <c r="W100" i="2"/>
  <c r="X100" i="2" s="1"/>
  <c r="Y100" i="2" s="1"/>
  <c r="T192" i="2"/>
  <c r="W255" i="2"/>
  <c r="X255" i="2" s="1"/>
  <c r="Y255" i="2" s="1"/>
  <c r="S263" i="2"/>
  <c r="O249" i="2"/>
  <c r="I34" i="2"/>
  <c r="S514" i="2"/>
  <c r="L590" i="2"/>
  <c r="L411" i="2"/>
  <c r="Q240" i="2"/>
  <c r="P283" i="2"/>
  <c r="K355" i="2"/>
  <c r="V796" i="2"/>
  <c r="V797" i="2"/>
  <c r="R549" i="2"/>
  <c r="U796" i="2"/>
  <c r="U797" i="2"/>
  <c r="Q320" i="2"/>
  <c r="W324" i="2"/>
  <c r="X324" i="2" s="1"/>
  <c r="Y324" i="2" s="1"/>
  <c r="T796" i="2"/>
  <c r="T797" i="2"/>
  <c r="W9" i="2"/>
  <c r="X9" i="2" s="1"/>
  <c r="Y9" i="2" s="1"/>
  <c r="W181" i="2"/>
  <c r="X181" i="2" s="1"/>
  <c r="Y181" i="2" s="1"/>
  <c r="W309" i="2"/>
  <c r="X309" i="2" s="1"/>
  <c r="Y309" i="2" s="1"/>
  <c r="V477" i="2"/>
  <c r="W112" i="2"/>
  <c r="X112" i="2" s="1"/>
  <c r="Y112" i="2" s="1"/>
  <c r="W660" i="2"/>
  <c r="X660" i="2" s="1"/>
  <c r="Y660" i="2" s="1"/>
  <c r="H183" i="2"/>
  <c r="F28" i="27" s="1"/>
  <c r="W376" i="2"/>
  <c r="X376" i="2" s="1"/>
  <c r="Y376" i="2" s="1"/>
  <c r="D43" i="20"/>
  <c r="E43" i="20" s="1"/>
  <c r="H92" i="2"/>
  <c r="K377" i="2"/>
  <c r="V799" i="2"/>
  <c r="S535" i="2"/>
  <c r="K249" i="2"/>
  <c r="N78" i="2"/>
  <c r="W252" i="2"/>
  <c r="X252" i="2" s="1"/>
  <c r="Y252" i="2" s="1"/>
  <c r="W328" i="2"/>
  <c r="X328" i="2" s="1"/>
  <c r="Y328" i="2" s="1"/>
  <c r="W663" i="2"/>
  <c r="X663" i="2" s="1"/>
  <c r="Y663" i="2" s="1"/>
  <c r="O549" i="2"/>
  <c r="Q477" i="2"/>
  <c r="W490" i="2"/>
  <c r="X490" i="2" s="1"/>
  <c r="Y490" i="2" s="1"/>
  <c r="K78" i="2"/>
  <c r="I491" i="2"/>
  <c r="S306" i="2"/>
  <c r="W502" i="2"/>
  <c r="X502" i="2" s="1"/>
  <c r="Y502" i="2" s="1"/>
  <c r="O535" i="2"/>
  <c r="K92" i="2"/>
  <c r="I549" i="2"/>
  <c r="H320" i="2"/>
  <c r="H508" i="2"/>
  <c r="H566" i="2"/>
  <c r="W57" i="2"/>
  <c r="X57" i="2" s="1"/>
  <c r="Y57" i="2" s="1"/>
  <c r="W467" i="2"/>
  <c r="X467" i="2" s="1"/>
  <c r="Y467" i="2" s="1"/>
  <c r="W238" i="2"/>
  <c r="X238" i="2" s="1"/>
  <c r="Y238" i="2" s="1"/>
  <c r="W622" i="2"/>
  <c r="X622" i="2" s="1"/>
  <c r="Y622" i="2" s="1"/>
  <c r="I78" i="2"/>
  <c r="J549" i="2"/>
  <c r="J597" i="2"/>
  <c r="P11" i="2"/>
  <c r="P241" i="2"/>
  <c r="V572" i="2"/>
  <c r="W587" i="2"/>
  <c r="X587" i="2" s="1"/>
  <c r="Y587" i="2" s="1"/>
  <c r="W541" i="2"/>
  <c r="X541" i="2" s="1"/>
  <c r="Y541" i="2" s="1"/>
  <c r="I30" i="32"/>
  <c r="W546" i="2"/>
  <c r="X546" i="2" s="1"/>
  <c r="Y546" i="2" s="1"/>
  <c r="W362" i="2"/>
  <c r="X362" i="2" s="1"/>
  <c r="Y362" i="2" s="1"/>
  <c r="R477" i="2"/>
  <c r="W274" i="2"/>
  <c r="X274" i="2" s="1"/>
  <c r="Y274" i="2" s="1"/>
  <c r="L377" i="2"/>
  <c r="R78" i="2"/>
  <c r="T363" i="2"/>
  <c r="W586" i="2"/>
  <c r="X586" i="2" s="1"/>
  <c r="Y586" i="2" s="1"/>
  <c r="U306" i="2"/>
  <c r="R192" i="2"/>
  <c r="U491" i="2"/>
  <c r="Q491" i="2"/>
  <c r="M249" i="2"/>
  <c r="P13" i="2"/>
  <c r="P590" i="2"/>
  <c r="W785" i="2"/>
  <c r="X785" i="2" s="1"/>
  <c r="Y785" i="2" s="1"/>
  <c r="O263" i="2"/>
  <c r="I206" i="2"/>
  <c r="I30" i="26"/>
  <c r="H28" i="25"/>
  <c r="V667" i="2"/>
  <c r="V669" i="2" s="1"/>
  <c r="V704" i="2" s="1"/>
  <c r="I14" i="25"/>
  <c r="I299" i="2"/>
  <c r="K11" i="2"/>
  <c r="I412" i="2"/>
  <c r="V468" i="2"/>
  <c r="K354" i="2"/>
  <c r="V590" i="2"/>
  <c r="K69" i="2"/>
  <c r="K528" i="2"/>
  <c r="I526" i="2"/>
  <c r="K184" i="2"/>
  <c r="K186" i="2" s="1"/>
  <c r="V11" i="2"/>
  <c r="K127" i="2"/>
  <c r="K469" i="2"/>
  <c r="K297" i="2"/>
  <c r="K470" i="2"/>
  <c r="V71" i="2"/>
  <c r="W124" i="2"/>
  <c r="X124" i="2" s="1"/>
  <c r="Y124" i="2" s="1"/>
  <c r="H206" i="2"/>
  <c r="Q249" i="2"/>
  <c r="K477" i="2"/>
  <c r="H597" i="2"/>
  <c r="N377" i="2"/>
  <c r="I470" i="2"/>
  <c r="I13" i="2"/>
  <c r="K590" i="2"/>
  <c r="K128" i="2"/>
  <c r="V470" i="2"/>
  <c r="V526" i="2"/>
  <c r="V12" i="2"/>
  <c r="K71" i="2"/>
  <c r="K413" i="2"/>
  <c r="L280" i="2"/>
  <c r="V588" i="2"/>
  <c r="L631" i="2"/>
  <c r="K299" i="2"/>
  <c r="S477" i="2"/>
  <c r="K391" i="2"/>
  <c r="I589" i="2"/>
  <c r="V13" i="2"/>
  <c r="P569" i="2"/>
  <c r="P394" i="2"/>
  <c r="W51" i="2"/>
  <c r="X51" i="2" s="1"/>
  <c r="Y51" i="2" s="1"/>
  <c r="M206" i="2"/>
  <c r="W534" i="2"/>
  <c r="X534" i="2" s="1"/>
  <c r="Y534" i="2" s="1"/>
  <c r="W305" i="2"/>
  <c r="X305" i="2" s="1"/>
  <c r="Y305" i="2" s="1"/>
  <c r="W595" i="2"/>
  <c r="X595" i="2" s="1"/>
  <c r="Y595" i="2" s="1"/>
  <c r="W466" i="2"/>
  <c r="X466" i="2" s="1"/>
  <c r="Y466" i="2" s="1"/>
  <c r="W553" i="2"/>
  <c r="X553" i="2" s="1"/>
  <c r="Y553" i="2" s="1"/>
  <c r="W557" i="2"/>
  <c r="X557" i="2" s="1"/>
  <c r="Y557" i="2" s="1"/>
  <c r="H549" i="2"/>
  <c r="P320" i="2"/>
  <c r="W381" i="2"/>
  <c r="X381" i="2" s="1"/>
  <c r="Y381" i="2" s="1"/>
  <c r="W596" i="2"/>
  <c r="X596" i="2" s="1"/>
  <c r="Y596" i="2" s="1"/>
  <c r="Q535" i="2"/>
  <c r="T420" i="2"/>
  <c r="S192" i="2"/>
  <c r="P420" i="2"/>
  <c r="I535" i="2"/>
  <c r="W90" i="2"/>
  <c r="X90" i="2" s="1"/>
  <c r="Y90" i="2" s="1"/>
  <c r="S325" i="2"/>
  <c r="J391" i="2"/>
  <c r="H135" i="2"/>
  <c r="G14" i="27" s="1"/>
  <c r="W664" i="2"/>
  <c r="X664" i="2" s="1"/>
  <c r="Y664" i="2" s="1"/>
  <c r="R320" i="2"/>
  <c r="W545" i="2"/>
  <c r="X545" i="2" s="1"/>
  <c r="Y545" i="2" s="1"/>
  <c r="O554" i="2"/>
  <c r="V549" i="2"/>
  <c r="M127" i="2"/>
  <c r="M242" i="2"/>
  <c r="H337" i="2"/>
  <c r="H340" i="2"/>
  <c r="L628" i="2"/>
  <c r="L283" i="2"/>
  <c r="R184" i="2"/>
  <c r="M589" i="2"/>
  <c r="S491" i="2"/>
  <c r="Q149" i="2"/>
  <c r="R20" i="2"/>
  <c r="R658" i="2" s="1"/>
  <c r="R434" i="2"/>
  <c r="Q211" i="2"/>
  <c r="M184" i="2"/>
  <c r="P469" i="2"/>
  <c r="P297" i="2"/>
  <c r="O297" i="2"/>
  <c r="H28" i="20"/>
  <c r="I14" i="26"/>
  <c r="W239" i="2"/>
  <c r="X239" i="2" s="1"/>
  <c r="Y239" i="2" s="1"/>
  <c r="W260" i="2"/>
  <c r="X260" i="2" s="1"/>
  <c r="Y260" i="2" s="1"/>
  <c r="W369" i="2"/>
  <c r="X369" i="2" s="1"/>
  <c r="Y369" i="2" s="1"/>
  <c r="V249" i="2"/>
  <c r="M299" i="2"/>
  <c r="P240" i="2"/>
  <c r="K508" i="2"/>
  <c r="L511" i="2"/>
  <c r="K356" i="2"/>
  <c r="N206" i="2"/>
  <c r="N451" i="2"/>
  <c r="K242" i="2"/>
  <c r="L340" i="2"/>
  <c r="V127" i="2"/>
  <c r="V128" i="2"/>
  <c r="T242" i="2"/>
  <c r="O391" i="2"/>
  <c r="P337" i="2"/>
  <c r="P454" i="2"/>
  <c r="J249" i="2"/>
  <c r="U597" i="2"/>
  <c r="U420" i="2"/>
  <c r="S337" i="2"/>
  <c r="O184" i="2"/>
  <c r="K343" i="2"/>
  <c r="H628" i="2"/>
  <c r="P634" i="2"/>
  <c r="K306" i="2"/>
  <c r="G29" i="19" s="1"/>
  <c r="I20" i="2"/>
  <c r="I658" i="2" s="1"/>
  <c r="D45" i="32" s="1"/>
  <c r="G45" i="32" s="1"/>
  <c r="K45" i="32" s="1"/>
  <c r="L45" i="32" s="1"/>
  <c r="O477" i="2"/>
  <c r="L413" i="2"/>
  <c r="Q127" i="2"/>
  <c r="Q11" i="2"/>
  <c r="Q590" i="2"/>
  <c r="U286" i="2"/>
  <c r="U457" i="2"/>
  <c r="I28" i="19"/>
  <c r="W30" i="2"/>
  <c r="X30" i="2" s="1"/>
  <c r="Y30" i="2" s="1"/>
  <c r="H20" i="2"/>
  <c r="H658" i="2" s="1"/>
  <c r="D45" i="27" s="1"/>
  <c r="G45" i="27" s="1"/>
  <c r="K45" i="27" s="1"/>
  <c r="L45" i="27" s="1"/>
  <c r="W487" i="2"/>
  <c r="X487" i="2" s="1"/>
  <c r="Y487" i="2" s="1"/>
  <c r="W318" i="2"/>
  <c r="X318" i="2" s="1"/>
  <c r="Y318" i="2" s="1"/>
  <c r="W499" i="2"/>
  <c r="X499" i="2" s="1"/>
  <c r="Y499" i="2" s="1"/>
  <c r="V535" i="2"/>
  <c r="N611" i="2"/>
  <c r="S340" i="2"/>
  <c r="S631" i="2"/>
  <c r="T286" i="2"/>
  <c r="Q128" i="2"/>
  <c r="Q298" i="2"/>
  <c r="Q185" i="2"/>
  <c r="N394" i="2"/>
  <c r="Q413" i="2"/>
  <c r="O625" i="2"/>
  <c r="N569" i="2"/>
  <c r="L434" i="2"/>
  <c r="H263" i="2"/>
  <c r="Q69" i="2"/>
  <c r="T20" i="2"/>
  <c r="T658" i="2" s="1"/>
  <c r="T669" i="2" s="1"/>
  <c r="H477" i="2"/>
  <c r="M588" i="2"/>
  <c r="I356" i="2"/>
  <c r="I70" i="2"/>
  <c r="N70" i="2"/>
  <c r="Q355" i="2"/>
  <c r="N413" i="2"/>
  <c r="S394" i="2"/>
  <c r="T589" i="2"/>
  <c r="V299" i="2"/>
  <c r="L355" i="2"/>
  <c r="N184" i="2"/>
  <c r="N240" i="2"/>
  <c r="N528" i="2"/>
  <c r="N241" i="2"/>
  <c r="K241" i="2"/>
  <c r="V69" i="2"/>
  <c r="L508" i="2"/>
  <c r="V354" i="2"/>
  <c r="T241" i="2"/>
  <c r="P184" i="2"/>
  <c r="N12" i="2"/>
  <c r="L337" i="2"/>
  <c r="V242" i="2"/>
  <c r="V411" i="2"/>
  <c r="J363" i="2"/>
  <c r="W385" i="2"/>
  <c r="X385" i="2" s="1"/>
  <c r="Y385" i="2" s="1"/>
  <c r="K20" i="2"/>
  <c r="K658" i="2" s="1"/>
  <c r="D45" i="19" s="1"/>
  <c r="G45" i="19" s="1"/>
  <c r="K45" i="19" s="1"/>
  <c r="L45" i="19" s="1"/>
  <c r="R128" i="2"/>
  <c r="L70" i="2"/>
  <c r="T514" i="2"/>
  <c r="P355" i="2"/>
  <c r="P356" i="2"/>
  <c r="Q356" i="2"/>
  <c r="I71" i="2"/>
  <c r="P412" i="2"/>
  <c r="Q242" i="2"/>
  <c r="P511" i="2"/>
  <c r="L491" i="2"/>
  <c r="L34" i="2"/>
  <c r="P535" i="2"/>
  <c r="N470" i="2"/>
  <c r="I14" i="17"/>
  <c r="S526" i="2"/>
  <c r="R589" i="2"/>
  <c r="W476" i="2"/>
  <c r="X476" i="2" s="1"/>
  <c r="Y476" i="2" s="1"/>
  <c r="P263" i="2"/>
  <c r="L12" i="2"/>
  <c r="L412" i="2"/>
  <c r="P470" i="2"/>
  <c r="P299" i="2"/>
  <c r="U477" i="2"/>
  <c r="N535" i="2"/>
  <c r="V149" i="2"/>
  <c r="P71" i="2"/>
  <c r="L69" i="2"/>
  <c r="P413" i="2"/>
  <c r="D43" i="17"/>
  <c r="E43" i="17" s="1"/>
  <c r="W818" i="2"/>
  <c r="X818" i="2" s="1"/>
  <c r="Y818" i="2" s="1"/>
  <c r="W109" i="2"/>
  <c r="X109" i="2" s="1"/>
  <c r="Y109" i="2" s="1"/>
  <c r="W419" i="2"/>
  <c r="X419" i="2" s="1"/>
  <c r="Y419" i="2" s="1"/>
  <c r="H554" i="2"/>
  <c r="P377" i="2"/>
  <c r="U92" i="2"/>
  <c r="T397" i="2"/>
  <c r="T354" i="2"/>
  <c r="T337" i="2"/>
  <c r="O242" i="2"/>
  <c r="O12" i="2"/>
  <c r="O299" i="2"/>
  <c r="O590" i="2"/>
  <c r="M298" i="2"/>
  <c r="N563" i="2"/>
  <c r="O451" i="2"/>
  <c r="O340" i="2"/>
  <c r="U625" i="2"/>
  <c r="O569" i="2"/>
  <c r="N511" i="2"/>
  <c r="T320" i="2"/>
  <c r="J126" i="2"/>
  <c r="F14" i="17" s="1"/>
  <c r="T249" i="2"/>
  <c r="N549" i="2"/>
  <c r="K34" i="2"/>
  <c r="T457" i="2"/>
  <c r="V451" i="2"/>
  <c r="J14" i="32"/>
  <c r="H29" i="17"/>
  <c r="W665" i="2"/>
  <c r="X665" i="2" s="1"/>
  <c r="Y665" i="2" s="1"/>
  <c r="H14" i="17"/>
  <c r="W296" i="2"/>
  <c r="X296" i="2" s="1"/>
  <c r="Y296" i="2" s="1"/>
  <c r="T206" i="2"/>
  <c r="W409" i="2"/>
  <c r="X409" i="2" s="1"/>
  <c r="Y409" i="2" s="1"/>
  <c r="W488" i="2"/>
  <c r="X488" i="2" s="1"/>
  <c r="Y488" i="2" s="1"/>
  <c r="W533" i="2"/>
  <c r="X533" i="2" s="1"/>
  <c r="Y533" i="2" s="1"/>
  <c r="W547" i="2"/>
  <c r="X547" i="2" s="1"/>
  <c r="Y547" i="2" s="1"/>
  <c r="Q434" i="2"/>
  <c r="S20" i="2"/>
  <c r="S658" i="2" s="1"/>
  <c r="P249" i="2"/>
  <c r="S320" i="2"/>
  <c r="R263" i="2"/>
  <c r="L211" i="2"/>
  <c r="L363" i="2"/>
  <c r="U325" i="2"/>
  <c r="P34" i="2"/>
  <c r="T439" i="2"/>
  <c r="O563" i="2"/>
  <c r="S508" i="2"/>
  <c r="T394" i="2"/>
  <c r="V454" i="2"/>
  <c r="O526" i="2"/>
  <c r="V569" i="2"/>
  <c r="V397" i="2"/>
  <c r="O280" i="2"/>
  <c r="P508" i="2"/>
  <c r="H14" i="19"/>
  <c r="Q20" i="2"/>
  <c r="Q658" i="2" s="1"/>
  <c r="V597" i="2"/>
  <c r="U97" i="2"/>
  <c r="Q420" i="2"/>
  <c r="S549" i="2"/>
  <c r="S511" i="2"/>
  <c r="R298" i="2"/>
  <c r="R240" i="2"/>
  <c r="J277" i="2"/>
  <c r="H30" i="26"/>
  <c r="R363" i="2"/>
  <c r="R588" i="2"/>
  <c r="P572" i="2"/>
  <c r="T277" i="2"/>
  <c r="K563" i="2"/>
  <c r="J563" i="2"/>
  <c r="V340" i="2"/>
  <c r="O397" i="2"/>
  <c r="S92" i="2"/>
  <c r="R590" i="2"/>
  <c r="R185" i="2"/>
  <c r="S229" i="2"/>
  <c r="O354" i="2"/>
  <c r="O468" i="2"/>
  <c r="N469" i="2"/>
  <c r="V123" i="2"/>
  <c r="I30" i="25"/>
  <c r="I92" i="2"/>
  <c r="H34" i="2"/>
  <c r="J394" i="2"/>
  <c r="R394" i="2"/>
  <c r="U411" i="2"/>
  <c r="U356" i="2"/>
  <c r="O70" i="2"/>
  <c r="H14" i="27"/>
  <c r="R569" i="2"/>
  <c r="O411" i="2"/>
  <c r="O566" i="2"/>
  <c r="O394" i="2"/>
  <c r="H29" i="25"/>
  <c r="H29" i="32"/>
  <c r="R283" i="2"/>
  <c r="G508" i="2"/>
  <c r="G451" i="2"/>
  <c r="G394" i="2"/>
  <c r="G477" i="2"/>
  <c r="G397" i="2"/>
  <c r="G566" i="2"/>
  <c r="G631" i="2"/>
  <c r="G223" i="2"/>
  <c r="G325" i="2"/>
  <c r="O634" i="2"/>
  <c r="Q589" i="2"/>
  <c r="O448" i="2"/>
  <c r="I14" i="19"/>
  <c r="K535" i="2"/>
  <c r="S397" i="2"/>
  <c r="S628" i="2"/>
  <c r="H28" i="26"/>
  <c r="U34" i="2"/>
  <c r="H70" i="2"/>
  <c r="Q297" i="2"/>
  <c r="O128" i="2"/>
  <c r="G634" i="2"/>
  <c r="W920" i="2"/>
  <c r="X920" i="2" s="1"/>
  <c r="Y920" i="2" s="1"/>
  <c r="H468" i="2"/>
  <c r="O528" i="2"/>
  <c r="O413" i="2"/>
  <c r="O588" i="2"/>
  <c r="O13" i="2"/>
  <c r="V298" i="2"/>
  <c r="J297" i="2"/>
  <c r="W941" i="2"/>
  <c r="X941" i="2" s="1"/>
  <c r="Y941" i="2" s="1"/>
  <c r="G280" i="2"/>
  <c r="K597" i="2"/>
  <c r="T549" i="2"/>
  <c r="R457" i="2"/>
  <c r="R229" i="2"/>
  <c r="P457" i="2"/>
  <c r="O527" i="2"/>
  <c r="W246" i="2"/>
  <c r="X246" i="2" s="1"/>
  <c r="Y246" i="2" s="1"/>
  <c r="G70" i="2"/>
  <c r="H14" i="20"/>
  <c r="Q340" i="2"/>
  <c r="M412" i="2"/>
  <c r="M411" i="2"/>
  <c r="L240" i="2"/>
  <c r="L526" i="2"/>
  <c r="M469" i="2"/>
  <c r="W585" i="2"/>
  <c r="X585" i="2" s="1"/>
  <c r="Y585" i="2" s="1"/>
  <c r="W431" i="2"/>
  <c r="X431" i="2" s="1"/>
  <c r="Y431" i="2" s="1"/>
  <c r="H28" i="14"/>
  <c r="H30" i="21"/>
  <c r="H29" i="20"/>
  <c r="O268" i="2"/>
  <c r="L549" i="2"/>
  <c r="K340" i="2"/>
  <c r="Q454" i="2"/>
  <c r="K280" i="2"/>
  <c r="M468" i="2"/>
  <c r="L588" i="2"/>
  <c r="L469" i="2"/>
  <c r="L127" i="2"/>
  <c r="M355" i="2"/>
  <c r="K412" i="2"/>
  <c r="K527" i="2"/>
  <c r="M149" i="2"/>
  <c r="H29" i="14"/>
  <c r="H30" i="17"/>
  <c r="T434" i="2"/>
  <c r="J382" i="2"/>
  <c r="J511" i="2"/>
  <c r="M286" i="2"/>
  <c r="M634" i="2"/>
  <c r="K397" i="2"/>
  <c r="K569" i="2"/>
  <c r="K337" i="2"/>
  <c r="L71" i="2"/>
  <c r="M13" i="2"/>
  <c r="H631" i="2"/>
  <c r="V412" i="2"/>
  <c r="G356" i="2"/>
  <c r="G69" i="2"/>
  <c r="H28" i="21"/>
  <c r="W29" i="2"/>
  <c r="X29" i="2" s="1"/>
  <c r="Y29" i="2" s="1"/>
  <c r="I14" i="21"/>
  <c r="J320" i="2"/>
  <c r="W248" i="2"/>
  <c r="X248" i="2" s="1"/>
  <c r="Y248" i="2" s="1"/>
  <c r="V491" i="2"/>
  <c r="J34" i="2"/>
  <c r="J377" i="2"/>
  <c r="Q223" i="2"/>
  <c r="U355" i="2"/>
  <c r="Q337" i="2"/>
  <c r="U12" i="2"/>
  <c r="M514" i="2"/>
  <c r="P588" i="2"/>
  <c r="P527" i="2"/>
  <c r="I563" i="2"/>
  <c r="G527" i="2"/>
  <c r="G183" i="2"/>
  <c r="F28" i="14" s="1"/>
  <c r="W494" i="2"/>
  <c r="X494" i="2" s="1"/>
  <c r="Y494" i="2" s="1"/>
  <c r="N320" i="2"/>
  <c r="P434" i="2"/>
  <c r="Q206" i="2"/>
  <c r="U377" i="2"/>
  <c r="U127" i="2"/>
  <c r="G439" i="2"/>
  <c r="J78" i="2"/>
  <c r="J628" i="2"/>
  <c r="H451" i="2"/>
  <c r="L566" i="2"/>
  <c r="G128" i="2"/>
  <c r="G554" i="2"/>
  <c r="L320" i="2"/>
  <c r="S11" i="2"/>
  <c r="U297" i="2"/>
  <c r="T528" i="2"/>
  <c r="M229" i="2"/>
  <c r="U590" i="2"/>
  <c r="M297" i="2"/>
  <c r="N337" i="2"/>
  <c r="P185" i="2"/>
  <c r="I30" i="20"/>
  <c r="O611" i="2"/>
  <c r="S240" i="2"/>
  <c r="U299" i="2"/>
  <c r="G505" i="2"/>
  <c r="G20" i="2"/>
  <c r="W823" i="2"/>
  <c r="X823" i="2" s="1"/>
  <c r="Y823" i="2" s="1"/>
  <c r="L206" i="2"/>
  <c r="W75" i="2"/>
  <c r="X75" i="2" s="1"/>
  <c r="Y75" i="2" s="1"/>
  <c r="W884" i="2"/>
  <c r="X884" i="2" s="1"/>
  <c r="Y884" i="2" s="1"/>
  <c r="U354" i="2"/>
  <c r="W594" i="2"/>
  <c r="X594" i="2" s="1"/>
  <c r="Y594" i="2" s="1"/>
  <c r="G211" i="2"/>
  <c r="G154" i="2"/>
  <c r="G382" i="2"/>
  <c r="G192" i="2"/>
  <c r="G28" i="14" s="1"/>
  <c r="V942" i="2"/>
  <c r="V943" i="2" s="1"/>
  <c r="I30" i="17"/>
  <c r="T298" i="2"/>
  <c r="T70" i="2"/>
  <c r="R69" i="2"/>
  <c r="T505" i="2"/>
  <c r="J14" i="14"/>
  <c r="H885" i="2"/>
  <c r="H886" i="2" s="1"/>
  <c r="H180" i="2" s="1"/>
  <c r="E28" i="27" s="1"/>
  <c r="H30" i="25"/>
  <c r="I28" i="17"/>
  <c r="G241" i="2"/>
  <c r="G13" i="2"/>
  <c r="G355" i="2"/>
  <c r="V408" i="2"/>
  <c r="I28" i="26"/>
  <c r="H491" i="2"/>
  <c r="N631" i="2"/>
  <c r="V896" i="2"/>
  <c r="V294" i="2"/>
  <c r="W190" i="2"/>
  <c r="X190" i="2" s="1"/>
  <c r="Y190" i="2" s="1"/>
  <c r="I28" i="21"/>
  <c r="G34" i="2"/>
  <c r="I320" i="2"/>
  <c r="I29" i="32"/>
  <c r="G78" i="2"/>
  <c r="W95" i="2"/>
  <c r="X95" i="2" s="1"/>
  <c r="Y95" i="2" s="1"/>
  <c r="W317" i="2"/>
  <c r="X317" i="2" s="1"/>
  <c r="Y317" i="2" s="1"/>
  <c r="H29" i="19"/>
  <c r="K325" i="2"/>
  <c r="V66" i="2"/>
  <c r="I28" i="20"/>
  <c r="H14" i="21"/>
  <c r="H29" i="21"/>
  <c r="G206" i="2"/>
  <c r="W465" i="2"/>
  <c r="X465" i="2" s="1"/>
  <c r="Y465" i="2" s="1"/>
  <c r="W438" i="2"/>
  <c r="X438" i="2" s="1"/>
  <c r="Y438" i="2" s="1"/>
  <c r="G377" i="2"/>
  <c r="G411" i="2"/>
  <c r="P206" i="2"/>
  <c r="I28" i="27"/>
  <c r="W18" i="2"/>
  <c r="X18" i="2" s="1"/>
  <c r="Y18" i="2" s="1"/>
  <c r="W351" i="2"/>
  <c r="X351" i="2" s="1"/>
  <c r="Y351" i="2" s="1"/>
  <c r="W31" i="2"/>
  <c r="X31" i="2" s="1"/>
  <c r="Y31" i="2" s="1"/>
  <c r="I28" i="25"/>
  <c r="W872" i="2"/>
  <c r="X872" i="2" s="1"/>
  <c r="Y872" i="2" s="1"/>
  <c r="W815" i="2"/>
  <c r="X815" i="2" s="1"/>
  <c r="Y815" i="2" s="1"/>
  <c r="G12" i="2"/>
  <c r="J325" i="2"/>
  <c r="G921" i="2"/>
  <c r="P242" i="2"/>
  <c r="K320" i="2"/>
  <c r="V936" i="2"/>
  <c r="V331" i="2" s="1"/>
  <c r="W331" i="2" s="1"/>
  <c r="X331" i="2" s="1"/>
  <c r="Y331" i="2" s="1"/>
  <c r="V939" i="2"/>
  <c r="I149" i="2"/>
  <c r="H14" i="32"/>
  <c r="W189" i="2"/>
  <c r="X189" i="2" s="1"/>
  <c r="Y189" i="2" s="1"/>
  <c r="W360" i="2"/>
  <c r="X360" i="2" s="1"/>
  <c r="Y360" i="2" s="1"/>
  <c r="G363" i="2"/>
  <c r="K44" i="26"/>
  <c r="L44" i="26" s="1"/>
  <c r="K44" i="20"/>
  <c r="L44" i="20" s="1"/>
  <c r="W523" i="2"/>
  <c r="X523" i="2" s="1"/>
  <c r="Y523" i="2" s="1"/>
  <c r="K44" i="17"/>
  <c r="L44" i="17" s="1"/>
  <c r="W475" i="2"/>
  <c r="X475" i="2" s="1"/>
  <c r="Y475" i="2" s="1"/>
  <c r="E28" i="14"/>
  <c r="E14" i="21"/>
  <c r="W258" i="2"/>
  <c r="X258" i="2" s="1"/>
  <c r="Y258" i="2" s="1"/>
  <c r="G263" i="2"/>
  <c r="W864" i="2"/>
  <c r="X864" i="2" s="1"/>
  <c r="Y864" i="2" s="1"/>
  <c r="G865" i="2"/>
  <c r="K44" i="19"/>
  <c r="L44" i="19" s="1"/>
  <c r="H28" i="27"/>
  <c r="G915" i="2"/>
  <c r="W914" i="2"/>
  <c r="X914" i="2" s="1"/>
  <c r="Y914" i="2" s="1"/>
  <c r="K44" i="25"/>
  <c r="L44" i="25" s="1"/>
  <c r="G217" i="2"/>
  <c r="H28" i="17"/>
  <c r="D44" i="14"/>
  <c r="F44" i="14" s="1"/>
  <c r="K44" i="21"/>
  <c r="L44" i="21" s="1"/>
  <c r="W654" i="2"/>
  <c r="X654" i="2" s="1"/>
  <c r="Y654" i="2" s="1"/>
  <c r="G412" i="2"/>
  <c r="G185" i="2"/>
  <c r="W315" i="2"/>
  <c r="X315" i="2" s="1"/>
  <c r="Y315" i="2" s="1"/>
  <c r="G496" i="2"/>
  <c r="G420" i="2"/>
  <c r="W417" i="2"/>
  <c r="X417" i="2" s="1"/>
  <c r="Y417" i="2" s="1"/>
  <c r="D43" i="14"/>
  <c r="W266" i="2"/>
  <c r="X266" i="2" s="1"/>
  <c r="Y266" i="2" s="1"/>
  <c r="G268" i="2"/>
  <c r="G943" i="2"/>
  <c r="E28" i="20"/>
  <c r="W145" i="2"/>
  <c r="X145" i="2" s="1"/>
  <c r="Y145" i="2" s="1"/>
  <c r="H14" i="14"/>
  <c r="W17" i="2"/>
  <c r="X17" i="2" s="1"/>
  <c r="Y17" i="2" s="1"/>
  <c r="V889" i="2"/>
  <c r="V180" i="2"/>
  <c r="O434" i="2"/>
  <c r="G92" i="2"/>
  <c r="W437" i="2"/>
  <c r="X437" i="2" s="1"/>
  <c r="Y437" i="2" s="1"/>
  <c r="G514" i="2"/>
  <c r="G343" i="2"/>
  <c r="G572" i="2"/>
  <c r="W203" i="2"/>
  <c r="X203" i="2" s="1"/>
  <c r="Y203" i="2" s="1"/>
  <c r="W132" i="2"/>
  <c r="X132" i="2" s="1"/>
  <c r="Y132" i="2" s="1"/>
  <c r="W821" i="2"/>
  <c r="X821" i="2" s="1"/>
  <c r="Y821" i="2" s="1"/>
  <c r="W863" i="2"/>
  <c r="X863" i="2" s="1"/>
  <c r="Y863" i="2" s="1"/>
  <c r="G249" i="2"/>
  <c r="E14" i="25"/>
  <c r="W927" i="2"/>
  <c r="X927" i="2" s="1"/>
  <c r="Y927" i="2" s="1"/>
  <c r="M325" i="2"/>
  <c r="E14" i="19"/>
  <c r="G306" i="2"/>
  <c r="W372" i="2"/>
  <c r="X372" i="2" s="1"/>
  <c r="Y372" i="2" s="1"/>
  <c r="G240" i="2"/>
  <c r="G589" i="2"/>
  <c r="G11" i="2"/>
  <c r="G126" i="2"/>
  <c r="G71" i="2"/>
  <c r="G590" i="2"/>
  <c r="G588" i="2"/>
  <c r="G184" i="2"/>
  <c r="G298" i="2"/>
  <c r="G354" i="2"/>
  <c r="G413" i="2"/>
  <c r="G470" i="2"/>
  <c r="G528" i="2"/>
  <c r="G468" i="2"/>
  <c r="G127" i="2"/>
  <c r="M439" i="2"/>
  <c r="G597" i="2"/>
  <c r="K149" i="2"/>
  <c r="E28" i="32"/>
  <c r="G526" i="2"/>
  <c r="W891" i="2"/>
  <c r="X891" i="2" s="1"/>
  <c r="Y891" i="2" s="1"/>
  <c r="G892" i="2"/>
  <c r="W87" i="2"/>
  <c r="X87" i="2" s="1"/>
  <c r="Y87" i="2" s="1"/>
  <c r="W532" i="2"/>
  <c r="X532" i="2" s="1"/>
  <c r="Y532" i="2" s="1"/>
  <c r="V915" i="2"/>
  <c r="V103" i="2" s="1"/>
  <c r="V918" i="2"/>
  <c r="G448" i="2"/>
  <c r="G625" i="2"/>
  <c r="G229" i="2"/>
  <c r="W198" i="2"/>
  <c r="X198" i="2" s="1"/>
  <c r="Y198" i="2" s="1"/>
  <c r="W312" i="2"/>
  <c r="X312" i="2" s="1"/>
  <c r="Y312" i="2" s="1"/>
  <c r="I28" i="32"/>
  <c r="G457" i="2"/>
  <c r="W146" i="2"/>
  <c r="X146" i="2" s="1"/>
  <c r="Y146" i="2" s="1"/>
  <c r="W552" i="2"/>
  <c r="X552" i="2" s="1"/>
  <c r="Y552" i="2" s="1"/>
  <c r="G299" i="2"/>
  <c r="W913" i="2"/>
  <c r="X913" i="2" s="1"/>
  <c r="Y913" i="2" s="1"/>
  <c r="G242" i="2"/>
  <c r="G97" i="2"/>
  <c r="I439" i="2"/>
  <c r="H30" i="32"/>
  <c r="W380" i="2"/>
  <c r="X380" i="2" s="1"/>
  <c r="Y380" i="2" s="1"/>
  <c r="G149" i="2"/>
  <c r="W144" i="2"/>
  <c r="X144" i="2" s="1"/>
  <c r="Y144" i="2" s="1"/>
  <c r="W898" i="2"/>
  <c r="X898" i="2" s="1"/>
  <c r="Y898" i="2" s="1"/>
  <c r="G616" i="2"/>
  <c r="V929" i="2"/>
  <c r="V217" i="2" s="1"/>
  <c r="V932" i="2"/>
  <c r="G908" i="2"/>
  <c r="W907" i="2"/>
  <c r="X907" i="2" s="1"/>
  <c r="Y907" i="2" s="1"/>
  <c r="K434" i="2"/>
  <c r="G220" i="2"/>
  <c r="W928" i="2"/>
  <c r="X928" i="2" s="1"/>
  <c r="Y928" i="2" s="1"/>
  <c r="W201" i="2"/>
  <c r="X201" i="2" s="1"/>
  <c r="Y201" i="2" s="1"/>
  <c r="W651" i="2"/>
  <c r="X651" i="2" s="1"/>
  <c r="Y651" i="2" s="1"/>
  <c r="W652" i="2"/>
  <c r="X652" i="2" s="1"/>
  <c r="Y652" i="2" s="1"/>
  <c r="W166" i="2"/>
  <c r="X166" i="2" s="1"/>
  <c r="Y166" i="2" s="1"/>
  <c r="G277" i="2"/>
  <c r="G611" i="2"/>
  <c r="G286" i="2"/>
  <c r="G469" i="2"/>
  <c r="G320" i="2"/>
  <c r="G334" i="2"/>
  <c r="G511" i="2"/>
  <c r="G569" i="2"/>
  <c r="G340" i="2"/>
  <c r="G226" i="2"/>
  <c r="G454" i="2"/>
  <c r="G337" i="2"/>
  <c r="G283" i="2"/>
  <c r="W209" i="2"/>
  <c r="X209" i="2" s="1"/>
  <c r="Y209" i="2" s="1"/>
  <c r="W659" i="2"/>
  <c r="X659" i="2" s="1"/>
  <c r="Y659" i="2" s="1"/>
  <c r="G628" i="2"/>
  <c r="G391" i="2"/>
  <c r="G899" i="2"/>
  <c r="G39" i="2"/>
  <c r="T149" i="2"/>
  <c r="W877" i="2"/>
  <c r="X877" i="2" s="1"/>
  <c r="Y877" i="2" s="1"/>
  <c r="W871" i="2"/>
  <c r="X871" i="2" s="1"/>
  <c r="Y871" i="2" s="1"/>
  <c r="W486" i="2"/>
  <c r="X486" i="2" s="1"/>
  <c r="Y486" i="2" s="1"/>
  <c r="J206" i="2"/>
  <c r="K44" i="32"/>
  <c r="L44" i="32" s="1"/>
  <c r="O149" i="2"/>
  <c r="W152" i="2"/>
  <c r="X152" i="2" s="1"/>
  <c r="Y152" i="2" s="1"/>
  <c r="W237" i="2"/>
  <c r="X237" i="2" s="1"/>
  <c r="Y237" i="2" s="1"/>
  <c r="W934" i="2"/>
  <c r="X934" i="2" s="1"/>
  <c r="Y934" i="2" s="1"/>
  <c r="W323" i="2"/>
  <c r="X323" i="2" s="1"/>
  <c r="Y323" i="2" s="1"/>
  <c r="L149" i="2"/>
  <c r="I29" i="26"/>
  <c r="G135" i="2"/>
  <c r="I29" i="17"/>
  <c r="G878" i="2"/>
  <c r="H30" i="20"/>
  <c r="G549" i="2"/>
  <c r="W544" i="2"/>
  <c r="X544" i="2" s="1"/>
  <c r="Y544" i="2" s="1"/>
  <c r="W614" i="2"/>
  <c r="X614" i="2" s="1"/>
  <c r="Y614" i="2" s="1"/>
  <c r="G535" i="2"/>
  <c r="W474" i="2"/>
  <c r="X474" i="2" s="1"/>
  <c r="Y474" i="2" s="1"/>
  <c r="W935" i="2"/>
  <c r="X935" i="2" s="1"/>
  <c r="Y935" i="2" s="1"/>
  <c r="W37" i="2"/>
  <c r="X37" i="2" s="1"/>
  <c r="Y37" i="2" s="1"/>
  <c r="W870" i="2"/>
  <c r="X870" i="2" s="1"/>
  <c r="Y870" i="2" s="1"/>
  <c r="W906" i="2"/>
  <c r="X906" i="2" s="1"/>
  <c r="Y906" i="2" s="1"/>
  <c r="I29" i="14"/>
  <c r="G491" i="2"/>
  <c r="V908" i="2"/>
  <c r="V45" i="2" s="1"/>
  <c r="V911" i="2"/>
  <c r="H30" i="27"/>
  <c r="K44" i="27"/>
  <c r="L44" i="27" s="1"/>
  <c r="O320" i="2"/>
  <c r="I434" i="2"/>
  <c r="H30" i="14"/>
  <c r="I29" i="25"/>
  <c r="I14" i="32"/>
  <c r="K206" i="2"/>
  <c r="J434" i="2"/>
  <c r="W606" i="2"/>
  <c r="X606" i="2" s="1"/>
  <c r="Y606" i="2" s="1"/>
  <c r="V922" i="2"/>
  <c r="V160" i="2" s="1"/>
  <c r="V925" i="2"/>
  <c r="G434" i="2"/>
  <c r="W429" i="2"/>
  <c r="X429" i="2" s="1"/>
  <c r="Y429" i="2" s="1"/>
  <c r="W303" i="2"/>
  <c r="X303" i="2" s="1"/>
  <c r="Y303" i="2" s="1"/>
  <c r="W426" i="2"/>
  <c r="X426" i="2" s="1"/>
  <c r="Y426" i="2" s="1"/>
  <c r="H434" i="2"/>
  <c r="I30" i="27"/>
  <c r="I14" i="27"/>
  <c r="I29" i="27"/>
  <c r="H30" i="19"/>
  <c r="J149" i="2"/>
  <c r="M434" i="2"/>
  <c r="N149" i="2"/>
  <c r="H29" i="27"/>
  <c r="N434" i="2"/>
  <c r="P149" i="2"/>
  <c r="H149" i="2"/>
  <c r="M280" i="2"/>
  <c r="M451" i="2"/>
  <c r="M508" i="2"/>
  <c r="M569" i="2"/>
  <c r="M397" i="2"/>
  <c r="M283" i="2"/>
  <c r="M566" i="2"/>
  <c r="M628" i="2"/>
  <c r="M454" i="2"/>
  <c r="M511" i="2"/>
  <c r="M337" i="2"/>
  <c r="L457" i="2"/>
  <c r="L400" i="2"/>
  <c r="L229" i="2"/>
  <c r="L572" i="2"/>
  <c r="L514" i="2"/>
  <c r="L286" i="2"/>
  <c r="L277" i="2"/>
  <c r="L625" i="2"/>
  <c r="L505" i="2"/>
  <c r="L391" i="2"/>
  <c r="L334" i="2"/>
  <c r="L220" i="2"/>
  <c r="L448" i="2"/>
  <c r="I566" i="2"/>
  <c r="I454" i="2"/>
  <c r="I569" i="2"/>
  <c r="S297" i="2"/>
  <c r="I514" i="2"/>
  <c r="L343" i="2"/>
  <c r="I397" i="2"/>
  <c r="H400" i="2"/>
  <c r="H229" i="2"/>
  <c r="H514" i="2"/>
  <c r="H457" i="2"/>
  <c r="H286" i="2"/>
  <c r="H572" i="2"/>
  <c r="H343" i="2"/>
  <c r="O457" i="2"/>
  <c r="O343" i="2"/>
  <c r="O286" i="2"/>
  <c r="O400" i="2"/>
  <c r="O229" i="2"/>
  <c r="S183" i="2"/>
  <c r="O572" i="2"/>
  <c r="M277" i="2"/>
  <c r="M505" i="2"/>
  <c r="M220" i="2"/>
  <c r="M448" i="2"/>
  <c r="M334" i="2"/>
  <c r="M391" i="2"/>
  <c r="M625" i="2"/>
  <c r="M563" i="2"/>
  <c r="P334" i="2"/>
  <c r="P277" i="2"/>
  <c r="P625" i="2"/>
  <c r="P220" i="2"/>
  <c r="P448" i="2"/>
  <c r="P505" i="2"/>
  <c r="P391" i="2"/>
  <c r="S412" i="2"/>
  <c r="I343" i="2"/>
  <c r="I229" i="2"/>
  <c r="I572" i="2"/>
  <c r="I634" i="2"/>
  <c r="M340" i="2"/>
  <c r="J590" i="2"/>
  <c r="J241" i="2"/>
  <c r="J185" i="2"/>
  <c r="J413" i="2"/>
  <c r="J11" i="2"/>
  <c r="J469" i="2"/>
  <c r="J242" i="2"/>
  <c r="J71" i="2"/>
  <c r="J69" i="2"/>
  <c r="J354" i="2"/>
  <c r="J184" i="2"/>
  <c r="J527" i="2"/>
  <c r="J412" i="2"/>
  <c r="J240" i="2"/>
  <c r="J526" i="2"/>
  <c r="J355" i="2"/>
  <c r="J470" i="2"/>
  <c r="J128" i="2"/>
  <c r="J298" i="2"/>
  <c r="J127" i="2"/>
  <c r="J411" i="2"/>
  <c r="J589" i="2"/>
  <c r="J356" i="2"/>
  <c r="J588" i="2"/>
  <c r="Q286" i="2"/>
  <c r="Q634" i="2"/>
  <c r="Q229" i="2"/>
  <c r="Q514" i="2"/>
  <c r="Q572" i="2"/>
  <c r="Q343" i="2"/>
  <c r="Q457" i="2"/>
  <c r="Q400" i="2"/>
  <c r="H470" i="2"/>
  <c r="H240" i="2"/>
  <c r="H413" i="2"/>
  <c r="H298" i="2"/>
  <c r="H589" i="2"/>
  <c r="H412" i="2"/>
  <c r="H469" i="2"/>
  <c r="H527" i="2"/>
  <c r="H241" i="2"/>
  <c r="H588" i="2"/>
  <c r="H127" i="2"/>
  <c r="H13" i="2"/>
  <c r="H297" i="2"/>
  <c r="H299" i="2"/>
  <c r="H128" i="2"/>
  <c r="H69" i="2"/>
  <c r="H185" i="2"/>
  <c r="H356" i="2"/>
  <c r="H242" i="2"/>
  <c r="H528" i="2"/>
  <c r="H11" i="2"/>
  <c r="H12" i="2"/>
  <c r="H355" i="2"/>
  <c r="H354" i="2"/>
  <c r="H526" i="2"/>
  <c r="H411" i="2"/>
  <c r="H71" i="2"/>
  <c r="R343" i="2"/>
  <c r="R286" i="2"/>
  <c r="R634" i="2"/>
  <c r="R400" i="2"/>
  <c r="R514" i="2"/>
  <c r="S413" i="2"/>
  <c r="M394" i="2"/>
  <c r="J299" i="2"/>
  <c r="J528" i="2"/>
  <c r="I286" i="2"/>
  <c r="J468" i="2"/>
  <c r="S298" i="2"/>
  <c r="S470" i="2"/>
  <c r="S13" i="2"/>
  <c r="S588" i="2"/>
  <c r="S128" i="2"/>
  <c r="S528" i="2"/>
  <c r="S185" i="2"/>
  <c r="S184" i="2"/>
  <c r="S126" i="2"/>
  <c r="S70" i="2"/>
  <c r="S354" i="2"/>
  <c r="S468" i="2"/>
  <c r="S356" i="2"/>
  <c r="S589" i="2"/>
  <c r="S127" i="2"/>
  <c r="S355" i="2"/>
  <c r="S71" i="2"/>
  <c r="S590" i="2"/>
  <c r="S299" i="2"/>
  <c r="S241" i="2"/>
  <c r="S469" i="2"/>
  <c r="S69" i="2"/>
  <c r="S242" i="2"/>
  <c r="S527" i="2"/>
  <c r="S411" i="2"/>
  <c r="I280" i="2"/>
  <c r="I337" i="2"/>
  <c r="I508" i="2"/>
  <c r="I628" i="2"/>
  <c r="I394" i="2"/>
  <c r="I451" i="2"/>
  <c r="I631" i="2"/>
  <c r="I283" i="2"/>
  <c r="I340" i="2"/>
  <c r="J70" i="2"/>
  <c r="M631" i="2"/>
  <c r="I457" i="2"/>
  <c r="H184" i="2"/>
  <c r="J12" i="2"/>
  <c r="Q280" i="2"/>
  <c r="Q511" i="2"/>
  <c r="Q283" i="2"/>
  <c r="Q566" i="2"/>
  <c r="Q397" i="2"/>
  <c r="U280" i="2"/>
  <c r="U223" i="2"/>
  <c r="U451" i="2"/>
  <c r="U397" i="2"/>
  <c r="U631" i="2"/>
  <c r="U283" i="2"/>
  <c r="J283" i="2"/>
  <c r="J337" i="2"/>
  <c r="J454" i="2"/>
  <c r="U11" i="2"/>
  <c r="R511" i="2"/>
  <c r="R280" i="2"/>
  <c r="R223" i="2"/>
  <c r="R126" i="2"/>
  <c r="R183" i="2"/>
  <c r="R127" i="2"/>
  <c r="R11" i="2"/>
  <c r="R527" i="2"/>
  <c r="R355" i="2"/>
  <c r="R469" i="2"/>
  <c r="U468" i="2"/>
  <c r="T468" i="2"/>
  <c r="V277" i="2"/>
  <c r="V220" i="2"/>
  <c r="V391" i="2"/>
  <c r="V448" i="2"/>
  <c r="V625" i="2"/>
  <c r="U569" i="2"/>
  <c r="K566" i="2"/>
  <c r="K628" i="2"/>
  <c r="K283" i="2"/>
  <c r="K454" i="2"/>
  <c r="U508" i="2"/>
  <c r="S343" i="2"/>
  <c r="R566" i="2"/>
  <c r="P286" i="2"/>
  <c r="R454" i="2"/>
  <c r="H448" i="2"/>
  <c r="H505" i="2"/>
  <c r="H220" i="2"/>
  <c r="H625" i="2"/>
  <c r="H334" i="2"/>
  <c r="H391" i="2"/>
  <c r="H277" i="2"/>
  <c r="H563" i="2"/>
  <c r="S569" i="2"/>
  <c r="J569" i="2"/>
  <c r="P343" i="2"/>
  <c r="T400" i="2"/>
  <c r="R413" i="2"/>
  <c r="K334" i="2"/>
  <c r="K625" i="2"/>
  <c r="K220" i="2"/>
  <c r="K448" i="2"/>
  <c r="T526" i="2"/>
  <c r="J631" i="2"/>
  <c r="L589" i="2"/>
  <c r="Q451" i="2"/>
  <c r="M185" i="2"/>
  <c r="M470" i="2"/>
  <c r="M12" i="2"/>
  <c r="M590" i="2"/>
  <c r="M356" i="2"/>
  <c r="M413" i="2"/>
  <c r="M527" i="2"/>
  <c r="M240" i="2"/>
  <c r="J397" i="2"/>
  <c r="L356" i="2"/>
  <c r="L11" i="2"/>
  <c r="T283" i="2"/>
  <c r="T451" i="2"/>
  <c r="T628" i="2"/>
  <c r="T631" i="2"/>
  <c r="T280" i="2"/>
  <c r="T569" i="2"/>
  <c r="T69" i="2"/>
  <c r="K511" i="2"/>
  <c r="R468" i="2"/>
  <c r="Q628" i="2"/>
  <c r="Q526" i="2"/>
  <c r="Q469" i="2"/>
  <c r="Q71" i="2"/>
  <c r="Q528" i="2"/>
  <c r="L354" i="2"/>
  <c r="T527" i="2"/>
  <c r="R356" i="2"/>
  <c r="I240" i="2"/>
  <c r="I588" i="2"/>
  <c r="I184" i="2"/>
  <c r="I355" i="2"/>
  <c r="I127" i="2"/>
  <c r="I242" i="2"/>
  <c r="I297" i="2"/>
  <c r="I469" i="2"/>
  <c r="I128" i="2"/>
  <c r="I354" i="2"/>
  <c r="I298" i="2"/>
  <c r="I12" i="2"/>
  <c r="M69" i="2"/>
  <c r="P468" i="2"/>
  <c r="P70" i="2"/>
  <c r="M343" i="2"/>
  <c r="S400" i="2"/>
  <c r="S286" i="2"/>
  <c r="U412" i="2"/>
  <c r="U184" i="2"/>
  <c r="U413" i="2"/>
  <c r="V563" i="2"/>
  <c r="Q569" i="2"/>
  <c r="T334" i="2"/>
  <c r="T625" i="2"/>
  <c r="T448" i="2"/>
  <c r="R508" i="2"/>
  <c r="Q508" i="2"/>
  <c r="L241" i="2"/>
  <c r="U242" i="2"/>
  <c r="U511" i="2"/>
  <c r="R354" i="2"/>
  <c r="P229" i="2"/>
  <c r="V400" i="2"/>
  <c r="V343" i="2"/>
  <c r="V634" i="2"/>
  <c r="V229" i="2"/>
  <c r="V514" i="2"/>
  <c r="K514" i="2"/>
  <c r="M11" i="2"/>
  <c r="U566" i="2"/>
  <c r="K286" i="2"/>
  <c r="M528" i="2"/>
  <c r="S451" i="2"/>
  <c r="T508" i="2"/>
  <c r="M70" i="2"/>
  <c r="T71" i="2"/>
  <c r="R470" i="2"/>
  <c r="M128" i="2"/>
  <c r="T391" i="2"/>
  <c r="O220" i="2"/>
  <c r="O505" i="2"/>
  <c r="O334" i="2"/>
  <c r="T297" i="2"/>
  <c r="R451" i="2"/>
  <c r="R397" i="2"/>
  <c r="K631" i="2"/>
  <c r="R70" i="2"/>
  <c r="K400" i="2"/>
  <c r="M71" i="2"/>
  <c r="Q241" i="2"/>
  <c r="U628" i="2"/>
  <c r="T454" i="2"/>
  <c r="Q412" i="2"/>
  <c r="L128" i="2"/>
  <c r="U528" i="2"/>
  <c r="U13" i="2"/>
  <c r="U527" i="2"/>
  <c r="U241" i="2"/>
  <c r="U126" i="2"/>
  <c r="U240" i="2"/>
  <c r="U185" i="2"/>
  <c r="U128" i="2"/>
  <c r="U70" i="2"/>
  <c r="U526" i="2"/>
  <c r="U589" i="2"/>
  <c r="M400" i="2"/>
  <c r="U394" i="2"/>
  <c r="S220" i="2"/>
  <c r="U298" i="2"/>
  <c r="K572" i="2"/>
  <c r="T355" i="2"/>
  <c r="R337" i="2"/>
  <c r="T411" i="2"/>
  <c r="K451" i="2"/>
  <c r="R241" i="2"/>
  <c r="P128" i="2"/>
  <c r="P528" i="2"/>
  <c r="P589" i="2"/>
  <c r="P69" i="2"/>
  <c r="P12" i="2"/>
  <c r="L527" i="2"/>
  <c r="P411" i="2"/>
  <c r="Q631" i="2"/>
  <c r="L13" i="2"/>
  <c r="P514" i="2"/>
  <c r="R411" i="2"/>
  <c r="P127" i="2"/>
  <c r="J566" i="2"/>
  <c r="J340" i="2"/>
  <c r="U337" i="2"/>
  <c r="J508" i="2"/>
  <c r="T356" i="2"/>
  <c r="Q354" i="2"/>
  <c r="Q70" i="2"/>
  <c r="S572" i="2"/>
  <c r="J505" i="2"/>
  <c r="J625" i="2"/>
  <c r="J334" i="2"/>
  <c r="J220" i="2"/>
  <c r="R526" i="2"/>
  <c r="R628" i="2"/>
  <c r="R340" i="2"/>
  <c r="T229" i="2"/>
  <c r="U340" i="2"/>
  <c r="M526" i="2"/>
  <c r="P526" i="2"/>
  <c r="K457" i="2"/>
  <c r="M241" i="2"/>
  <c r="P354" i="2"/>
  <c r="T12" i="2"/>
  <c r="T588" i="2"/>
  <c r="T128" i="2"/>
  <c r="T470" i="2"/>
  <c r="T13" i="2"/>
  <c r="T240" i="2"/>
  <c r="T469" i="2"/>
  <c r="T590" i="2"/>
  <c r="T127" i="2"/>
  <c r="T11" i="2"/>
  <c r="R242" i="2"/>
  <c r="S277" i="2"/>
  <c r="S334" i="2"/>
  <c r="S391" i="2"/>
  <c r="S505" i="2"/>
  <c r="S563" i="2"/>
  <c r="S448" i="2"/>
  <c r="U469" i="2"/>
  <c r="R297" i="2"/>
  <c r="U183" i="2"/>
  <c r="R13" i="2"/>
  <c r="S223" i="2"/>
  <c r="S454" i="2"/>
  <c r="S566" i="2"/>
  <c r="T343" i="2"/>
  <c r="S280" i="2"/>
  <c r="L297" i="2"/>
  <c r="L298" i="2"/>
  <c r="L528" i="2"/>
  <c r="L470" i="2"/>
  <c r="L242" i="2"/>
  <c r="L185" i="2"/>
  <c r="L184" i="2"/>
  <c r="R299" i="2"/>
  <c r="J280" i="2"/>
  <c r="U454" i="2"/>
  <c r="L468" i="2"/>
  <c r="V334" i="2"/>
  <c r="U71" i="2"/>
  <c r="R12" i="2"/>
  <c r="I625" i="2"/>
  <c r="I448" i="2"/>
  <c r="I277" i="2"/>
  <c r="I220" i="2"/>
  <c r="I334" i="2"/>
  <c r="T220" i="2"/>
  <c r="K634" i="2"/>
  <c r="R412" i="2"/>
  <c r="T299" i="2"/>
  <c r="T634" i="2"/>
  <c r="R528" i="2"/>
  <c r="U588" i="2"/>
  <c r="S634" i="2"/>
  <c r="M572" i="2"/>
  <c r="T185" i="2"/>
  <c r="T412" i="2"/>
  <c r="U470" i="2"/>
  <c r="T184" i="2"/>
  <c r="I391" i="2"/>
  <c r="V457" i="2"/>
  <c r="H397" i="2"/>
  <c r="O412" i="2"/>
  <c r="O469" i="2"/>
  <c r="N127" i="2"/>
  <c r="N454" i="2"/>
  <c r="O11" i="2"/>
  <c r="N277" i="2"/>
  <c r="N334" i="2"/>
  <c r="N220" i="2"/>
  <c r="N625" i="2"/>
  <c r="N283" i="2"/>
  <c r="N13" i="2"/>
  <c r="N412" i="2"/>
  <c r="V226" i="2"/>
  <c r="N297" i="2"/>
  <c r="O241" i="2"/>
  <c r="U514" i="2"/>
  <c r="H394" i="2"/>
  <c r="H454" i="2"/>
  <c r="N526" i="2"/>
  <c r="N628" i="2"/>
  <c r="U343" i="2"/>
  <c r="H283" i="2"/>
  <c r="V283" i="2"/>
  <c r="O127" i="2"/>
  <c r="U277" i="2"/>
  <c r="U220" i="2"/>
  <c r="U334" i="2"/>
  <c r="V628" i="2"/>
  <c r="N397" i="2"/>
  <c r="O631" i="2"/>
  <c r="H569" i="2"/>
  <c r="V280" i="2"/>
  <c r="V240" i="2"/>
  <c r="V183" i="2"/>
  <c r="O355" i="2"/>
  <c r="U391" i="2"/>
  <c r="O185" i="2"/>
  <c r="O356" i="2"/>
  <c r="O511" i="2"/>
  <c r="V297" i="2"/>
  <c r="U448" i="2"/>
  <c r="O628" i="2"/>
  <c r="K226" i="2" l="1"/>
  <c r="J28" i="20"/>
  <c r="K28" i="20" s="1"/>
  <c r="W951" i="2"/>
  <c r="X951" i="2" s="1"/>
  <c r="Y951" i="2" s="1"/>
  <c r="V445" i="2"/>
  <c r="V947" i="2"/>
  <c r="P300" i="2"/>
  <c r="P345" i="2" s="1"/>
  <c r="P754" i="2" s="1"/>
  <c r="N357" i="2"/>
  <c r="N402" i="2" s="1"/>
  <c r="N676" i="2" s="1"/>
  <c r="R357" i="2"/>
  <c r="R402" i="2" s="1"/>
  <c r="N591" i="2"/>
  <c r="N636" i="2" s="1"/>
  <c r="N767" i="2" s="1"/>
  <c r="T704" i="2"/>
  <c r="C20" i="33"/>
  <c r="U704" i="2"/>
  <c r="C21" i="33"/>
  <c r="K14" i="2"/>
  <c r="K59" i="2" s="1"/>
  <c r="V357" i="2"/>
  <c r="V402" i="2" s="1"/>
  <c r="V676" i="2" s="1"/>
  <c r="K591" i="2"/>
  <c r="K636" i="2" s="1"/>
  <c r="K767" i="2" s="1"/>
  <c r="V529" i="2"/>
  <c r="V574" i="2" s="1"/>
  <c r="V679" i="2" s="1"/>
  <c r="V735" i="2" s="1"/>
  <c r="J28" i="26"/>
  <c r="K28" i="26" s="1"/>
  <c r="N186" i="2"/>
  <c r="P129" i="2"/>
  <c r="P174" i="2" s="1"/>
  <c r="P959" i="2" s="1"/>
  <c r="P784" i="2" s="1"/>
  <c r="N300" i="2"/>
  <c r="E29" i="25" s="1"/>
  <c r="J28" i="27"/>
  <c r="K28" i="27" s="1"/>
  <c r="N129" i="2"/>
  <c r="N174" i="2" s="1"/>
  <c r="N688" i="2" s="1"/>
  <c r="F14" i="33" s="1"/>
  <c r="I186" i="2"/>
  <c r="J186" i="2"/>
  <c r="G30" i="19"/>
  <c r="H35" i="25"/>
  <c r="O243" i="2"/>
  <c r="O288" i="2" s="1"/>
  <c r="J28" i="17"/>
  <c r="K28" i="17" s="1"/>
  <c r="G30" i="25"/>
  <c r="K529" i="2"/>
  <c r="F30" i="19" s="1"/>
  <c r="P14" i="2"/>
  <c r="P59" i="2" s="1"/>
  <c r="G30" i="26"/>
  <c r="W39" i="2"/>
  <c r="X39" i="2" s="1"/>
  <c r="Y39" i="2" s="1"/>
  <c r="J28" i="25"/>
  <c r="K28" i="25" s="1"/>
  <c r="J28" i="32"/>
  <c r="K28" i="32" s="1"/>
  <c r="W211" i="2"/>
  <c r="X211" i="2" s="1"/>
  <c r="Y211" i="2" s="1"/>
  <c r="O300" i="2"/>
  <c r="E29" i="26" s="1"/>
  <c r="K29" i="26" s="1"/>
  <c r="K357" i="2"/>
  <c r="K402" i="2" s="1"/>
  <c r="K732" i="2" s="1"/>
  <c r="G30" i="17"/>
  <c r="G30" i="21"/>
  <c r="U717" i="2"/>
  <c r="U725" i="2" s="1"/>
  <c r="C44" i="33" s="1"/>
  <c r="N72" i="2"/>
  <c r="N117" i="2" s="1"/>
  <c r="O186" i="2"/>
  <c r="O72" i="2"/>
  <c r="O117" i="2" s="1"/>
  <c r="Q186" i="2"/>
  <c r="N529" i="2"/>
  <c r="F30" i="25" s="1"/>
  <c r="N14" i="2"/>
  <c r="N753" i="2" s="1"/>
  <c r="Q471" i="2"/>
  <c r="Q516" i="2" s="1"/>
  <c r="Q734" i="2" s="1"/>
  <c r="V243" i="2"/>
  <c r="V288" i="2" s="1"/>
  <c r="W496" i="2"/>
  <c r="X496" i="2" s="1"/>
  <c r="Y496" i="2" s="1"/>
  <c r="Q14" i="2"/>
  <c r="Q59" i="2" s="1"/>
  <c r="G30" i="32"/>
  <c r="M129" i="2"/>
  <c r="M174" i="2" s="1"/>
  <c r="M688" i="2" s="1"/>
  <c r="F13" i="33" s="1"/>
  <c r="I35" i="25"/>
  <c r="I414" i="2"/>
  <c r="I459" i="2" s="1"/>
  <c r="I677" i="2" s="1"/>
  <c r="I733" i="2" s="1"/>
  <c r="I14" i="2"/>
  <c r="I59" i="2" s="1"/>
  <c r="I471" i="2"/>
  <c r="I516" i="2" s="1"/>
  <c r="W616" i="2"/>
  <c r="X616" i="2" s="1"/>
  <c r="Y616" i="2" s="1"/>
  <c r="H35" i="20"/>
  <c r="K14" i="26"/>
  <c r="L414" i="2"/>
  <c r="L459" i="2" s="1"/>
  <c r="L677" i="2" s="1"/>
  <c r="L733" i="2" s="1"/>
  <c r="W97" i="2"/>
  <c r="X97" i="2" s="1"/>
  <c r="Y97" i="2" s="1"/>
  <c r="O591" i="2"/>
  <c r="O636" i="2" s="1"/>
  <c r="O708" i="2" s="1"/>
  <c r="I529" i="2"/>
  <c r="F30" i="32" s="1"/>
  <c r="W154" i="2"/>
  <c r="X154" i="2" s="1"/>
  <c r="Y154" i="2" s="1"/>
  <c r="W667" i="2"/>
  <c r="X667" i="2" s="1"/>
  <c r="Y667" i="2" s="1"/>
  <c r="V471" i="2"/>
  <c r="V516" i="2" s="1"/>
  <c r="V734" i="2" s="1"/>
  <c r="G30" i="20"/>
  <c r="Q357" i="2"/>
  <c r="Q402" i="2" s="1"/>
  <c r="Q676" i="2" s="1"/>
  <c r="O129" i="2"/>
  <c r="O174" i="2" s="1"/>
  <c r="O959" i="2" s="1"/>
  <c r="O784" i="2" s="1"/>
  <c r="H35" i="26"/>
  <c r="M357" i="2"/>
  <c r="M402" i="2" s="1"/>
  <c r="M732" i="2" s="1"/>
  <c r="V591" i="2"/>
  <c r="V636" i="2" s="1"/>
  <c r="V708" i="2" s="1"/>
  <c r="V769" i="2" s="1"/>
  <c r="N414" i="2"/>
  <c r="N459" i="2" s="1"/>
  <c r="N677" i="2" s="1"/>
  <c r="N733" i="2" s="1"/>
  <c r="U300" i="2"/>
  <c r="U345" i="2" s="1"/>
  <c r="U675" i="2" s="1"/>
  <c r="W382" i="2"/>
  <c r="X382" i="2" s="1"/>
  <c r="Y382" i="2" s="1"/>
  <c r="K72" i="2"/>
  <c r="K117" i="2" s="1"/>
  <c r="K414" i="2"/>
  <c r="K459" i="2" s="1"/>
  <c r="K677" i="2" s="1"/>
  <c r="K733" i="2" s="1"/>
  <c r="K471" i="2"/>
  <c r="K516" i="2" s="1"/>
  <c r="K734" i="2" s="1"/>
  <c r="V14" i="2"/>
  <c r="V753" i="2" s="1"/>
  <c r="K300" i="2"/>
  <c r="E29" i="19" s="1"/>
  <c r="K29" i="19" s="1"/>
  <c r="Q129" i="2"/>
  <c r="Q174" i="2" s="1"/>
  <c r="Q959" i="2" s="1"/>
  <c r="Q784" i="2" s="1"/>
  <c r="K129" i="2"/>
  <c r="K174" i="2" s="1"/>
  <c r="I35" i="26"/>
  <c r="W554" i="2"/>
  <c r="X554" i="2" s="1"/>
  <c r="Y554" i="2" s="1"/>
  <c r="K243" i="2"/>
  <c r="K288" i="2" s="1"/>
  <c r="O471" i="2"/>
  <c r="O516" i="2" s="1"/>
  <c r="P471" i="2"/>
  <c r="P516" i="2" s="1"/>
  <c r="I591" i="2"/>
  <c r="I636" i="2" s="1"/>
  <c r="P243" i="2"/>
  <c r="P288" i="2" s="1"/>
  <c r="L72" i="2"/>
  <c r="L117" i="2" s="1"/>
  <c r="H35" i="19"/>
  <c r="N471" i="2"/>
  <c r="N516" i="2" s="1"/>
  <c r="N734" i="2" s="1"/>
  <c r="T243" i="2"/>
  <c r="T288" i="2" s="1"/>
  <c r="Q414" i="2"/>
  <c r="Q459" i="2" s="1"/>
  <c r="Q677" i="2" s="1"/>
  <c r="Q733" i="2" s="1"/>
  <c r="M591" i="2"/>
  <c r="M636" i="2" s="1"/>
  <c r="M767" i="2" s="1"/>
  <c r="K14" i="27"/>
  <c r="W535" i="2"/>
  <c r="X535" i="2" s="1"/>
  <c r="Y535" i="2" s="1"/>
  <c r="V717" i="2"/>
  <c r="V725" i="2" s="1"/>
  <c r="C45" i="33" s="1"/>
  <c r="Q591" i="2"/>
  <c r="Q636" i="2" s="1"/>
  <c r="Q767" i="2" s="1"/>
  <c r="W611" i="2"/>
  <c r="X611" i="2" s="1"/>
  <c r="Y611" i="2" s="1"/>
  <c r="I35" i="19"/>
  <c r="T717" i="2"/>
  <c r="T725" i="2" s="1"/>
  <c r="R591" i="2"/>
  <c r="R636" i="2" s="1"/>
  <c r="R767" i="2" s="1"/>
  <c r="W477" i="2"/>
  <c r="X477" i="2" s="1"/>
  <c r="Y477" i="2" s="1"/>
  <c r="W249" i="2"/>
  <c r="X249" i="2" s="1"/>
  <c r="Y249" i="2" s="1"/>
  <c r="G30" i="27"/>
  <c r="V129" i="2"/>
  <c r="V174" i="2" s="1"/>
  <c r="V688" i="2" s="1"/>
  <c r="V752" i="2" s="1"/>
  <c r="P357" i="2"/>
  <c r="P402" i="2" s="1"/>
  <c r="P732" i="2" s="1"/>
  <c r="M414" i="2"/>
  <c r="M459" i="2" s="1"/>
  <c r="M677" i="2" s="1"/>
  <c r="M733" i="2" s="1"/>
  <c r="M471" i="2"/>
  <c r="M516" i="2" s="1"/>
  <c r="L591" i="2"/>
  <c r="L636" i="2" s="1"/>
  <c r="L708" i="2" s="1"/>
  <c r="V72" i="2"/>
  <c r="V117" i="2" s="1"/>
  <c r="O414" i="2"/>
  <c r="O459" i="2" s="1"/>
  <c r="O677" i="2" s="1"/>
  <c r="O733" i="2" s="1"/>
  <c r="P414" i="2"/>
  <c r="P459" i="2" s="1"/>
  <c r="P677" i="2" s="1"/>
  <c r="P733" i="2" s="1"/>
  <c r="Q243" i="2"/>
  <c r="Q288" i="2" s="1"/>
  <c r="M186" i="2"/>
  <c r="W363" i="2"/>
  <c r="X363" i="2" s="1"/>
  <c r="Y363" i="2" s="1"/>
  <c r="W377" i="2"/>
  <c r="X377" i="2" s="1"/>
  <c r="Y377" i="2" s="1"/>
  <c r="V414" i="2"/>
  <c r="P186" i="2"/>
  <c r="K14" i="17"/>
  <c r="I35" i="20"/>
  <c r="I35" i="17"/>
  <c r="W942" i="2"/>
  <c r="X942" i="2" s="1"/>
  <c r="Y942" i="2" s="1"/>
  <c r="W549" i="2"/>
  <c r="X549" i="2" s="1"/>
  <c r="Y549" i="2" s="1"/>
  <c r="H35" i="17"/>
  <c r="W92" i="2"/>
  <c r="X92" i="2" s="1"/>
  <c r="Y92" i="2" s="1"/>
  <c r="W268" i="2"/>
  <c r="X268" i="2" s="1"/>
  <c r="Y268" i="2" s="1"/>
  <c r="W263" i="2"/>
  <c r="X263" i="2" s="1"/>
  <c r="Y263" i="2" s="1"/>
  <c r="Q300" i="2"/>
  <c r="Q345" i="2" s="1"/>
  <c r="Q731" i="2" s="1"/>
  <c r="V300" i="2"/>
  <c r="V345" i="2" s="1"/>
  <c r="V754" i="2" s="1"/>
  <c r="R72" i="2"/>
  <c r="R117" i="2" s="1"/>
  <c r="L357" i="2"/>
  <c r="L402" i="2" s="1"/>
  <c r="K14" i="20"/>
  <c r="H35" i="21"/>
  <c r="O14" i="2"/>
  <c r="O59" i="2" s="1"/>
  <c r="P591" i="2"/>
  <c r="P636" i="2" s="1"/>
  <c r="P708" i="2" s="1"/>
  <c r="P769" i="2" s="1"/>
  <c r="L129" i="2"/>
  <c r="L174" i="2" s="1"/>
  <c r="L688" i="2" s="1"/>
  <c r="F12" i="33" s="1"/>
  <c r="H186" i="2"/>
  <c r="S14" i="2"/>
  <c r="S753" i="2" s="1"/>
  <c r="W885" i="2"/>
  <c r="X885" i="2" s="1"/>
  <c r="Y885" i="2" s="1"/>
  <c r="W597" i="2"/>
  <c r="X597" i="2" s="1"/>
  <c r="Y597" i="2" s="1"/>
  <c r="W34" i="2"/>
  <c r="X34" i="2" s="1"/>
  <c r="Y34" i="2" s="1"/>
  <c r="W20" i="2"/>
  <c r="X20" i="2" s="1"/>
  <c r="Y20" i="2" s="1"/>
  <c r="M300" i="2"/>
  <c r="E29" i="21" s="1"/>
  <c r="K29" i="21" s="1"/>
  <c r="W936" i="2"/>
  <c r="X936" i="2" s="1"/>
  <c r="Y936" i="2" s="1"/>
  <c r="U357" i="2"/>
  <c r="U402" i="2" s="1"/>
  <c r="U732" i="2" s="1"/>
  <c r="W491" i="2"/>
  <c r="X491" i="2" s="1"/>
  <c r="Y491" i="2" s="1"/>
  <c r="G658" i="2"/>
  <c r="D45" i="14" s="1"/>
  <c r="G45" i="14" s="1"/>
  <c r="I72" i="2"/>
  <c r="I117" i="2" s="1"/>
  <c r="N243" i="2"/>
  <c r="N288" i="2" s="1"/>
  <c r="W78" i="2"/>
  <c r="X78" i="2" s="1"/>
  <c r="Y78" i="2" s="1"/>
  <c r="G243" i="2"/>
  <c r="G288" i="2" s="1"/>
  <c r="Q72" i="2"/>
  <c r="Q117" i="2" s="1"/>
  <c r="U186" i="2"/>
  <c r="W394" i="2"/>
  <c r="X394" i="2" s="1"/>
  <c r="Y394" i="2" s="1"/>
  <c r="U591" i="2"/>
  <c r="U636" i="2" s="1"/>
  <c r="U767" i="2" s="1"/>
  <c r="O529" i="2"/>
  <c r="F30" i="26" s="1"/>
  <c r="I35" i="21"/>
  <c r="W192" i="2"/>
  <c r="X192" i="2" s="1"/>
  <c r="Y192" i="2" s="1"/>
  <c r="J129" i="2"/>
  <c r="J174" i="2" s="1"/>
  <c r="J959" i="2" s="1"/>
  <c r="J784" i="2" s="1"/>
  <c r="S414" i="2"/>
  <c r="S459" i="2" s="1"/>
  <c r="S677" i="2" s="1"/>
  <c r="S733" i="2" s="1"/>
  <c r="W180" i="2"/>
  <c r="X180" i="2" s="1"/>
  <c r="Y180" i="2" s="1"/>
  <c r="L186" i="2"/>
  <c r="H471" i="2"/>
  <c r="H516" i="2" s="1"/>
  <c r="H678" i="2" s="1"/>
  <c r="W439" i="2"/>
  <c r="X439" i="2" s="1"/>
  <c r="Y439" i="2" s="1"/>
  <c r="W66" i="2"/>
  <c r="X66" i="2" s="1"/>
  <c r="Y66" i="2" s="1"/>
  <c r="P72" i="2"/>
  <c r="P117" i="2" s="1"/>
  <c r="J471" i="2"/>
  <c r="J516" i="2" s="1"/>
  <c r="M529" i="2"/>
  <c r="F30" i="21" s="1"/>
  <c r="T591" i="2"/>
  <c r="T636" i="2" s="1"/>
  <c r="T708" i="2" s="1"/>
  <c r="T769" i="2" s="1"/>
  <c r="M14" i="2"/>
  <c r="M753" i="2" s="1"/>
  <c r="J591" i="2"/>
  <c r="J636" i="2" s="1"/>
  <c r="W886" i="2"/>
  <c r="X886" i="2" s="1"/>
  <c r="Y886" i="2" s="1"/>
  <c r="T129" i="2"/>
  <c r="T174" i="2" s="1"/>
  <c r="T688" i="2" s="1"/>
  <c r="F20" i="33" s="1"/>
  <c r="S129" i="2"/>
  <c r="S174" i="2" s="1"/>
  <c r="S688" i="2" s="1"/>
  <c r="F19" i="33" s="1"/>
  <c r="U129" i="2"/>
  <c r="U174" i="2" s="1"/>
  <c r="U688" i="2" s="1"/>
  <c r="Q529" i="2"/>
  <c r="Q574" i="2" s="1"/>
  <c r="Q679" i="2" s="1"/>
  <c r="Q735" i="2" s="1"/>
  <c r="S243" i="2"/>
  <c r="S288" i="2" s="1"/>
  <c r="H591" i="2"/>
  <c r="H636" i="2" s="1"/>
  <c r="P529" i="2"/>
  <c r="P574" i="2" s="1"/>
  <c r="P679" i="2" s="1"/>
  <c r="P735" i="2" s="1"/>
  <c r="I357" i="2"/>
  <c r="S529" i="2"/>
  <c r="S574" i="2" s="1"/>
  <c r="S679" i="2" s="1"/>
  <c r="S735" i="2" s="1"/>
  <c r="T186" i="2"/>
  <c r="L300" i="2"/>
  <c r="E29" i="20" s="1"/>
  <c r="K29" i="20" s="1"/>
  <c r="R300" i="2"/>
  <c r="R414" i="2"/>
  <c r="I129" i="2"/>
  <c r="I174" i="2" s="1"/>
  <c r="D14" i="32" s="1"/>
  <c r="I243" i="2"/>
  <c r="I288" i="2" s="1"/>
  <c r="W280" i="2"/>
  <c r="X280" i="2" s="1"/>
  <c r="Y280" i="2" s="1"/>
  <c r="S357" i="2"/>
  <c r="S402" i="2" s="1"/>
  <c r="S676" i="2" s="1"/>
  <c r="H14" i="2"/>
  <c r="H59" i="2" s="1"/>
  <c r="W297" i="2"/>
  <c r="X297" i="2" s="1"/>
  <c r="Y297" i="2" s="1"/>
  <c r="J414" i="2"/>
  <c r="J459" i="2" s="1"/>
  <c r="J677" i="2" s="1"/>
  <c r="J733" i="2" s="1"/>
  <c r="J14" i="2"/>
  <c r="J59" i="2" s="1"/>
  <c r="W206" i="2"/>
  <c r="X206" i="2" s="1"/>
  <c r="Y206" i="2" s="1"/>
  <c r="G529" i="2"/>
  <c r="G574" i="2" s="1"/>
  <c r="G922" i="2"/>
  <c r="G160" i="2" s="1"/>
  <c r="I14" i="14" s="1"/>
  <c r="H35" i="14" s="1"/>
  <c r="W921" i="2"/>
  <c r="X921" i="2" s="1"/>
  <c r="Y921" i="2" s="1"/>
  <c r="W397" i="2"/>
  <c r="X397" i="2" s="1"/>
  <c r="Y397" i="2" s="1"/>
  <c r="T14" i="2"/>
  <c r="T753" i="2" s="1"/>
  <c r="T414" i="2"/>
  <c r="T459" i="2" s="1"/>
  <c r="T677" i="2" s="1"/>
  <c r="T733" i="2" s="1"/>
  <c r="R471" i="2"/>
  <c r="R516" i="2" s="1"/>
  <c r="R734" i="2" s="1"/>
  <c r="M243" i="2"/>
  <c r="M288" i="2" s="1"/>
  <c r="T529" i="2"/>
  <c r="T574" i="2" s="1"/>
  <c r="T679" i="2" s="1"/>
  <c r="T735" i="2" s="1"/>
  <c r="W505" i="2"/>
  <c r="X505" i="2" s="1"/>
  <c r="Y505" i="2" s="1"/>
  <c r="W183" i="2"/>
  <c r="X183" i="2" s="1"/>
  <c r="Y183" i="2" s="1"/>
  <c r="S72" i="2"/>
  <c r="S117" i="2" s="1"/>
  <c r="H72" i="2"/>
  <c r="H117" i="2" s="1"/>
  <c r="G471" i="2"/>
  <c r="G516" i="2" s="1"/>
  <c r="I300" i="2"/>
  <c r="E29" i="32" s="1"/>
  <c r="K29" i="32" s="1"/>
  <c r="L14" i="2"/>
  <c r="L753" i="2" s="1"/>
  <c r="T471" i="2"/>
  <c r="T516" i="2" s="1"/>
  <c r="T678" i="2" s="1"/>
  <c r="R129" i="2"/>
  <c r="R174" i="2" s="1"/>
  <c r="R959" i="2" s="1"/>
  <c r="R784" i="2" s="1"/>
  <c r="R799" i="2" s="1"/>
  <c r="W631" i="2"/>
  <c r="X631" i="2" s="1"/>
  <c r="Y631" i="2" s="1"/>
  <c r="W508" i="2"/>
  <c r="X508" i="2" s="1"/>
  <c r="Y508" i="2" s="1"/>
  <c r="W355" i="2"/>
  <c r="X355" i="2" s="1"/>
  <c r="Y355" i="2" s="1"/>
  <c r="W128" i="2"/>
  <c r="X128" i="2" s="1"/>
  <c r="Y128" i="2" s="1"/>
  <c r="J300" i="2"/>
  <c r="E29" i="17" s="1"/>
  <c r="J529" i="2"/>
  <c r="J574" i="2" s="1"/>
  <c r="J679" i="2" s="1"/>
  <c r="J735" i="2" s="1"/>
  <c r="W566" i="2"/>
  <c r="X566" i="2" s="1"/>
  <c r="Y566" i="2" s="1"/>
  <c r="T72" i="2"/>
  <c r="T117" i="2" s="1"/>
  <c r="W563" i="2"/>
  <c r="X563" i="2" s="1"/>
  <c r="Y563" i="2" s="1"/>
  <c r="R14" i="2"/>
  <c r="R753" i="2" s="1"/>
  <c r="W223" i="2"/>
  <c r="X223" i="2" s="1"/>
  <c r="Y223" i="2" s="1"/>
  <c r="W70" i="2"/>
  <c r="X70" i="2" s="1"/>
  <c r="Y70" i="2" s="1"/>
  <c r="W451" i="2"/>
  <c r="X451" i="2" s="1"/>
  <c r="Y451" i="2" s="1"/>
  <c r="S471" i="2"/>
  <c r="S516" i="2" s="1"/>
  <c r="S591" i="2"/>
  <c r="S636" i="2" s="1"/>
  <c r="S767" i="2" s="1"/>
  <c r="W12" i="2"/>
  <c r="X12" i="2" s="1"/>
  <c r="Y12" i="2" s="1"/>
  <c r="H243" i="2"/>
  <c r="H288" i="2" s="1"/>
  <c r="J243" i="2"/>
  <c r="J288" i="2" s="1"/>
  <c r="J357" i="2"/>
  <c r="J402" i="2" s="1"/>
  <c r="J676" i="2" s="1"/>
  <c r="S186" i="2"/>
  <c r="W400" i="2"/>
  <c r="X400" i="2" s="1"/>
  <c r="Y400" i="2" s="1"/>
  <c r="S300" i="2"/>
  <c r="S345" i="2" s="1"/>
  <c r="S675" i="2" s="1"/>
  <c r="W434" i="2"/>
  <c r="X434" i="2" s="1"/>
  <c r="Y434" i="2" s="1"/>
  <c r="K28" i="21"/>
  <c r="R529" i="2"/>
  <c r="L529" i="2"/>
  <c r="H357" i="2"/>
  <c r="H402" i="2" s="1"/>
  <c r="W13" i="2"/>
  <c r="X13" i="2" s="1"/>
  <c r="Y13" i="2" s="1"/>
  <c r="W527" i="2"/>
  <c r="X527" i="2" s="1"/>
  <c r="Y527" i="2" s="1"/>
  <c r="J682" i="2"/>
  <c r="J799" i="2"/>
  <c r="J738" i="2"/>
  <c r="D31" i="17" s="1"/>
  <c r="E31" i="17" s="1"/>
  <c r="K31" i="17" s="1"/>
  <c r="L31" i="17" s="1"/>
  <c r="R682" i="2"/>
  <c r="R738" i="2"/>
  <c r="I35" i="32"/>
  <c r="Q682" i="2"/>
  <c r="Q738" i="2"/>
  <c r="Q799" i="2"/>
  <c r="K43" i="25"/>
  <c r="L43" i="25" s="1"/>
  <c r="W286" i="2"/>
  <c r="X286" i="2" s="1"/>
  <c r="Y286" i="2" s="1"/>
  <c r="W470" i="2"/>
  <c r="X470" i="2" s="1"/>
  <c r="Y470" i="2" s="1"/>
  <c r="W184" i="2"/>
  <c r="X184" i="2" s="1"/>
  <c r="Y184" i="2" s="1"/>
  <c r="G186" i="2"/>
  <c r="F14" i="14"/>
  <c r="W126" i="2"/>
  <c r="X126" i="2" s="1"/>
  <c r="Y126" i="2" s="1"/>
  <c r="W343" i="2"/>
  <c r="X343" i="2" s="1"/>
  <c r="Y343" i="2" s="1"/>
  <c r="R186" i="2"/>
  <c r="W943" i="2"/>
  <c r="X943" i="2" s="1"/>
  <c r="Y943" i="2" s="1"/>
  <c r="G445" i="2"/>
  <c r="E43" i="14"/>
  <c r="G30" i="14"/>
  <c r="W420" i="2"/>
  <c r="X420" i="2" s="1"/>
  <c r="Y420" i="2" s="1"/>
  <c r="W185" i="2"/>
  <c r="X185" i="2" s="1"/>
  <c r="Y185" i="2" s="1"/>
  <c r="K43" i="27"/>
  <c r="L43" i="27" s="1"/>
  <c r="W217" i="2"/>
  <c r="X217" i="2" s="1"/>
  <c r="Y217" i="2" s="1"/>
  <c r="I28" i="14"/>
  <c r="L471" i="2"/>
  <c r="U529" i="2"/>
  <c r="U574" i="2" s="1"/>
  <c r="U679" i="2" s="1"/>
  <c r="U735" i="2" s="1"/>
  <c r="U243" i="2"/>
  <c r="U288" i="2" s="1"/>
  <c r="U414" i="2"/>
  <c r="U459" i="2" s="1"/>
  <c r="U677" i="2" s="1"/>
  <c r="U733" i="2" s="1"/>
  <c r="H129" i="2"/>
  <c r="H174" i="2" s="1"/>
  <c r="W634" i="2"/>
  <c r="X634" i="2" s="1"/>
  <c r="Y634" i="2" s="1"/>
  <c r="N682" i="2"/>
  <c r="N738" i="2"/>
  <c r="D31" i="25" s="1"/>
  <c r="E31" i="25" s="1"/>
  <c r="K31" i="25" s="1"/>
  <c r="L31" i="25" s="1"/>
  <c r="K43" i="20"/>
  <c r="L43" i="20" s="1"/>
  <c r="W878" i="2"/>
  <c r="X878" i="2" s="1"/>
  <c r="Y878" i="2" s="1"/>
  <c r="G879" i="2"/>
  <c r="K43" i="19"/>
  <c r="L43" i="19" s="1"/>
  <c r="W899" i="2"/>
  <c r="X899" i="2" s="1"/>
  <c r="Y899" i="2" s="1"/>
  <c r="G900" i="2"/>
  <c r="W391" i="2"/>
  <c r="X391" i="2" s="1"/>
  <c r="Y391" i="2" s="1"/>
  <c r="W283" i="2"/>
  <c r="X283" i="2" s="1"/>
  <c r="Y283" i="2" s="1"/>
  <c r="W340" i="2"/>
  <c r="X340" i="2" s="1"/>
  <c r="Y340" i="2" s="1"/>
  <c r="W334" i="2"/>
  <c r="X334" i="2" s="1"/>
  <c r="Y334" i="2" s="1"/>
  <c r="W149" i="2"/>
  <c r="X149" i="2" s="1"/>
  <c r="Y149" i="2" s="1"/>
  <c r="W242" i="2"/>
  <c r="X242" i="2" s="1"/>
  <c r="Y242" i="2" s="1"/>
  <c r="W457" i="2"/>
  <c r="X457" i="2" s="1"/>
  <c r="Y457" i="2" s="1"/>
  <c r="W229" i="2"/>
  <c r="X229" i="2" s="1"/>
  <c r="Y229" i="2" s="1"/>
  <c r="W127" i="2"/>
  <c r="X127" i="2" s="1"/>
  <c r="Y127" i="2" s="1"/>
  <c r="W413" i="2"/>
  <c r="X413" i="2" s="1"/>
  <c r="Y413" i="2" s="1"/>
  <c r="W588" i="2"/>
  <c r="X588" i="2" s="1"/>
  <c r="Y588" i="2" s="1"/>
  <c r="W11" i="2"/>
  <c r="X11" i="2" s="1"/>
  <c r="Y11" i="2" s="1"/>
  <c r="W514" i="2"/>
  <c r="X514" i="2" s="1"/>
  <c r="Y514" i="2" s="1"/>
  <c r="K682" i="2"/>
  <c r="K738" i="2"/>
  <c r="D31" i="19" s="1"/>
  <c r="E31" i="19" s="1"/>
  <c r="K31" i="19" s="1"/>
  <c r="L31" i="19" s="1"/>
  <c r="W412" i="2"/>
  <c r="X412" i="2" s="1"/>
  <c r="Y412" i="2" s="1"/>
  <c r="H682" i="2"/>
  <c r="H738" i="2"/>
  <c r="D31" i="27" s="1"/>
  <c r="E31" i="27" s="1"/>
  <c r="K31" i="27" s="1"/>
  <c r="L31" i="27" s="1"/>
  <c r="W865" i="2"/>
  <c r="X865" i="2" s="1"/>
  <c r="Y865" i="2" s="1"/>
  <c r="G8" i="2"/>
  <c r="K14" i="21"/>
  <c r="W69" i="2"/>
  <c r="X69" i="2" s="1"/>
  <c r="Y69" i="2" s="1"/>
  <c r="H35" i="32"/>
  <c r="R243" i="2"/>
  <c r="R288" i="2" s="1"/>
  <c r="T357" i="2"/>
  <c r="T402" i="2" s="1"/>
  <c r="U72" i="2"/>
  <c r="U117" i="2" s="1"/>
  <c r="T300" i="2"/>
  <c r="U471" i="2"/>
  <c r="U516" i="2" s="1"/>
  <c r="U14" i="2"/>
  <c r="W411" i="2"/>
  <c r="X411" i="2" s="1"/>
  <c r="Y411" i="2" s="1"/>
  <c r="H414" i="2"/>
  <c r="W356" i="2"/>
  <c r="X356" i="2" s="1"/>
  <c r="Y356" i="2" s="1"/>
  <c r="S738" i="2"/>
  <c r="S682" i="2"/>
  <c r="I35" i="27"/>
  <c r="M682" i="2"/>
  <c r="M738" i="2"/>
  <c r="D31" i="21" s="1"/>
  <c r="E31" i="21" s="1"/>
  <c r="K31" i="21" s="1"/>
  <c r="L31" i="21" s="1"/>
  <c r="W628" i="2"/>
  <c r="X628" i="2" s="1"/>
  <c r="Y628" i="2" s="1"/>
  <c r="W337" i="2"/>
  <c r="X337" i="2" s="1"/>
  <c r="Y337" i="2" s="1"/>
  <c r="W569" i="2"/>
  <c r="X569" i="2" s="1"/>
  <c r="Y569" i="2" s="1"/>
  <c r="W320" i="2"/>
  <c r="X320" i="2" s="1"/>
  <c r="Y320" i="2" s="1"/>
  <c r="W277" i="2"/>
  <c r="X277" i="2" s="1"/>
  <c r="Y277" i="2" s="1"/>
  <c r="W908" i="2"/>
  <c r="X908" i="2" s="1"/>
  <c r="Y908" i="2" s="1"/>
  <c r="G45" i="2"/>
  <c r="W45" i="2" s="1"/>
  <c r="X45" i="2" s="1"/>
  <c r="Y45" i="2" s="1"/>
  <c r="W299" i="2"/>
  <c r="X299" i="2" s="1"/>
  <c r="Y299" i="2" s="1"/>
  <c r="W625" i="2"/>
  <c r="X625" i="2" s="1"/>
  <c r="Y625" i="2" s="1"/>
  <c r="W325" i="2"/>
  <c r="X325" i="2" s="1"/>
  <c r="Y325" i="2" s="1"/>
  <c r="W526" i="2"/>
  <c r="X526" i="2" s="1"/>
  <c r="Y526" i="2" s="1"/>
  <c r="W468" i="2"/>
  <c r="X468" i="2" s="1"/>
  <c r="Y468" i="2" s="1"/>
  <c r="W354" i="2"/>
  <c r="X354" i="2" s="1"/>
  <c r="Y354" i="2" s="1"/>
  <c r="W590" i="2"/>
  <c r="X590" i="2" s="1"/>
  <c r="Y590" i="2" s="1"/>
  <c r="W589" i="2"/>
  <c r="X589" i="2" s="1"/>
  <c r="Y589" i="2" s="1"/>
  <c r="K14" i="25"/>
  <c r="V186" i="2"/>
  <c r="L682" i="2"/>
  <c r="L738" i="2"/>
  <c r="D31" i="20" s="1"/>
  <c r="E31" i="20" s="1"/>
  <c r="K31" i="20" s="1"/>
  <c r="L31" i="20" s="1"/>
  <c r="I682" i="2"/>
  <c r="I738" i="2"/>
  <c r="D31" i="32" s="1"/>
  <c r="E31" i="32" s="1"/>
  <c r="K31" i="32" s="1"/>
  <c r="L31" i="32" s="1"/>
  <c r="W915" i="2"/>
  <c r="X915" i="2" s="1"/>
  <c r="Y915" i="2" s="1"/>
  <c r="G103" i="2"/>
  <c r="W103" i="2" s="1"/>
  <c r="X103" i="2" s="1"/>
  <c r="Y103" i="2" s="1"/>
  <c r="G591" i="2"/>
  <c r="K14" i="32"/>
  <c r="J28" i="14"/>
  <c r="O357" i="2"/>
  <c r="O402" i="2" s="1"/>
  <c r="L243" i="2"/>
  <c r="L288" i="2" s="1"/>
  <c r="M72" i="2"/>
  <c r="M117" i="2" s="1"/>
  <c r="H529" i="2"/>
  <c r="W241" i="2"/>
  <c r="X241" i="2" s="1"/>
  <c r="Y241" i="2" s="1"/>
  <c r="J72" i="2"/>
  <c r="J117" i="2" s="1"/>
  <c r="O682" i="2"/>
  <c r="O799" i="2"/>
  <c r="O738" i="2"/>
  <c r="D31" i="26" s="1"/>
  <c r="E31" i="26" s="1"/>
  <c r="K31" i="26" s="1"/>
  <c r="L31" i="26" s="1"/>
  <c r="H35" i="27"/>
  <c r="G14" i="14"/>
  <c r="W135" i="2"/>
  <c r="X135" i="2" s="1"/>
  <c r="Y135" i="2" s="1"/>
  <c r="W454" i="2"/>
  <c r="X454" i="2" s="1"/>
  <c r="Y454" i="2" s="1"/>
  <c r="W511" i="2"/>
  <c r="X511" i="2" s="1"/>
  <c r="Y511" i="2" s="1"/>
  <c r="W469" i="2"/>
  <c r="X469" i="2" s="1"/>
  <c r="Y469" i="2" s="1"/>
  <c r="W220" i="2"/>
  <c r="X220" i="2" s="1"/>
  <c r="Y220" i="2" s="1"/>
  <c r="K43" i="17"/>
  <c r="L43" i="17" s="1"/>
  <c r="W448" i="2"/>
  <c r="X448" i="2" s="1"/>
  <c r="Y448" i="2" s="1"/>
  <c r="W892" i="2"/>
  <c r="X892" i="2" s="1"/>
  <c r="Y892" i="2" s="1"/>
  <c r="G893" i="2"/>
  <c r="K231" i="2"/>
  <c r="W528" i="2"/>
  <c r="X528" i="2" s="1"/>
  <c r="Y528" i="2" s="1"/>
  <c r="W298" i="2"/>
  <c r="X298" i="2" s="1"/>
  <c r="Y298" i="2" s="1"/>
  <c r="W71" i="2"/>
  <c r="X71" i="2" s="1"/>
  <c r="Y71" i="2" s="1"/>
  <c r="G72" i="2"/>
  <c r="W240" i="2"/>
  <c r="X240" i="2" s="1"/>
  <c r="Y240" i="2" s="1"/>
  <c r="G29" i="14"/>
  <c r="W306" i="2"/>
  <c r="X306" i="2" s="1"/>
  <c r="Y306" i="2" s="1"/>
  <c r="K14" i="19"/>
  <c r="W572" i="2"/>
  <c r="X572" i="2" s="1"/>
  <c r="Y572" i="2" s="1"/>
  <c r="K44" i="14"/>
  <c r="L44" i="14" s="1"/>
  <c r="W929" i="2"/>
  <c r="X929" i="2" s="1"/>
  <c r="Y929" i="2" s="1"/>
  <c r="H300" i="2"/>
  <c r="P682" i="2"/>
  <c r="P799" i="2"/>
  <c r="P738" i="2"/>
  <c r="K43" i="26"/>
  <c r="L43" i="26" s="1"/>
  <c r="K43" i="32"/>
  <c r="L43" i="32" s="1"/>
  <c r="G357" i="2"/>
  <c r="W226" i="2" l="1"/>
  <c r="X226" i="2" s="1"/>
  <c r="Y226" i="2" s="1"/>
  <c r="J28" i="19"/>
  <c r="K28" i="19" s="1"/>
  <c r="Q797" i="2"/>
  <c r="Q796" i="2"/>
  <c r="R796" i="2"/>
  <c r="R797" i="2"/>
  <c r="J796" i="2"/>
  <c r="J797" i="2"/>
  <c r="O796" i="2"/>
  <c r="O797" i="2"/>
  <c r="P796" i="2"/>
  <c r="P797" i="2"/>
  <c r="V231" i="2"/>
  <c r="U231" i="2"/>
  <c r="R231" i="2"/>
  <c r="T231" i="2"/>
  <c r="T730" i="2" s="1"/>
  <c r="L231" i="2"/>
  <c r="Q231" i="2"/>
  <c r="Q730" i="2" s="1"/>
  <c r="I231" i="2"/>
  <c r="P231" i="2"/>
  <c r="P674" i="2" s="1"/>
  <c r="M231" i="2"/>
  <c r="N231" i="2"/>
  <c r="S231" i="2"/>
  <c r="S674" i="2" s="1"/>
  <c r="O231" i="2"/>
  <c r="H231" i="2"/>
  <c r="J231" i="2"/>
  <c r="V459" i="2"/>
  <c r="V677" i="2" s="1"/>
  <c r="V733" i="2" s="1"/>
  <c r="K753" i="2"/>
  <c r="V59" i="2"/>
  <c r="V780" i="2"/>
  <c r="V788" i="2" s="1"/>
  <c r="C70" i="33" s="1"/>
  <c r="C43" i="33"/>
  <c r="F21" i="33"/>
  <c r="P657" i="2"/>
  <c r="P669" i="2" s="1"/>
  <c r="C16" i="33" s="1"/>
  <c r="O657" i="2"/>
  <c r="O669" i="2" s="1"/>
  <c r="C15" i="33" s="1"/>
  <c r="R657" i="2"/>
  <c r="R669" i="2" s="1"/>
  <c r="J657" i="2"/>
  <c r="J669" i="2" s="1"/>
  <c r="C10" i="33" s="1"/>
  <c r="Q657" i="2"/>
  <c r="Q669" i="2" s="1"/>
  <c r="Q753" i="2"/>
  <c r="N345" i="2"/>
  <c r="N754" i="2" s="1"/>
  <c r="K35" i="26"/>
  <c r="L35" i="26" s="1"/>
  <c r="K35" i="25"/>
  <c r="L35" i="25" s="1"/>
  <c r="P753" i="2"/>
  <c r="N59" i="2"/>
  <c r="U763" i="2"/>
  <c r="P688" i="2"/>
  <c r="N574" i="2"/>
  <c r="N679" i="2" s="1"/>
  <c r="N735" i="2" s="1"/>
  <c r="K574" i="2"/>
  <c r="K679" i="2" s="1"/>
  <c r="K735" i="2" s="1"/>
  <c r="U780" i="2"/>
  <c r="O345" i="2"/>
  <c r="O754" i="2" s="1"/>
  <c r="I753" i="2"/>
  <c r="E30" i="32"/>
  <c r="K30" i="32" s="1"/>
  <c r="K35" i="20"/>
  <c r="L35" i="20" s="1"/>
  <c r="I35" i="14"/>
  <c r="K35" i="14" s="1"/>
  <c r="L35" i="14" s="1"/>
  <c r="M574" i="2"/>
  <c r="M679" i="2" s="1"/>
  <c r="M735" i="2" s="1"/>
  <c r="M959" i="2"/>
  <c r="M784" i="2" s="1"/>
  <c r="I574" i="2"/>
  <c r="I679" i="2" s="1"/>
  <c r="I735" i="2" s="1"/>
  <c r="L767" i="2"/>
  <c r="W658" i="2"/>
  <c r="X658" i="2" s="1"/>
  <c r="Y658" i="2" s="1"/>
  <c r="K35" i="19"/>
  <c r="L35" i="19" s="1"/>
  <c r="K676" i="2"/>
  <c r="K35" i="17"/>
  <c r="L35" i="17" s="1"/>
  <c r="K345" i="2"/>
  <c r="K754" i="2" s="1"/>
  <c r="E30" i="19"/>
  <c r="K30" i="19" s="1"/>
  <c r="D14" i="20"/>
  <c r="O688" i="2"/>
  <c r="K35" i="21"/>
  <c r="L35" i="21" s="1"/>
  <c r="D14" i="25"/>
  <c r="P676" i="2"/>
  <c r="I402" i="2"/>
  <c r="I732" i="2" s="1"/>
  <c r="V763" i="2"/>
  <c r="E30" i="25"/>
  <c r="K30" i="25" s="1"/>
  <c r="N732" i="2"/>
  <c r="T780" i="2"/>
  <c r="T788" i="2" s="1"/>
  <c r="T763" i="2"/>
  <c r="Q688" i="2"/>
  <c r="T59" i="2"/>
  <c r="P767" i="2"/>
  <c r="S959" i="2"/>
  <c r="S784" i="2" s="1"/>
  <c r="O753" i="2"/>
  <c r="K959" i="2"/>
  <c r="K784" i="2" s="1"/>
  <c r="D14" i="19"/>
  <c r="L14" i="19" s="1"/>
  <c r="K688" i="2"/>
  <c r="D14" i="26"/>
  <c r="L14" i="26" s="1"/>
  <c r="F30" i="14"/>
  <c r="E30" i="21"/>
  <c r="K30" i="21" s="1"/>
  <c r="M678" i="2"/>
  <c r="M734" i="2"/>
  <c r="D30" i="21" s="1"/>
  <c r="L959" i="2"/>
  <c r="L784" i="2" s="1"/>
  <c r="V731" i="2"/>
  <c r="R708" i="2"/>
  <c r="R769" i="2" s="1"/>
  <c r="L59" i="2"/>
  <c r="U731" i="2"/>
  <c r="V678" i="2"/>
  <c r="M345" i="2"/>
  <c r="U754" i="2"/>
  <c r="L345" i="2"/>
  <c r="L754" i="2" s="1"/>
  <c r="J732" i="2"/>
  <c r="N678" i="2"/>
  <c r="S754" i="2"/>
  <c r="N959" i="2"/>
  <c r="N784" i="2" s="1"/>
  <c r="U752" i="2"/>
  <c r="H734" i="2"/>
  <c r="S59" i="2"/>
  <c r="M676" i="2"/>
  <c r="Q732" i="2"/>
  <c r="H753" i="2"/>
  <c r="V767" i="2"/>
  <c r="U708" i="2"/>
  <c r="U769" i="2" s="1"/>
  <c r="D14" i="21"/>
  <c r="I15" i="21" s="1"/>
  <c r="I16" i="21" s="1"/>
  <c r="M708" i="2"/>
  <c r="M769" i="2" s="1"/>
  <c r="J345" i="2"/>
  <c r="J731" i="2" s="1"/>
  <c r="D29" i="17" s="1"/>
  <c r="O574" i="2"/>
  <c r="O679" i="2" s="1"/>
  <c r="O735" i="2" s="1"/>
  <c r="S732" i="2"/>
  <c r="O767" i="2"/>
  <c r="J753" i="2"/>
  <c r="Q708" i="2"/>
  <c r="Q769" i="2" s="1"/>
  <c r="L676" i="2"/>
  <c r="L732" i="2"/>
  <c r="R688" i="2"/>
  <c r="K678" i="2"/>
  <c r="V675" i="2"/>
  <c r="R59" i="2"/>
  <c r="J688" i="2"/>
  <c r="F30" i="17"/>
  <c r="D14" i="17"/>
  <c r="L14" i="17" s="1"/>
  <c r="S731" i="2"/>
  <c r="U676" i="2"/>
  <c r="D30" i="19"/>
  <c r="J678" i="2"/>
  <c r="J734" i="2"/>
  <c r="D30" i="17" s="1"/>
  <c r="W922" i="2"/>
  <c r="X922" i="2" s="1"/>
  <c r="Y922" i="2" s="1"/>
  <c r="T674" i="2"/>
  <c r="Q754" i="2"/>
  <c r="T734" i="2"/>
  <c r="K28" i="14"/>
  <c r="S730" i="2"/>
  <c r="S965" i="2"/>
  <c r="S755" i="2" s="1"/>
  <c r="V732" i="2"/>
  <c r="H15" i="32"/>
  <c r="H16" i="32" s="1"/>
  <c r="I15" i="32"/>
  <c r="I16" i="32" s="1"/>
  <c r="U674" i="2"/>
  <c r="U730" i="2"/>
  <c r="U965" i="2"/>
  <c r="U755" i="2" s="1"/>
  <c r="Q675" i="2"/>
  <c r="M59" i="2"/>
  <c r="K708" i="2"/>
  <c r="K769" i="2" s="1"/>
  <c r="I688" i="2"/>
  <c r="T965" i="2"/>
  <c r="T755" i="2" s="1"/>
  <c r="Q678" i="2"/>
  <c r="I959" i="2"/>
  <c r="I784" i="2" s="1"/>
  <c r="T767" i="2"/>
  <c r="R678" i="2"/>
  <c r="E30" i="17"/>
  <c r="J767" i="2"/>
  <c r="J708" i="2"/>
  <c r="J769" i="2" s="1"/>
  <c r="P675" i="2"/>
  <c r="I345" i="2"/>
  <c r="I754" i="2" s="1"/>
  <c r="P731" i="2"/>
  <c r="V756" i="2"/>
  <c r="F45" i="33" s="1"/>
  <c r="N708" i="2"/>
  <c r="D22" i="25" s="1"/>
  <c r="S708" i="2"/>
  <c r="S769" i="2" s="1"/>
  <c r="P730" i="2"/>
  <c r="W243" i="2"/>
  <c r="X243" i="2" s="1"/>
  <c r="Y243" i="2" s="1"/>
  <c r="E30" i="26"/>
  <c r="K30" i="26" s="1"/>
  <c r="W160" i="2"/>
  <c r="X160" i="2" s="1"/>
  <c r="Y160" i="2" s="1"/>
  <c r="R574" i="2"/>
  <c r="R679" i="2" s="1"/>
  <c r="R735" i="2" s="1"/>
  <c r="R459" i="2"/>
  <c r="R677" i="2" s="1"/>
  <c r="R733" i="2" s="1"/>
  <c r="W288" i="2"/>
  <c r="X288" i="2" s="1"/>
  <c r="Y288" i="2" s="1"/>
  <c r="R345" i="2"/>
  <c r="W72" i="2"/>
  <c r="X72" i="2" s="1"/>
  <c r="Y72" i="2" s="1"/>
  <c r="G117" i="2"/>
  <c r="W117" i="2" s="1"/>
  <c r="X117" i="2" s="1"/>
  <c r="Y117" i="2" s="1"/>
  <c r="K35" i="27"/>
  <c r="L35" i="27" s="1"/>
  <c r="W893" i="2"/>
  <c r="X893" i="2" s="1"/>
  <c r="Y893" i="2" s="1"/>
  <c r="G294" i="2"/>
  <c r="N965" i="2"/>
  <c r="N755" i="2" s="1"/>
  <c r="N674" i="2"/>
  <c r="N730" i="2"/>
  <c r="H345" i="2"/>
  <c r="E29" i="27"/>
  <c r="K965" i="2"/>
  <c r="K755" i="2" s="1"/>
  <c r="K674" i="2"/>
  <c r="K730" i="2"/>
  <c r="L14" i="32"/>
  <c r="U734" i="2"/>
  <c r="U678" i="2"/>
  <c r="I767" i="2"/>
  <c r="I708" i="2"/>
  <c r="K29" i="25"/>
  <c r="H959" i="2"/>
  <c r="H784" i="2" s="1"/>
  <c r="D14" i="27"/>
  <c r="H688" i="2"/>
  <c r="F8" i="33" s="1"/>
  <c r="L516" i="2"/>
  <c r="W516" i="2" s="1"/>
  <c r="X516" i="2" s="1"/>
  <c r="Y516" i="2" s="1"/>
  <c r="E30" i="20"/>
  <c r="K45" i="14"/>
  <c r="L45" i="14" s="1"/>
  <c r="R732" i="2"/>
  <c r="R676" i="2"/>
  <c r="G679" i="2"/>
  <c r="M965" i="2"/>
  <c r="M755" i="2" s="1"/>
  <c r="M674" i="2"/>
  <c r="M730" i="2"/>
  <c r="D16" i="32"/>
  <c r="E15" i="32"/>
  <c r="F15" i="32"/>
  <c r="F16" i="32" s="1"/>
  <c r="J15" i="32"/>
  <c r="J16" i="32" s="1"/>
  <c r="G15" i="32"/>
  <c r="G16" i="32" s="1"/>
  <c r="G636" i="2"/>
  <c r="W591" i="2"/>
  <c r="X591" i="2" s="1"/>
  <c r="Y591" i="2" s="1"/>
  <c r="W357" i="2"/>
  <c r="X357" i="2" s="1"/>
  <c r="Y357" i="2" s="1"/>
  <c r="G402" i="2"/>
  <c r="H574" i="2"/>
  <c r="H679" i="2" s="1"/>
  <c r="H735" i="2" s="1"/>
  <c r="F30" i="27"/>
  <c r="L752" i="2"/>
  <c r="O732" i="2"/>
  <c r="O676" i="2"/>
  <c r="H767" i="2"/>
  <c r="H708" i="2"/>
  <c r="S734" i="2"/>
  <c r="S678" i="2"/>
  <c r="S706" i="2" s="1"/>
  <c r="L769" i="2"/>
  <c r="D22" i="20"/>
  <c r="K35" i="32"/>
  <c r="L35" i="32" s="1"/>
  <c r="W8" i="2"/>
  <c r="X8" i="2" s="1"/>
  <c r="Y8" i="2" s="1"/>
  <c r="G961" i="2"/>
  <c r="G14" i="2"/>
  <c r="K43" i="14"/>
  <c r="L43" i="14" s="1"/>
  <c r="F30" i="20"/>
  <c r="L574" i="2"/>
  <c r="L679" i="2" s="1"/>
  <c r="L735" i="2" s="1"/>
  <c r="W529" i="2"/>
  <c r="X529" i="2" s="1"/>
  <c r="Y529" i="2" s="1"/>
  <c r="J965" i="2"/>
  <c r="J755" i="2" s="1"/>
  <c r="J674" i="2"/>
  <c r="J730" i="2"/>
  <c r="K29" i="17"/>
  <c r="S752" i="2"/>
  <c r="N752" i="2"/>
  <c r="O965" i="2"/>
  <c r="O755" i="2" s="1"/>
  <c r="O730" i="2"/>
  <c r="O674" i="2"/>
  <c r="I734" i="2"/>
  <c r="D30" i="32" s="1"/>
  <c r="I678" i="2"/>
  <c r="G734" i="2"/>
  <c r="G678" i="2"/>
  <c r="H965" i="2"/>
  <c r="H755" i="2" s="1"/>
  <c r="H730" i="2"/>
  <c r="H674" i="2"/>
  <c r="V730" i="2"/>
  <c r="V674" i="2"/>
  <c r="P734" i="2"/>
  <c r="P678" i="2"/>
  <c r="G408" i="2"/>
  <c r="W900" i="2"/>
  <c r="X900" i="2" s="1"/>
  <c r="Y900" i="2" s="1"/>
  <c r="W879" i="2"/>
  <c r="X879" i="2" s="1"/>
  <c r="Y879" i="2" s="1"/>
  <c r="G123" i="2"/>
  <c r="H732" i="2"/>
  <c r="H676" i="2"/>
  <c r="I965" i="2"/>
  <c r="I755" i="2" s="1"/>
  <c r="I674" i="2"/>
  <c r="I730" i="2"/>
  <c r="T752" i="2"/>
  <c r="O769" i="2"/>
  <c r="D22" i="26"/>
  <c r="W471" i="2"/>
  <c r="X471" i="2" s="1"/>
  <c r="Y471" i="2" s="1"/>
  <c r="H459" i="2"/>
  <c r="H677" i="2" s="1"/>
  <c r="H733" i="2" s="1"/>
  <c r="E30" i="27"/>
  <c r="U753" i="2"/>
  <c r="U59" i="2"/>
  <c r="T345" i="2"/>
  <c r="T676" i="2"/>
  <c r="T732" i="2"/>
  <c r="O734" i="2"/>
  <c r="D30" i="26" s="1"/>
  <c r="O678" i="2"/>
  <c r="W445" i="2"/>
  <c r="X445" i="2" s="1"/>
  <c r="Y445" i="2" s="1"/>
  <c r="I30" i="14"/>
  <c r="R965" i="2"/>
  <c r="R755" i="2" s="1"/>
  <c r="R730" i="2"/>
  <c r="R674" i="2"/>
  <c r="W186" i="2"/>
  <c r="X186" i="2" s="1"/>
  <c r="Y186" i="2" s="1"/>
  <c r="G231" i="2"/>
  <c r="D30" i="25"/>
  <c r="L674" i="2"/>
  <c r="L965" i="2"/>
  <c r="L755" i="2" s="1"/>
  <c r="L730" i="2"/>
  <c r="M752" i="2"/>
  <c r="U788" i="2" l="1"/>
  <c r="C69" i="33" s="1"/>
  <c r="H44" i="33"/>
  <c r="D36" i="17"/>
  <c r="D39" i="17" s="1"/>
  <c r="I796" i="2"/>
  <c r="I797" i="2"/>
  <c r="I799" i="2"/>
  <c r="N796" i="2"/>
  <c r="N797" i="2"/>
  <c r="N799" i="2"/>
  <c r="L797" i="2"/>
  <c r="L796" i="2"/>
  <c r="L799" i="2"/>
  <c r="K796" i="2"/>
  <c r="K797" i="2"/>
  <c r="K799" i="2"/>
  <c r="H797" i="2"/>
  <c r="H796" i="2"/>
  <c r="H799" i="2"/>
  <c r="M796" i="2"/>
  <c r="M797" i="2"/>
  <c r="M799" i="2"/>
  <c r="D36" i="26"/>
  <c r="D39" i="26" s="1"/>
  <c r="S796" i="2"/>
  <c r="S797" i="2"/>
  <c r="S799" i="2"/>
  <c r="P965" i="2"/>
  <c r="P755" i="2" s="1"/>
  <c r="Q965" i="2"/>
  <c r="Q755" i="2" s="1"/>
  <c r="K675" i="2"/>
  <c r="Q674" i="2"/>
  <c r="V805" i="2"/>
  <c r="F70" i="33" s="1"/>
  <c r="F10" i="33"/>
  <c r="F18" i="33"/>
  <c r="F11" i="33"/>
  <c r="F17" i="33"/>
  <c r="C18" i="33"/>
  <c r="F9" i="33"/>
  <c r="C68" i="33"/>
  <c r="O752" i="2"/>
  <c r="O756" i="2" s="1"/>
  <c r="F15" i="33"/>
  <c r="P752" i="2"/>
  <c r="F16" i="33"/>
  <c r="Q704" i="2"/>
  <c r="C17" i="33"/>
  <c r="O731" i="2"/>
  <c r="D29" i="26" s="1"/>
  <c r="L29" i="26" s="1"/>
  <c r="N675" i="2"/>
  <c r="N706" i="2" s="1"/>
  <c r="D46" i="26"/>
  <c r="D47" i="26" s="1"/>
  <c r="D46" i="17"/>
  <c r="D47" i="17" s="1"/>
  <c r="Q717" i="2"/>
  <c r="Q725" i="2" s="1"/>
  <c r="H657" i="2"/>
  <c r="C49" i="25" s="1"/>
  <c r="I657" i="2"/>
  <c r="D46" i="32" s="1"/>
  <c r="J46" i="32" s="1"/>
  <c r="J47" i="32" s="1"/>
  <c r="S657" i="2"/>
  <c r="M657" i="2"/>
  <c r="D46" i="21" s="1"/>
  <c r="I46" i="21" s="1"/>
  <c r="I47" i="21" s="1"/>
  <c r="L657" i="2"/>
  <c r="L669" i="2" s="1"/>
  <c r="N657" i="2"/>
  <c r="D46" i="25" s="1"/>
  <c r="J46" i="25" s="1"/>
  <c r="J47" i="25" s="1"/>
  <c r="K657" i="2"/>
  <c r="D46" i="19" s="1"/>
  <c r="D47" i="19" s="1"/>
  <c r="N731" i="2"/>
  <c r="D29" i="25" s="1"/>
  <c r="L29" i="25" s="1"/>
  <c r="O675" i="2"/>
  <c r="O706" i="2" s="1"/>
  <c r="D16" i="19"/>
  <c r="F15" i="19"/>
  <c r="F16" i="19" s="1"/>
  <c r="H15" i="20"/>
  <c r="H16" i="20" s="1"/>
  <c r="E22" i="26"/>
  <c r="J22" i="20"/>
  <c r="I15" i="26"/>
  <c r="I16" i="26" s="1"/>
  <c r="L675" i="2"/>
  <c r="J15" i="20"/>
  <c r="J16" i="20" s="1"/>
  <c r="H15" i="26"/>
  <c r="H16" i="26" s="1"/>
  <c r="L14" i="20"/>
  <c r="D16" i="26"/>
  <c r="G15" i="20"/>
  <c r="G16" i="20" s="1"/>
  <c r="I15" i="20"/>
  <c r="I16" i="20" s="1"/>
  <c r="F15" i="20"/>
  <c r="F16" i="20" s="1"/>
  <c r="D16" i="20"/>
  <c r="E15" i="20"/>
  <c r="E16" i="20" s="1"/>
  <c r="E36" i="17"/>
  <c r="E39" i="17" s="1"/>
  <c r="F15" i="21"/>
  <c r="F16" i="21" s="1"/>
  <c r="L30" i="19"/>
  <c r="G15" i="17"/>
  <c r="G16" i="17" s="1"/>
  <c r="H15" i="19"/>
  <c r="H16" i="19" s="1"/>
  <c r="G15" i="19"/>
  <c r="G16" i="19" s="1"/>
  <c r="I15" i="19"/>
  <c r="I16" i="19" s="1"/>
  <c r="I676" i="2"/>
  <c r="K731" i="2"/>
  <c r="D29" i="19" s="1"/>
  <c r="L29" i="19" s="1"/>
  <c r="L731" i="2"/>
  <c r="D29" i="20" s="1"/>
  <c r="L29" i="20" s="1"/>
  <c r="F15" i="25"/>
  <c r="F16" i="25" s="1"/>
  <c r="J15" i="26"/>
  <c r="J16" i="26" s="1"/>
  <c r="E15" i="26"/>
  <c r="E16" i="26" s="1"/>
  <c r="G15" i="26"/>
  <c r="G16" i="26" s="1"/>
  <c r="F15" i="26"/>
  <c r="F16" i="26" s="1"/>
  <c r="N769" i="2"/>
  <c r="J15" i="19"/>
  <c r="J16" i="19" s="1"/>
  <c r="I15" i="25"/>
  <c r="I16" i="25" s="1"/>
  <c r="H15" i="25"/>
  <c r="H16" i="25" s="1"/>
  <c r="J15" i="25"/>
  <c r="J16" i="25" s="1"/>
  <c r="G15" i="25"/>
  <c r="G16" i="25" s="1"/>
  <c r="E22" i="25"/>
  <c r="E15" i="25"/>
  <c r="E16" i="25" s="1"/>
  <c r="D16" i="25"/>
  <c r="L14" i="25"/>
  <c r="Q752" i="2"/>
  <c r="K752" i="2"/>
  <c r="K756" i="2" s="1"/>
  <c r="F34" i="33" s="1"/>
  <c r="D22" i="19"/>
  <c r="E22" i="19" s="1"/>
  <c r="D30" i="27"/>
  <c r="E15" i="19"/>
  <c r="E16" i="19" s="1"/>
  <c r="J675" i="2"/>
  <c r="J706" i="2" s="1"/>
  <c r="J754" i="2"/>
  <c r="H15" i="21"/>
  <c r="H16" i="21" s="1"/>
  <c r="L14" i="21"/>
  <c r="I731" i="2"/>
  <c r="D29" i="32" s="1"/>
  <c r="L29" i="32" s="1"/>
  <c r="S756" i="2"/>
  <c r="D22" i="21"/>
  <c r="E22" i="21" s="1"/>
  <c r="U756" i="2"/>
  <c r="F44" i="33" s="1"/>
  <c r="M754" i="2"/>
  <c r="M756" i="2" s="1"/>
  <c r="F36" i="33" s="1"/>
  <c r="M731" i="2"/>
  <c r="D29" i="21" s="1"/>
  <c r="L29" i="21" s="1"/>
  <c r="M675" i="2"/>
  <c r="M706" i="2" s="1"/>
  <c r="K30" i="17"/>
  <c r="L30" i="17" s="1"/>
  <c r="L30" i="25"/>
  <c r="F15" i="17"/>
  <c r="F16" i="17" s="1"/>
  <c r="I36" i="17"/>
  <c r="I39" i="17" s="1"/>
  <c r="I15" i="17"/>
  <c r="I16" i="17" s="1"/>
  <c r="P706" i="2"/>
  <c r="J15" i="21"/>
  <c r="J16" i="21" s="1"/>
  <c r="D16" i="21"/>
  <c r="G36" i="17"/>
  <c r="G39" i="17" s="1"/>
  <c r="J36" i="17"/>
  <c r="J39" i="17" s="1"/>
  <c r="E15" i="17"/>
  <c r="E16" i="17" s="1"/>
  <c r="D16" i="17"/>
  <c r="G15" i="21"/>
  <c r="G16" i="21" s="1"/>
  <c r="F36" i="17"/>
  <c r="F39" i="17" s="1"/>
  <c r="H15" i="17"/>
  <c r="H16" i="17" s="1"/>
  <c r="J15" i="17"/>
  <c r="J16" i="17" s="1"/>
  <c r="E15" i="21"/>
  <c r="E16" i="21" s="1"/>
  <c r="R752" i="2"/>
  <c r="J752" i="2"/>
  <c r="I752" i="2"/>
  <c r="I756" i="2" s="1"/>
  <c r="F32" i="33" s="1"/>
  <c r="U706" i="2"/>
  <c r="U710" i="2" s="1"/>
  <c r="U743" i="2" s="1"/>
  <c r="R717" i="2"/>
  <c r="R725" i="2" s="1"/>
  <c r="I675" i="2"/>
  <c r="R704" i="2"/>
  <c r="Q706" i="2"/>
  <c r="D22" i="17"/>
  <c r="J22" i="25"/>
  <c r="K30" i="27"/>
  <c r="F22" i="25"/>
  <c r="H22" i="25"/>
  <c r="N756" i="2"/>
  <c r="G22" i="25"/>
  <c r="I22" i="25"/>
  <c r="R675" i="2"/>
  <c r="R706" i="2" s="1"/>
  <c r="R754" i="2"/>
  <c r="R731" i="2"/>
  <c r="G129" i="2"/>
  <c r="W123" i="2"/>
  <c r="X123" i="2" s="1"/>
  <c r="Y123" i="2" s="1"/>
  <c r="E14" i="14"/>
  <c r="V706" i="2"/>
  <c r="V710" i="2" s="1"/>
  <c r="D28" i="26"/>
  <c r="D28" i="17"/>
  <c r="J22" i="26"/>
  <c r="F22" i="26"/>
  <c r="L30" i="32"/>
  <c r="W679" i="2"/>
  <c r="X679" i="2" s="1"/>
  <c r="Y679" i="2" s="1"/>
  <c r="G735" i="2"/>
  <c r="W735" i="2" s="1"/>
  <c r="X735" i="2" s="1"/>
  <c r="Y735" i="2" s="1"/>
  <c r="H752" i="2"/>
  <c r="I22" i="20"/>
  <c r="H22" i="20"/>
  <c r="K29" i="27"/>
  <c r="G730" i="2"/>
  <c r="G965" i="2"/>
  <c r="G674" i="2"/>
  <c r="W231" i="2"/>
  <c r="X231" i="2" s="1"/>
  <c r="Y231" i="2" s="1"/>
  <c r="P704" i="2"/>
  <c r="P717" i="2"/>
  <c r="P725" i="2" s="1"/>
  <c r="C39" i="33" s="1"/>
  <c r="W636" i="2"/>
  <c r="X636" i="2" s="1"/>
  <c r="Y636" i="2" s="1"/>
  <c r="G767" i="2"/>
  <c r="G708" i="2"/>
  <c r="K15" i="32"/>
  <c r="E16" i="32"/>
  <c r="I22" i="26"/>
  <c r="D16" i="27"/>
  <c r="E15" i="27"/>
  <c r="H15" i="27"/>
  <c r="H16" i="27" s="1"/>
  <c r="G15" i="27"/>
  <c r="G16" i="27" s="1"/>
  <c r="F15" i="27"/>
  <c r="F16" i="27" s="1"/>
  <c r="J15" i="27"/>
  <c r="J16" i="27" s="1"/>
  <c r="L14" i="27"/>
  <c r="I15" i="27"/>
  <c r="I16" i="27" s="1"/>
  <c r="F22" i="20"/>
  <c r="E22" i="20"/>
  <c r="G22" i="20"/>
  <c r="H754" i="2"/>
  <c r="H675" i="2"/>
  <c r="H706" i="2" s="1"/>
  <c r="H731" i="2"/>
  <c r="D29" i="27" s="1"/>
  <c r="D28" i="20"/>
  <c r="T754" i="2"/>
  <c r="T756" i="2" s="1"/>
  <c r="F43" i="33" s="1"/>
  <c r="T731" i="2"/>
  <c r="T675" i="2"/>
  <c r="D28" i="32"/>
  <c r="W14" i="2"/>
  <c r="X14" i="2" s="1"/>
  <c r="Y14" i="2" s="1"/>
  <c r="G753" i="2"/>
  <c r="W753" i="2" s="1"/>
  <c r="X753" i="2" s="1"/>
  <c r="Y753" i="2" s="1"/>
  <c r="G59" i="2"/>
  <c r="W59" i="2" s="1"/>
  <c r="X59" i="2" s="1"/>
  <c r="Y59" i="2" s="1"/>
  <c r="H769" i="2"/>
  <c r="D22" i="27"/>
  <c r="F22" i="27" s="1"/>
  <c r="H22" i="26"/>
  <c r="G22" i="26"/>
  <c r="K30" i="20"/>
  <c r="L30" i="26"/>
  <c r="D28" i="19"/>
  <c r="W294" i="2"/>
  <c r="X294" i="2" s="1"/>
  <c r="Y294" i="2" s="1"/>
  <c r="G300" i="2"/>
  <c r="J704" i="2"/>
  <c r="J717" i="2"/>
  <c r="J725" i="2" s="1"/>
  <c r="C33" i="33" s="1"/>
  <c r="W408" i="2"/>
  <c r="X408" i="2" s="1"/>
  <c r="Y408" i="2" s="1"/>
  <c r="G414" i="2"/>
  <c r="L30" i="21"/>
  <c r="D28" i="27"/>
  <c r="O704" i="2"/>
  <c r="O717" i="2"/>
  <c r="O725" i="2" s="1"/>
  <c r="C38" i="33" s="1"/>
  <c r="L29" i="17"/>
  <c r="G682" i="2"/>
  <c r="W961" i="2"/>
  <c r="X961" i="2" s="1"/>
  <c r="Y961" i="2" s="1"/>
  <c r="G738" i="2"/>
  <c r="L756" i="2"/>
  <c r="F35" i="33" s="1"/>
  <c r="W402" i="2"/>
  <c r="X402" i="2" s="1"/>
  <c r="Y402" i="2" s="1"/>
  <c r="G732" i="2"/>
  <c r="G676" i="2"/>
  <c r="D28" i="21"/>
  <c r="W574" i="2"/>
  <c r="X574" i="2" s="1"/>
  <c r="Y574" i="2" s="1"/>
  <c r="L678" i="2"/>
  <c r="W678" i="2" s="1"/>
  <c r="X678" i="2" s="1"/>
  <c r="Y678" i="2" s="1"/>
  <c r="L734" i="2"/>
  <c r="D30" i="20" s="1"/>
  <c r="I769" i="2"/>
  <c r="D22" i="32"/>
  <c r="K706" i="2"/>
  <c r="D28" i="25"/>
  <c r="H36" i="17" l="1"/>
  <c r="H39" i="17" s="1"/>
  <c r="F36" i="26"/>
  <c r="F39" i="26" s="1"/>
  <c r="J36" i="26"/>
  <c r="J39" i="26" s="1"/>
  <c r="G36" i="26"/>
  <c r="G39" i="26" s="1"/>
  <c r="I36" i="26"/>
  <c r="I39" i="26" s="1"/>
  <c r="E36" i="26"/>
  <c r="E39" i="26" s="1"/>
  <c r="H36" i="26"/>
  <c r="H39" i="26" s="1"/>
  <c r="D36" i="20"/>
  <c r="E36" i="20" s="1"/>
  <c r="E39" i="20" s="1"/>
  <c r="D36" i="25"/>
  <c r="E36" i="25" s="1"/>
  <c r="E39" i="25" s="1"/>
  <c r="D36" i="27"/>
  <c r="I36" i="27" s="1"/>
  <c r="I39" i="27" s="1"/>
  <c r="D36" i="32"/>
  <c r="H36" i="32" s="1"/>
  <c r="H39" i="32" s="1"/>
  <c r="D36" i="21"/>
  <c r="D36" i="19"/>
  <c r="P756" i="2"/>
  <c r="P805" i="2" s="1"/>
  <c r="Q756" i="2"/>
  <c r="Q805" i="2" s="1"/>
  <c r="G46" i="26"/>
  <c r="G47" i="26" s="1"/>
  <c r="I46" i="26"/>
  <c r="I47" i="26" s="1"/>
  <c r="Q710" i="2"/>
  <c r="Q736" i="2" s="1"/>
  <c r="E46" i="26"/>
  <c r="E47" i="26" s="1"/>
  <c r="O805" i="2"/>
  <c r="F38" i="33"/>
  <c r="Q763" i="2"/>
  <c r="C40" i="33"/>
  <c r="F37" i="33"/>
  <c r="L704" i="2"/>
  <c r="C12" i="33"/>
  <c r="R780" i="2"/>
  <c r="R788" i="2" s="1"/>
  <c r="C66" i="33" s="1"/>
  <c r="C41" i="33"/>
  <c r="F42" i="33"/>
  <c r="E46" i="21"/>
  <c r="E47" i="21" s="1"/>
  <c r="F46" i="26"/>
  <c r="F47" i="26" s="1"/>
  <c r="J46" i="26"/>
  <c r="J47" i="26" s="1"/>
  <c r="G46" i="17"/>
  <c r="G47" i="17" s="1"/>
  <c r="F46" i="17"/>
  <c r="F47" i="17" s="1"/>
  <c r="E46" i="17"/>
  <c r="E47" i="17" s="1"/>
  <c r="I46" i="17"/>
  <c r="I47" i="17" s="1"/>
  <c r="H46" i="25"/>
  <c r="H47" i="25" s="1"/>
  <c r="H46" i="17"/>
  <c r="H47" i="17" s="1"/>
  <c r="J46" i="17"/>
  <c r="J47" i="17" s="1"/>
  <c r="F46" i="25"/>
  <c r="F47" i="25" s="1"/>
  <c r="E46" i="25"/>
  <c r="E47" i="25" s="1"/>
  <c r="G46" i="21"/>
  <c r="G47" i="21" s="1"/>
  <c r="H46" i="26"/>
  <c r="H47" i="26" s="1"/>
  <c r="I706" i="2"/>
  <c r="I46" i="19"/>
  <c r="I47" i="19" s="1"/>
  <c r="F46" i="19"/>
  <c r="F47" i="19" s="1"/>
  <c r="J46" i="19"/>
  <c r="J47" i="19" s="1"/>
  <c r="Q780" i="2"/>
  <c r="Q788" i="2" s="1"/>
  <c r="H46" i="19"/>
  <c r="H47" i="19" s="1"/>
  <c r="E46" i="19"/>
  <c r="E47" i="19" s="1"/>
  <c r="G46" i="19"/>
  <c r="G47" i="19" s="1"/>
  <c r="K669" i="2"/>
  <c r="K717" i="2" s="1"/>
  <c r="K725" i="2" s="1"/>
  <c r="D46" i="20"/>
  <c r="D47" i="20" s="1"/>
  <c r="L30" i="27"/>
  <c r="D47" i="32"/>
  <c r="D47" i="25"/>
  <c r="I46" i="25"/>
  <c r="I47" i="25" s="1"/>
  <c r="N669" i="2"/>
  <c r="F46" i="32"/>
  <c r="F47" i="32" s="1"/>
  <c r="H46" i="32"/>
  <c r="H47" i="32" s="1"/>
  <c r="E46" i="32"/>
  <c r="E47" i="32" s="1"/>
  <c r="I46" i="32"/>
  <c r="I47" i="32" s="1"/>
  <c r="C49" i="19"/>
  <c r="C49" i="20"/>
  <c r="H669" i="2"/>
  <c r="G46" i="32"/>
  <c r="G47" i="32" s="1"/>
  <c r="G46" i="25"/>
  <c r="G47" i="25" s="1"/>
  <c r="I669" i="2"/>
  <c r="C49" i="27"/>
  <c r="C49" i="26"/>
  <c r="C49" i="32"/>
  <c r="L717" i="2"/>
  <c r="L725" i="2" s="1"/>
  <c r="C49" i="17"/>
  <c r="D46" i="27"/>
  <c r="D47" i="27" s="1"/>
  <c r="C49" i="21"/>
  <c r="J756" i="2"/>
  <c r="F33" i="33" s="1"/>
  <c r="H46" i="21"/>
  <c r="H47" i="21" s="1"/>
  <c r="D47" i="21"/>
  <c r="J46" i="21"/>
  <c r="J47" i="21" s="1"/>
  <c r="F46" i="21"/>
  <c r="F47" i="21" s="1"/>
  <c r="M669" i="2"/>
  <c r="S669" i="2"/>
  <c r="C19" i="33" s="1"/>
  <c r="K15" i="20"/>
  <c r="L15" i="20" s="1"/>
  <c r="W676" i="2"/>
  <c r="X676" i="2" s="1"/>
  <c r="Y676" i="2" s="1"/>
  <c r="K15" i="26"/>
  <c r="K16" i="26" s="1"/>
  <c r="L16" i="26" s="1"/>
  <c r="F22" i="19"/>
  <c r="S805" i="2"/>
  <c r="R710" i="2"/>
  <c r="R736" i="2" s="1"/>
  <c r="H22" i="19"/>
  <c r="I22" i="21"/>
  <c r="K15" i="25"/>
  <c r="L15" i="25" s="1"/>
  <c r="F22" i="21"/>
  <c r="K15" i="19"/>
  <c r="L15" i="19" s="1"/>
  <c r="U742" i="2"/>
  <c r="G22" i="19"/>
  <c r="J22" i="19"/>
  <c r="I22" i="19"/>
  <c r="N805" i="2"/>
  <c r="H22" i="21"/>
  <c r="U741" i="2"/>
  <c r="G22" i="21"/>
  <c r="U680" i="2"/>
  <c r="U684" i="2" s="1"/>
  <c r="P710" i="2"/>
  <c r="P680" i="2" s="1"/>
  <c r="P684" i="2" s="1"/>
  <c r="D16" i="33" s="1"/>
  <c r="E16" i="33" s="1"/>
  <c r="G16" i="33" s="1"/>
  <c r="U736" i="2"/>
  <c r="U805" i="2"/>
  <c r="F69" i="33" s="1"/>
  <c r="J22" i="21"/>
  <c r="R763" i="2"/>
  <c r="M805" i="2"/>
  <c r="I805" i="2"/>
  <c r="K22" i="25"/>
  <c r="L22" i="25" s="1"/>
  <c r="K15" i="21"/>
  <c r="J710" i="2"/>
  <c r="J736" i="2" s="1"/>
  <c r="K39" i="17"/>
  <c r="L39" i="17" s="1"/>
  <c r="R756" i="2"/>
  <c r="K15" i="17"/>
  <c r="K16" i="17" s="1"/>
  <c r="L16" i="17" s="1"/>
  <c r="J22" i="17"/>
  <c r="H22" i="17"/>
  <c r="G22" i="17"/>
  <c r="F22" i="17"/>
  <c r="I22" i="17"/>
  <c r="E22" i="17"/>
  <c r="K22" i="26"/>
  <c r="L22" i="26" s="1"/>
  <c r="L706" i="2"/>
  <c r="T805" i="2"/>
  <c r="Y782" i="2"/>
  <c r="L28" i="25"/>
  <c r="K805" i="2"/>
  <c r="W732" i="2"/>
  <c r="X732" i="2" s="1"/>
  <c r="Y732" i="2" s="1"/>
  <c r="L28" i="20"/>
  <c r="H756" i="2"/>
  <c r="F31" i="33" s="1"/>
  <c r="L28" i="26"/>
  <c r="I22" i="32"/>
  <c r="H22" i="32"/>
  <c r="G22" i="32"/>
  <c r="J22" i="32"/>
  <c r="E22" i="32"/>
  <c r="F22" i="32"/>
  <c r="D31" i="14"/>
  <c r="E31" i="14" s="1"/>
  <c r="K31" i="14" s="1"/>
  <c r="L31" i="14" s="1"/>
  <c r="W738" i="2"/>
  <c r="X738" i="2" s="1"/>
  <c r="Y738" i="2" s="1"/>
  <c r="O763" i="2"/>
  <c r="O780" i="2"/>
  <c r="O788" i="2" s="1"/>
  <c r="C63" i="33" s="1"/>
  <c r="J763" i="2"/>
  <c r="J780" i="2"/>
  <c r="J788" i="2" s="1"/>
  <c r="C58" i="33" s="1"/>
  <c r="L28" i="19"/>
  <c r="L28" i="21"/>
  <c r="E30" i="14"/>
  <c r="K30" i="14" s="1"/>
  <c r="W414" i="2"/>
  <c r="X414" i="2" s="1"/>
  <c r="Y414" i="2" s="1"/>
  <c r="G459" i="2"/>
  <c r="L30" i="20"/>
  <c r="K22" i="20"/>
  <c r="L22" i="20" s="1"/>
  <c r="H22" i="27"/>
  <c r="E22" i="27"/>
  <c r="P780" i="2"/>
  <c r="P788" i="2" s="1"/>
  <c r="C64" i="33" s="1"/>
  <c r="P763" i="2"/>
  <c r="W674" i="2"/>
  <c r="X674" i="2" s="1"/>
  <c r="Y674" i="2" s="1"/>
  <c r="L28" i="17"/>
  <c r="V736" i="2"/>
  <c r="V742" i="2"/>
  <c r="V680" i="2"/>
  <c r="V684" i="2" s="1"/>
  <c r="V743" i="2"/>
  <c r="V741" i="2"/>
  <c r="W129" i="2"/>
  <c r="X129" i="2" s="1"/>
  <c r="Y129" i="2" s="1"/>
  <c r="G174" i="2"/>
  <c r="L805" i="2"/>
  <c r="O710" i="2"/>
  <c r="L28" i="27"/>
  <c r="T706" i="2"/>
  <c r="T710" i="2" s="1"/>
  <c r="I22" i="27"/>
  <c r="J22" i="27"/>
  <c r="G22" i="27"/>
  <c r="L15" i="32"/>
  <c r="K16" i="32"/>
  <c r="L16" i="32" s="1"/>
  <c r="W708" i="2"/>
  <c r="X708" i="2" s="1"/>
  <c r="Y708" i="2" s="1"/>
  <c r="G769" i="2"/>
  <c r="W769" i="2" s="1"/>
  <c r="X769" i="2" s="1"/>
  <c r="Y769" i="2" s="1"/>
  <c r="W965" i="2"/>
  <c r="X965" i="2" s="1"/>
  <c r="Y965" i="2" s="1"/>
  <c r="G755" i="2"/>
  <c r="W755" i="2" s="1"/>
  <c r="X755" i="2" s="1"/>
  <c r="Y755" i="2" s="1"/>
  <c r="L29" i="27"/>
  <c r="E29" i="14"/>
  <c r="G345" i="2"/>
  <c r="W300" i="2"/>
  <c r="X300" i="2" s="1"/>
  <c r="Y300" i="2" s="1"/>
  <c r="L28" i="32"/>
  <c r="K15" i="27"/>
  <c r="E16" i="27"/>
  <c r="W767" i="2"/>
  <c r="X767" i="2" s="1"/>
  <c r="Y767" i="2" s="1"/>
  <c r="D22" i="14"/>
  <c r="W730" i="2"/>
  <c r="X730" i="2" s="1"/>
  <c r="Y730" i="2" s="1"/>
  <c r="D28" i="14"/>
  <c r="W734" i="2"/>
  <c r="X734" i="2" s="1"/>
  <c r="Y734" i="2" s="1"/>
  <c r="K14" i="14"/>
  <c r="K763" i="2" l="1"/>
  <c r="C34" i="33"/>
  <c r="F39" i="33"/>
  <c r="K36" i="17"/>
  <c r="L36" i="17" s="1"/>
  <c r="K36" i="26"/>
  <c r="L36" i="26" s="1"/>
  <c r="F40" i="33"/>
  <c r="K39" i="26"/>
  <c r="L39" i="26" s="1"/>
  <c r="E36" i="32"/>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D39" i="25"/>
  <c r="G36" i="25"/>
  <c r="G39" i="25" s="1"/>
  <c r="J36" i="25"/>
  <c r="J39" i="25" s="1"/>
  <c r="I36" i="25"/>
  <c r="I39" i="25" s="1"/>
  <c r="H36" i="25"/>
  <c r="H39" i="25" s="1"/>
  <c r="F36" i="25"/>
  <c r="G36" i="27"/>
  <c r="D39" i="27"/>
  <c r="J36" i="27"/>
  <c r="J39" i="27" s="1"/>
  <c r="J36" i="32"/>
  <c r="J39" i="32" s="1"/>
  <c r="E39" i="32"/>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Q741" i="2"/>
  <c r="Q743" i="2"/>
  <c r="Q680" i="2"/>
  <c r="Q684" i="2" s="1"/>
  <c r="D17" i="33" s="1"/>
  <c r="E17" i="33" s="1"/>
  <c r="G17" i="33" s="1"/>
  <c r="Q742" i="2"/>
  <c r="R680" i="2"/>
  <c r="R684" i="2" s="1"/>
  <c r="D18" i="33" s="1"/>
  <c r="E18" i="33" s="1"/>
  <c r="G18" i="33" s="1"/>
  <c r="L710" i="2"/>
  <c r="L736" i="2" s="1"/>
  <c r="F59" i="33"/>
  <c r="F57" i="33"/>
  <c r="F62" i="33"/>
  <c r="F67" i="33"/>
  <c r="F60" i="33"/>
  <c r="F68" i="33"/>
  <c r="F41" i="33"/>
  <c r="C13" i="33"/>
  <c r="N717" i="2"/>
  <c r="N725" i="2" s="1"/>
  <c r="N780" i="2" s="1"/>
  <c r="N788" i="2" s="1"/>
  <c r="C14" i="33"/>
  <c r="F65" i="33"/>
  <c r="F61" i="33"/>
  <c r="J805" i="2"/>
  <c r="C35" i="33"/>
  <c r="I704" i="2"/>
  <c r="I710" i="2" s="1"/>
  <c r="I742" i="2" s="1"/>
  <c r="C9" i="33"/>
  <c r="C8" i="33"/>
  <c r="F64" i="33"/>
  <c r="D21" i="33"/>
  <c r="E21" i="33" s="1"/>
  <c r="G21" i="33" s="1"/>
  <c r="K704" i="2"/>
  <c r="K710" i="2" s="1"/>
  <c r="K742" i="2" s="1"/>
  <c r="C11" i="33"/>
  <c r="C65" i="33"/>
  <c r="F63" i="33"/>
  <c r="L763" i="2"/>
  <c r="H704" i="2"/>
  <c r="H710" i="2" s="1"/>
  <c r="H742" i="2" s="1"/>
  <c r="I46" i="27"/>
  <c r="I47" i="27" s="1"/>
  <c r="K47" i="26"/>
  <c r="L47" i="26" s="1"/>
  <c r="K46" i="17"/>
  <c r="L46" i="17" s="1"/>
  <c r="G46" i="27"/>
  <c r="G47" i="27" s="1"/>
  <c r="H46" i="27"/>
  <c r="H47" i="27" s="1"/>
  <c r="K47" i="17"/>
  <c r="L47" i="17" s="1"/>
  <c r="J46" i="27"/>
  <c r="J47" i="27" s="1"/>
  <c r="E46" i="27"/>
  <c r="K46" i="26"/>
  <c r="L46" i="26" s="1"/>
  <c r="F46" i="27"/>
  <c r="F47" i="27" s="1"/>
  <c r="K47" i="19"/>
  <c r="L47" i="19" s="1"/>
  <c r="I717" i="2"/>
  <c r="I725" i="2" s="1"/>
  <c r="F46" i="20"/>
  <c r="F47" i="20" s="1"/>
  <c r="G46" i="20"/>
  <c r="G47" i="20" s="1"/>
  <c r="L780" i="2"/>
  <c r="L788" i="2" s="1"/>
  <c r="K46" i="19"/>
  <c r="L46" i="19" s="1"/>
  <c r="H717" i="2"/>
  <c r="H725" i="2" s="1"/>
  <c r="H46" i="20"/>
  <c r="H47" i="20" s="1"/>
  <c r="J46" i="20"/>
  <c r="J47" i="20" s="1"/>
  <c r="E46" i="20"/>
  <c r="E47" i="20" s="1"/>
  <c r="I46" i="20"/>
  <c r="I47" i="20" s="1"/>
  <c r="M717" i="2"/>
  <c r="M725" i="2" s="1"/>
  <c r="K47" i="25"/>
  <c r="L47" i="25" s="1"/>
  <c r="K46" i="25"/>
  <c r="L46" i="25" s="1"/>
  <c r="K47" i="32"/>
  <c r="L47" i="32" s="1"/>
  <c r="K46" i="32"/>
  <c r="L46" i="32" s="1"/>
  <c r="K46" i="21"/>
  <c r="L46" i="21" s="1"/>
  <c r="N704" i="2"/>
  <c r="N710" i="2" s="1"/>
  <c r="N743" i="2" s="1"/>
  <c r="M704" i="2"/>
  <c r="M710" i="2" s="1"/>
  <c r="M742" i="2" s="1"/>
  <c r="K780" i="2"/>
  <c r="K788" i="2" s="1"/>
  <c r="K47" i="21"/>
  <c r="L47" i="21" s="1"/>
  <c r="S704" i="2"/>
  <c r="S710" i="2" s="1"/>
  <c r="S717" i="2"/>
  <c r="S725" i="2" s="1"/>
  <c r="C42" i="33" s="1"/>
  <c r="U686" i="2"/>
  <c r="L15" i="26"/>
  <c r="K16" i="20"/>
  <c r="L16" i="20" s="1"/>
  <c r="L15" i="17"/>
  <c r="J680" i="2"/>
  <c r="J684" i="2" s="1"/>
  <c r="D10" i="33" s="1"/>
  <c r="E10" i="33" s="1"/>
  <c r="G10" i="33" s="1"/>
  <c r="K16" i="25"/>
  <c r="L16" i="25" s="1"/>
  <c r="P742" i="2"/>
  <c r="R741" i="2"/>
  <c r="K16" i="19"/>
  <c r="L16" i="19" s="1"/>
  <c r="P741" i="2"/>
  <c r="R743" i="2"/>
  <c r="R742" i="2"/>
  <c r="U744" i="2"/>
  <c r="U765" i="2" s="1"/>
  <c r="U771" i="2" s="1"/>
  <c r="K22" i="19"/>
  <c r="L22" i="19" s="1"/>
  <c r="K22" i="21"/>
  <c r="L22" i="21" s="1"/>
  <c r="P736" i="2"/>
  <c r="J743" i="2"/>
  <c r="P743" i="2"/>
  <c r="R805" i="2"/>
  <c r="U748" i="2"/>
  <c r="D44" i="33" s="1"/>
  <c r="E44" i="33" s="1"/>
  <c r="G44" i="33" s="1"/>
  <c r="J742" i="2"/>
  <c r="J741" i="2"/>
  <c r="L15" i="21"/>
  <c r="K16" i="21"/>
  <c r="L16" i="21" s="1"/>
  <c r="K22" i="17"/>
  <c r="L22" i="17" s="1"/>
  <c r="L15" i="27"/>
  <c r="K16" i="27"/>
  <c r="L16" i="27" s="1"/>
  <c r="G731" i="2"/>
  <c r="W345" i="2"/>
  <c r="X345" i="2" s="1"/>
  <c r="Y345" i="2" s="1"/>
  <c r="G754" i="2"/>
  <c r="W754" i="2" s="1"/>
  <c r="X754" i="2" s="1"/>
  <c r="Y754" i="2" s="1"/>
  <c r="G675" i="2"/>
  <c r="D14" i="14"/>
  <c r="L14" i="14" s="1"/>
  <c r="G688" i="2"/>
  <c r="F7" i="33" s="1"/>
  <c r="F22" i="33" s="1"/>
  <c r="G959" i="2"/>
  <c r="G784" i="2" s="1"/>
  <c r="W174" i="2"/>
  <c r="X174" i="2" s="1"/>
  <c r="Y174" i="2" s="1"/>
  <c r="V793" i="2"/>
  <c r="V686" i="2"/>
  <c r="H805" i="2"/>
  <c r="L741" i="2"/>
  <c r="L28" i="14"/>
  <c r="K29" i="14"/>
  <c r="T743" i="2"/>
  <c r="T680" i="2"/>
  <c r="T684" i="2" s="1"/>
  <c r="D20" i="33" s="1"/>
  <c r="E20" i="33" s="1"/>
  <c r="G20" i="33" s="1"/>
  <c r="T742" i="2"/>
  <c r="T736" i="2"/>
  <c r="T741" i="2"/>
  <c r="O736" i="2"/>
  <c r="O742" i="2"/>
  <c r="O743" i="2"/>
  <c r="O741" i="2"/>
  <c r="O680" i="2"/>
  <c r="P686" i="2"/>
  <c r="V744" i="2"/>
  <c r="V748" i="2"/>
  <c r="D45" i="33" s="1"/>
  <c r="W459" i="2"/>
  <c r="X459" i="2" s="1"/>
  <c r="Y459" i="2" s="1"/>
  <c r="G677" i="2"/>
  <c r="K22" i="27"/>
  <c r="L22" i="27" s="1"/>
  <c r="K22" i="32"/>
  <c r="L22" i="32" s="1"/>
  <c r="F39" i="20" l="1"/>
  <c r="K39" i="20" s="1"/>
  <c r="L39" i="20" s="1"/>
  <c r="K36" i="20"/>
  <c r="L36" i="20" s="1"/>
  <c r="K39" i="32"/>
  <c r="L39" i="32" s="1"/>
  <c r="F39" i="25"/>
  <c r="K39" i="25" s="1"/>
  <c r="L39" i="25" s="1"/>
  <c r="K36" i="25"/>
  <c r="L36" i="25" s="1"/>
  <c r="K36" i="32"/>
  <c r="L36" i="32" s="1"/>
  <c r="G39" i="27"/>
  <c r="K39" i="27" s="1"/>
  <c r="L39" i="27" s="1"/>
  <c r="K36" i="27"/>
  <c r="L36" i="27" s="1"/>
  <c r="W784" i="2"/>
  <c r="X784" i="2" s="1"/>
  <c r="Y784" i="2" s="1"/>
  <c r="G797" i="2"/>
  <c r="W797" i="2" s="1"/>
  <c r="X797" i="2" s="1"/>
  <c r="Y797" i="2" s="1"/>
  <c r="G796" i="2"/>
  <c r="G799" i="2"/>
  <c r="W799" i="2" s="1"/>
  <c r="X799" i="2" s="1"/>
  <c r="Y799" i="2" s="1"/>
  <c r="E39" i="21"/>
  <c r="K39" i="21" s="1"/>
  <c r="L39" i="21" s="1"/>
  <c r="K36" i="21"/>
  <c r="L36" i="21" s="1"/>
  <c r="E39" i="19"/>
  <c r="K39" i="19" s="1"/>
  <c r="L39" i="19" s="1"/>
  <c r="K36" i="19"/>
  <c r="L36" i="19" s="1"/>
  <c r="R686" i="2"/>
  <c r="L680" i="2"/>
  <c r="L684" i="2" s="1"/>
  <c r="D12" i="33" s="1"/>
  <c r="E12" i="33" s="1"/>
  <c r="G12" i="33" s="1"/>
  <c r="Q748" i="2"/>
  <c r="Q750" i="2" s="1"/>
  <c r="Q758" i="2" s="1"/>
  <c r="K741" i="2"/>
  <c r="K736" i="2"/>
  <c r="K743" i="2"/>
  <c r="L742" i="2"/>
  <c r="K680" i="2"/>
  <c r="D26" i="19" s="1"/>
  <c r="L743" i="2"/>
  <c r="Q686" i="2"/>
  <c r="Q744" i="2"/>
  <c r="Q765" i="2" s="1"/>
  <c r="Q771" i="2" s="1"/>
  <c r="H741" i="2"/>
  <c r="H736" i="2"/>
  <c r="V750" i="2"/>
  <c r="V758" i="2" s="1"/>
  <c r="F66" i="33"/>
  <c r="C59" i="33"/>
  <c r="C62" i="33"/>
  <c r="I763" i="2"/>
  <c r="C32" i="33"/>
  <c r="F58" i="33"/>
  <c r="N763" i="2"/>
  <c r="C37" i="33"/>
  <c r="M780" i="2"/>
  <c r="M788" i="2" s="1"/>
  <c r="C36" i="33"/>
  <c r="C60" i="33"/>
  <c r="F56" i="33"/>
  <c r="U750" i="2"/>
  <c r="U758" i="2" s="1"/>
  <c r="E45" i="33"/>
  <c r="G45" i="33" s="1"/>
  <c r="H763" i="2"/>
  <c r="C31" i="33"/>
  <c r="I780" i="2"/>
  <c r="I788" i="2" s="1"/>
  <c r="H743" i="2"/>
  <c r="H680" i="2"/>
  <c r="D26" i="27" s="1"/>
  <c r="N741" i="2"/>
  <c r="N742" i="2"/>
  <c r="H780" i="2"/>
  <c r="H788" i="2" s="1"/>
  <c r="I743" i="2"/>
  <c r="I736" i="2"/>
  <c r="I680" i="2"/>
  <c r="D26" i="32" s="1"/>
  <c r="I741" i="2"/>
  <c r="N736" i="2"/>
  <c r="N680" i="2"/>
  <c r="D26" i="25" s="1"/>
  <c r="K47" i="20"/>
  <c r="L47" i="20" s="1"/>
  <c r="K46" i="27"/>
  <c r="L46" i="27" s="1"/>
  <c r="E47" i="27"/>
  <c r="K47" i="27" s="1"/>
  <c r="L47" i="27" s="1"/>
  <c r="K46" i="20"/>
  <c r="L46" i="20" s="1"/>
  <c r="M741" i="2"/>
  <c r="M763" i="2"/>
  <c r="M743" i="2"/>
  <c r="M736" i="2"/>
  <c r="M680" i="2"/>
  <c r="D26" i="21" s="1"/>
  <c r="S763" i="2"/>
  <c r="S780" i="2"/>
  <c r="S788" i="2" s="1"/>
  <c r="S742" i="2"/>
  <c r="S743" i="2"/>
  <c r="S741" i="2"/>
  <c r="S736" i="2"/>
  <c r="S680" i="2"/>
  <c r="S684" i="2" s="1"/>
  <c r="D19" i="33" s="1"/>
  <c r="E19" i="33" s="1"/>
  <c r="G19" i="33" s="1"/>
  <c r="D26" i="17"/>
  <c r="R748" i="2"/>
  <c r="R744" i="2"/>
  <c r="R765" i="2" s="1"/>
  <c r="R771" i="2" s="1"/>
  <c r="U793" i="2"/>
  <c r="U801" i="2" s="1"/>
  <c r="D69" i="33" s="1"/>
  <c r="E69" i="33" s="1"/>
  <c r="G69" i="33" s="1"/>
  <c r="P744" i="2"/>
  <c r="P765" i="2" s="1"/>
  <c r="P771" i="2" s="1"/>
  <c r="P748" i="2"/>
  <c r="J744" i="2"/>
  <c r="J748" i="2"/>
  <c r="D33" i="33" s="1"/>
  <c r="E33" i="33" s="1"/>
  <c r="G33" i="33" s="1"/>
  <c r="T744" i="2"/>
  <c r="T765" i="2" s="1"/>
  <c r="T771" i="2" s="1"/>
  <c r="T748" i="2"/>
  <c r="D43" i="33" s="1"/>
  <c r="E43" i="33" s="1"/>
  <c r="G43" i="33" s="1"/>
  <c r="J686" i="2"/>
  <c r="W675" i="2"/>
  <c r="X675" i="2" s="1"/>
  <c r="Y675" i="2" s="1"/>
  <c r="G706" i="2"/>
  <c r="W706" i="2" s="1"/>
  <c r="X706" i="2" s="1"/>
  <c r="Y706" i="2" s="1"/>
  <c r="W677" i="2"/>
  <c r="X677" i="2" s="1"/>
  <c r="Y677" i="2" s="1"/>
  <c r="G733" i="2"/>
  <c r="V801" i="2"/>
  <c r="V765" i="2"/>
  <c r="V771" i="2" s="1"/>
  <c r="D26" i="26"/>
  <c r="O684" i="2"/>
  <c r="D15" i="33" s="1"/>
  <c r="E15" i="33" s="1"/>
  <c r="G15" i="33" s="1"/>
  <c r="O748" i="2"/>
  <c r="D38" i="33" s="1"/>
  <c r="E38" i="33" s="1"/>
  <c r="G38" i="33" s="1"/>
  <c r="W959" i="2"/>
  <c r="X959" i="2" s="1"/>
  <c r="Y959" i="2" s="1"/>
  <c r="G657" i="2"/>
  <c r="O744" i="2"/>
  <c r="T686" i="2"/>
  <c r="G752" i="2"/>
  <c r="W688" i="2"/>
  <c r="X688" i="2" s="1"/>
  <c r="Y688" i="2" s="1"/>
  <c r="D16" i="14"/>
  <c r="J15" i="14"/>
  <c r="J16" i="14" s="1"/>
  <c r="J22" i="14"/>
  <c r="H15" i="14"/>
  <c r="H16" i="14" s="1"/>
  <c r="H22" i="14"/>
  <c r="I22" i="14"/>
  <c r="I15" i="14"/>
  <c r="I16" i="14" s="1"/>
  <c r="G15" i="14"/>
  <c r="G16" i="14" s="1"/>
  <c r="F15" i="14"/>
  <c r="F16" i="14" s="1"/>
  <c r="G22" i="14"/>
  <c r="F22" i="14"/>
  <c r="E15" i="14"/>
  <c r="E22" i="14"/>
  <c r="D29" i="14"/>
  <c r="L29" i="14" s="1"/>
  <c r="W731" i="2"/>
  <c r="X731" i="2" s="1"/>
  <c r="Y731" i="2" s="1"/>
  <c r="V803" i="2" l="1"/>
  <c r="V807" i="2" s="1"/>
  <c r="D70" i="33"/>
  <c r="D36" i="14"/>
  <c r="W796" i="2"/>
  <c r="X796" i="2" s="1"/>
  <c r="Y796" i="2" s="1"/>
  <c r="D26" i="20"/>
  <c r="L744" i="2"/>
  <c r="L765" i="2" s="1"/>
  <c r="L771" i="2" s="1"/>
  <c r="K684" i="2"/>
  <c r="D11" i="33" s="1"/>
  <c r="E11" i="33" s="1"/>
  <c r="G11" i="33" s="1"/>
  <c r="K748" i="2"/>
  <c r="K744" i="2"/>
  <c r="K765" i="2" s="1"/>
  <c r="K771" i="2" s="1"/>
  <c r="D40" i="33"/>
  <c r="E40" i="33" s="1"/>
  <c r="G40" i="33" s="1"/>
  <c r="L748" i="2"/>
  <c r="D35" i="33" s="1"/>
  <c r="E35" i="33" s="1"/>
  <c r="G35" i="33" s="1"/>
  <c r="Q793" i="2"/>
  <c r="Q801" i="2" s="1"/>
  <c r="Q803" i="2" s="1"/>
  <c r="Q807" i="2" s="1"/>
  <c r="H748" i="2"/>
  <c r="D31" i="33" s="1"/>
  <c r="E31" i="33" s="1"/>
  <c r="G31" i="33" s="1"/>
  <c r="H684" i="2"/>
  <c r="D8" i="33" s="1"/>
  <c r="E8" i="33" s="1"/>
  <c r="G8" i="33" s="1"/>
  <c r="C56" i="33"/>
  <c r="C61" i="33"/>
  <c r="P793" i="2"/>
  <c r="P801" i="2" s="1"/>
  <c r="D39" i="33"/>
  <c r="E39" i="33" s="1"/>
  <c r="D41" i="33"/>
  <c r="E41" i="33" s="1"/>
  <c r="G41" i="33" s="1"/>
  <c r="N33" i="33" s="1"/>
  <c r="C67" i="33"/>
  <c r="U803" i="2"/>
  <c r="U807" i="2" s="1"/>
  <c r="E70" i="33"/>
  <c r="G70" i="33" s="1"/>
  <c r="I45" i="33" s="1"/>
  <c r="C57" i="33"/>
  <c r="J750" i="2"/>
  <c r="J758" i="2" s="1"/>
  <c r="N744" i="2"/>
  <c r="N765" i="2" s="1"/>
  <c r="N771" i="2" s="1"/>
  <c r="H744" i="2"/>
  <c r="H765" i="2" s="1"/>
  <c r="H771" i="2" s="1"/>
  <c r="N748" i="2"/>
  <c r="I744" i="2"/>
  <c r="I765" i="2" s="1"/>
  <c r="I771" i="2" s="1"/>
  <c r="M684" i="2"/>
  <c r="I684" i="2"/>
  <c r="N684" i="2"/>
  <c r="I748" i="2"/>
  <c r="M744" i="2"/>
  <c r="M765" i="2" s="1"/>
  <c r="M771" i="2" s="1"/>
  <c r="M748" i="2"/>
  <c r="R793" i="2"/>
  <c r="R801" i="2" s="1"/>
  <c r="S748" i="2"/>
  <c r="D42" i="33" s="1"/>
  <c r="E42" i="33" s="1"/>
  <c r="G42" i="33" s="1"/>
  <c r="S744" i="2"/>
  <c r="S765" i="2" s="1"/>
  <c r="S771" i="2" s="1"/>
  <c r="S686" i="2"/>
  <c r="R750" i="2"/>
  <c r="R758" i="2" s="1"/>
  <c r="P750" i="2"/>
  <c r="P758" i="2" s="1"/>
  <c r="J765" i="2"/>
  <c r="J771" i="2" s="1"/>
  <c r="J793" i="2"/>
  <c r="J801" i="2" s="1"/>
  <c r="D58" i="33" s="1"/>
  <c r="E58" i="33" s="1"/>
  <c r="G58" i="33" s="1"/>
  <c r="I34" i="33" s="1"/>
  <c r="K22" i="14"/>
  <c r="L22" i="14" s="1"/>
  <c r="W752" i="2"/>
  <c r="X752" i="2" s="1"/>
  <c r="Y752" i="2" s="1"/>
  <c r="G756" i="2"/>
  <c r="F30" i="33" s="1"/>
  <c r="F46" i="33" s="1"/>
  <c r="W657" i="2"/>
  <c r="X657" i="2" s="1"/>
  <c r="Y657" i="2" s="1"/>
  <c r="G669" i="2"/>
  <c r="C7" i="33" s="1"/>
  <c r="C49" i="14"/>
  <c r="D46" i="14"/>
  <c r="O793" i="2"/>
  <c r="O750" i="2"/>
  <c r="O758" i="2" s="1"/>
  <c r="L686" i="2"/>
  <c r="K15" i="14"/>
  <c r="E16" i="14"/>
  <c r="O765" i="2"/>
  <c r="O771" i="2" s="1"/>
  <c r="O686" i="2"/>
  <c r="W733" i="2"/>
  <c r="X733" i="2" s="1"/>
  <c r="Y733" i="2" s="1"/>
  <c r="D30" i="14"/>
  <c r="L30" i="14" s="1"/>
  <c r="T793" i="2"/>
  <c r="T750" i="2"/>
  <c r="T758" i="2" s="1"/>
  <c r="K793" i="2" l="1"/>
  <c r="D34" i="33"/>
  <c r="H750" i="2"/>
  <c r="H758" i="2" s="1"/>
  <c r="D39" i="14"/>
  <c r="I36" i="14"/>
  <c r="I39" i="14" s="1"/>
  <c r="F36" i="14"/>
  <c r="F39" i="14" s="1"/>
  <c r="H36" i="14"/>
  <c r="H39" i="14" s="1"/>
  <c r="J36" i="14"/>
  <c r="J39" i="14" s="1"/>
  <c r="G36" i="14"/>
  <c r="G39" i="14" s="1"/>
  <c r="E36" i="14"/>
  <c r="K750" i="2"/>
  <c r="K758" i="2" s="1"/>
  <c r="K686" i="2"/>
  <c r="L793" i="2"/>
  <c r="L750" i="2"/>
  <c r="L758" i="2" s="1"/>
  <c r="E34" i="33"/>
  <c r="G34" i="33" s="1"/>
  <c r="D65" i="33"/>
  <c r="E65" i="33" s="1"/>
  <c r="G65" i="33" s="1"/>
  <c r="I40" i="33" s="1"/>
  <c r="H793" i="2"/>
  <c r="H801" i="2" s="1"/>
  <c r="H686" i="2"/>
  <c r="G39" i="33"/>
  <c r="N32" i="33"/>
  <c r="D13" i="33"/>
  <c r="E13" i="33" s="1"/>
  <c r="G13" i="33" s="1"/>
  <c r="C22" i="33"/>
  <c r="P803" i="2"/>
  <c r="P807" i="2" s="1"/>
  <c r="D64" i="33"/>
  <c r="E64" i="33" s="1"/>
  <c r="G64" i="33" s="1"/>
  <c r="I39" i="33" s="1"/>
  <c r="I750" i="2"/>
  <c r="I758" i="2" s="1"/>
  <c r="D32" i="33"/>
  <c r="E32" i="33" s="1"/>
  <c r="G32" i="33" s="1"/>
  <c r="D66" i="33"/>
  <c r="E66" i="33" s="1"/>
  <c r="G66" i="33" s="1"/>
  <c r="I41" i="33" s="1"/>
  <c r="D14" i="33"/>
  <c r="E14" i="33" s="1"/>
  <c r="G14" i="33" s="1"/>
  <c r="N750" i="2"/>
  <c r="N758" i="2" s="1"/>
  <c r="D37" i="33"/>
  <c r="E37" i="33" s="1"/>
  <c r="G37" i="33" s="1"/>
  <c r="D36" i="33"/>
  <c r="E36" i="33" s="1"/>
  <c r="G36" i="33" s="1"/>
  <c r="D9" i="33"/>
  <c r="E9" i="33" s="1"/>
  <c r="G9" i="33" s="1"/>
  <c r="N793" i="2"/>
  <c r="N801" i="2" s="1"/>
  <c r="N803" i="2" s="1"/>
  <c r="N807" i="2" s="1"/>
  <c r="D18" i="25" s="1"/>
  <c r="E18" i="25" s="1"/>
  <c r="M686" i="2"/>
  <c r="I793" i="2"/>
  <c r="I801" i="2" s="1"/>
  <c r="M750" i="2"/>
  <c r="M758" i="2" s="1"/>
  <c r="M793" i="2"/>
  <c r="M801" i="2" s="1"/>
  <c r="I686" i="2"/>
  <c r="N686" i="2"/>
  <c r="S793" i="2"/>
  <c r="S801" i="2" s="1"/>
  <c r="D67" i="33" s="1"/>
  <c r="E67" i="33" s="1"/>
  <c r="G67" i="33" s="1"/>
  <c r="I42" i="33" s="1"/>
  <c r="S750" i="2"/>
  <c r="S758" i="2" s="1"/>
  <c r="J803" i="2"/>
  <c r="J807" i="2" s="1"/>
  <c r="D18" i="17" s="1"/>
  <c r="D20" i="17" s="1"/>
  <c r="D24" i="17" s="1"/>
  <c r="D41" i="17" s="1"/>
  <c r="D49" i="17" s="1"/>
  <c r="R803" i="2"/>
  <c r="R807" i="2" s="1"/>
  <c r="T801" i="2"/>
  <c r="L801" i="2"/>
  <c r="D47" i="14"/>
  <c r="F46" i="14"/>
  <c r="F47" i="14" s="1"/>
  <c r="J46" i="14"/>
  <c r="J47" i="14" s="1"/>
  <c r="H46" i="14"/>
  <c r="H47" i="14" s="1"/>
  <c r="I46" i="14"/>
  <c r="I47" i="14" s="1"/>
  <c r="G46" i="14"/>
  <c r="G47" i="14" s="1"/>
  <c r="E46" i="14"/>
  <c r="L15" i="14"/>
  <c r="K16" i="14"/>
  <c r="L16" i="14" s="1"/>
  <c r="O801" i="2"/>
  <c r="D63" i="33" s="1"/>
  <c r="E63" i="33" s="1"/>
  <c r="G63" i="33" s="1"/>
  <c r="I38" i="33" s="1"/>
  <c r="W756" i="2"/>
  <c r="X756" i="2" s="1"/>
  <c r="Y756" i="2" s="1"/>
  <c r="G805" i="2"/>
  <c r="F55" i="33" s="1"/>
  <c r="F71" i="33" s="1"/>
  <c r="K801" i="2"/>
  <c r="D59" i="33" s="1"/>
  <c r="E59" i="33" s="1"/>
  <c r="G59" i="33" s="1"/>
  <c r="W669" i="2"/>
  <c r="X669" i="2" s="1"/>
  <c r="Y669" i="2" s="1"/>
  <c r="G704" i="2"/>
  <c r="G717" i="2"/>
  <c r="K36" i="14" l="1"/>
  <c r="L36" i="14" s="1"/>
  <c r="E39" i="14"/>
  <c r="K39" i="14" s="1"/>
  <c r="L39" i="14" s="1"/>
  <c r="T803" i="2"/>
  <c r="T807" i="2" s="1"/>
  <c r="D68" i="33"/>
  <c r="E68" i="33" s="1"/>
  <c r="G68" i="33" s="1"/>
  <c r="D56" i="33"/>
  <c r="D61" i="33"/>
  <c r="E61" i="33" s="1"/>
  <c r="G61" i="33" s="1"/>
  <c r="I36" i="33" s="1"/>
  <c r="D62" i="33"/>
  <c r="E62" i="33" s="1"/>
  <c r="G62" i="33" s="1"/>
  <c r="I37" i="33" s="1"/>
  <c r="D60" i="33"/>
  <c r="E60" i="33" s="1"/>
  <c r="G60" i="33" s="1"/>
  <c r="I35" i="33" s="1"/>
  <c r="D57" i="33"/>
  <c r="E57" i="33" s="1"/>
  <c r="G57" i="33" s="1"/>
  <c r="I32" i="33" s="1"/>
  <c r="I803" i="2"/>
  <c r="I807" i="2" s="1"/>
  <c r="D18" i="32" s="1"/>
  <c r="E18" i="32" s="1"/>
  <c r="S803" i="2"/>
  <c r="S807" i="2" s="1"/>
  <c r="E18" i="17"/>
  <c r="F18" i="17" s="1"/>
  <c r="H803" i="2"/>
  <c r="H807" i="2" s="1"/>
  <c r="D18" i="27" s="1"/>
  <c r="M803" i="2"/>
  <c r="M807" i="2" s="1"/>
  <c r="D18" i="21" s="1"/>
  <c r="E18" i="21" s="1"/>
  <c r="D20" i="25"/>
  <c r="D24" i="25" s="1"/>
  <c r="D41" i="25" s="1"/>
  <c r="D49" i="25" s="1"/>
  <c r="L803" i="2"/>
  <c r="L807" i="2" s="1"/>
  <c r="D18" i="20" s="1"/>
  <c r="E18" i="20" s="1"/>
  <c r="F18" i="25"/>
  <c r="E20" i="25"/>
  <c r="W805" i="2"/>
  <c r="X805" i="2" s="1"/>
  <c r="Y805" i="2" s="1"/>
  <c r="K46" i="14"/>
  <c r="L46" i="14" s="1"/>
  <c r="E47" i="14"/>
  <c r="K47" i="14" s="1"/>
  <c r="L47" i="14" s="1"/>
  <c r="W704" i="2"/>
  <c r="X704" i="2" s="1"/>
  <c r="Y704" i="2" s="1"/>
  <c r="G710" i="2"/>
  <c r="K803" i="2"/>
  <c r="K807" i="2" s="1"/>
  <c r="D18" i="19" s="1"/>
  <c r="G725" i="2"/>
  <c r="C30" i="33" s="1"/>
  <c r="W717" i="2"/>
  <c r="X717" i="2" s="1"/>
  <c r="Y717" i="2" s="1"/>
  <c r="O803" i="2"/>
  <c r="O807" i="2" s="1"/>
  <c r="D18" i="26" s="1"/>
  <c r="I43" i="33" l="1"/>
  <c r="I44" i="33"/>
  <c r="D20" i="32"/>
  <c r="D24" i="32" s="1"/>
  <c r="D41" i="32" s="1"/>
  <c r="D49" i="32" s="1"/>
  <c r="C46" i="33"/>
  <c r="E56" i="33"/>
  <c r="G56" i="33" s="1"/>
  <c r="I31" i="33" s="1"/>
  <c r="D20" i="21"/>
  <c r="D24" i="21" s="1"/>
  <c r="D41" i="21" s="1"/>
  <c r="D49" i="21" s="1"/>
  <c r="E20" i="17"/>
  <c r="E24" i="17" s="1"/>
  <c r="E18" i="27"/>
  <c r="D20" i="27"/>
  <c r="D24" i="27" s="1"/>
  <c r="D41" i="27" s="1"/>
  <c r="D49" i="27" s="1"/>
  <c r="D20" i="20"/>
  <c r="D24" i="20" s="1"/>
  <c r="D41" i="20" s="1"/>
  <c r="D49" i="20" s="1"/>
  <c r="G763" i="2"/>
  <c r="W725" i="2"/>
  <c r="X725" i="2" s="1"/>
  <c r="Y725" i="2" s="1"/>
  <c r="G780" i="2"/>
  <c r="E24" i="25"/>
  <c r="D20" i="19"/>
  <c r="D24" i="19" s="1"/>
  <c r="D41" i="19" s="1"/>
  <c r="D49" i="19" s="1"/>
  <c r="E18" i="19"/>
  <c r="F18" i="21"/>
  <c r="E20" i="21"/>
  <c r="F20" i="25"/>
  <c r="F24" i="25" s="1"/>
  <c r="G18" i="25"/>
  <c r="E20" i="20"/>
  <c r="F18" i="20"/>
  <c r="G736" i="2"/>
  <c r="D26" i="14" s="1"/>
  <c r="G741" i="2"/>
  <c r="G680" i="2"/>
  <c r="G743" i="2"/>
  <c r="W743" i="2" s="1"/>
  <c r="X743" i="2" s="1"/>
  <c r="Y743" i="2" s="1"/>
  <c r="W710" i="2"/>
  <c r="X710" i="2" s="1"/>
  <c r="Y710" i="2" s="1"/>
  <c r="G742" i="2"/>
  <c r="W742" i="2" s="1"/>
  <c r="X742" i="2" s="1"/>
  <c r="Y742" i="2" s="1"/>
  <c r="D20" i="26"/>
  <c r="D24" i="26" s="1"/>
  <c r="D41" i="26" s="1"/>
  <c r="D49" i="26" s="1"/>
  <c r="E18" i="26"/>
  <c r="F18" i="32"/>
  <c r="E20" i="32"/>
  <c r="F20" i="17"/>
  <c r="F24" i="17" s="1"/>
  <c r="G18" i="17"/>
  <c r="F18" i="27" l="1"/>
  <c r="E20" i="27"/>
  <c r="F20" i="32"/>
  <c r="F24" i="32" s="1"/>
  <c r="G18" i="32"/>
  <c r="W680" i="2"/>
  <c r="X680" i="2" s="1"/>
  <c r="Y680" i="2" s="1"/>
  <c r="G684" i="2"/>
  <c r="D7" i="33" s="1"/>
  <c r="E24" i="20"/>
  <c r="W780" i="2"/>
  <c r="X780" i="2" s="1"/>
  <c r="Y780" i="2" s="1"/>
  <c r="G788" i="2"/>
  <c r="C55" i="33" s="1"/>
  <c r="W741" i="2"/>
  <c r="X741" i="2" s="1"/>
  <c r="Y741" i="2" s="1"/>
  <c r="G744" i="2"/>
  <c r="H18" i="25"/>
  <c r="G20" i="25"/>
  <c r="G24" i="25" s="1"/>
  <c r="E24" i="21"/>
  <c r="G20" i="17"/>
  <c r="G24" i="17" s="1"/>
  <c r="H18" i="17"/>
  <c r="E20" i="26"/>
  <c r="F18" i="26"/>
  <c r="W736" i="2"/>
  <c r="X736" i="2" s="1"/>
  <c r="Y736" i="2" s="1"/>
  <c r="G748" i="2"/>
  <c r="D30" i="33" s="1"/>
  <c r="G18" i="21"/>
  <c r="F20" i="21"/>
  <c r="F24" i="21" s="1"/>
  <c r="W763" i="2"/>
  <c r="X763" i="2" s="1"/>
  <c r="Y763" i="2" s="1"/>
  <c r="E24" i="32"/>
  <c r="F20" i="20"/>
  <c r="F24" i="20" s="1"/>
  <c r="G18" i="20"/>
  <c r="E20" i="19"/>
  <c r="F18" i="19"/>
  <c r="D46" i="33" l="1"/>
  <c r="E30" i="33"/>
  <c r="N31" i="33" s="1"/>
  <c r="D22" i="33"/>
  <c r="E7" i="33"/>
  <c r="C71" i="33"/>
  <c r="E24" i="27"/>
  <c r="G18" i="27"/>
  <c r="F20" i="27"/>
  <c r="F24" i="27" s="1"/>
  <c r="W748" i="2"/>
  <c r="X748" i="2" s="1"/>
  <c r="Y748" i="2" s="1"/>
  <c r="G793" i="2"/>
  <c r="G750" i="2"/>
  <c r="E24" i="26"/>
  <c r="H20" i="25"/>
  <c r="I18" i="25"/>
  <c r="F20" i="19"/>
  <c r="F24" i="19" s="1"/>
  <c r="G18" i="19"/>
  <c r="H20" i="17"/>
  <c r="H24" i="17" s="1"/>
  <c r="I18" i="17"/>
  <c r="Y795" i="2"/>
  <c r="W744" i="2"/>
  <c r="X744" i="2" s="1"/>
  <c r="Y744" i="2" s="1"/>
  <c r="G765" i="2"/>
  <c r="G20" i="32"/>
  <c r="H18" i="32"/>
  <c r="E24" i="19"/>
  <c r="G20" i="21"/>
  <c r="H18" i="21"/>
  <c r="G20" i="20"/>
  <c r="G24" i="20" s="1"/>
  <c r="H18" i="20"/>
  <c r="F20" i="26"/>
  <c r="F24" i="26" s="1"/>
  <c r="G18" i="26"/>
  <c r="W788" i="2"/>
  <c r="X788" i="2" s="1"/>
  <c r="Y788" i="2" s="1"/>
  <c r="W684" i="2"/>
  <c r="X684" i="2" s="1"/>
  <c r="Y684" i="2" s="1"/>
  <c r="G686" i="2"/>
  <c r="W686" i="2" s="1"/>
  <c r="X686" i="2" s="1"/>
  <c r="Y686" i="2" s="1"/>
  <c r="G7" i="33" l="1"/>
  <c r="E22" i="33"/>
  <c r="G22" i="33" s="1"/>
  <c r="G30" i="33"/>
  <c r="E46" i="33"/>
  <c r="G46" i="33" s="1"/>
  <c r="H18" i="27"/>
  <c r="G20" i="27"/>
  <c r="G24" i="27" s="1"/>
  <c r="W765" i="2"/>
  <c r="X765" i="2" s="1"/>
  <c r="Y765" i="2" s="1"/>
  <c r="G771" i="2"/>
  <c r="W771" i="2" s="1"/>
  <c r="X771" i="2" s="1"/>
  <c r="Y771" i="2" s="1"/>
  <c r="G20" i="26"/>
  <c r="G24" i="26" s="1"/>
  <c r="H18" i="26"/>
  <c r="H20" i="21"/>
  <c r="H24" i="21" s="1"/>
  <c r="I18" i="21"/>
  <c r="I18" i="32"/>
  <c r="H20" i="32"/>
  <c r="H24" i="32" s="1"/>
  <c r="J18" i="17"/>
  <c r="J20" i="17" s="1"/>
  <c r="J24" i="17" s="1"/>
  <c r="I20" i="17"/>
  <c r="I20" i="25"/>
  <c r="I24" i="25" s="1"/>
  <c r="J18" i="25"/>
  <c r="J20" i="25" s="1"/>
  <c r="J24" i="25" s="1"/>
  <c r="G758" i="2"/>
  <c r="W750" i="2"/>
  <c r="X750" i="2" s="1"/>
  <c r="Y750" i="2" s="1"/>
  <c r="G24" i="21"/>
  <c r="G24" i="32"/>
  <c r="H24" i="25"/>
  <c r="W793" i="2"/>
  <c r="X793" i="2" s="1"/>
  <c r="Y793" i="2" s="1"/>
  <c r="G801" i="2"/>
  <c r="D55" i="33" s="1"/>
  <c r="H20" i="20"/>
  <c r="H24" i="20" s="1"/>
  <c r="I18" i="20"/>
  <c r="H18" i="19"/>
  <c r="G20" i="19"/>
  <c r="G24" i="19" s="1"/>
  <c r="D71" i="33" l="1"/>
  <c r="E55" i="33"/>
  <c r="I18" i="27"/>
  <c r="H20" i="27"/>
  <c r="I20" i="32"/>
  <c r="J18" i="32"/>
  <c r="J20" i="32" s="1"/>
  <c r="J24" i="32" s="1"/>
  <c r="I24" i="17"/>
  <c r="K20" i="17"/>
  <c r="L20" i="17" s="1"/>
  <c r="I20" i="21"/>
  <c r="J18" i="21"/>
  <c r="J20" i="21" s="1"/>
  <c r="J24" i="21" s="1"/>
  <c r="K20" i="25"/>
  <c r="L20" i="25" s="1"/>
  <c r="W801" i="2"/>
  <c r="X801" i="2" s="1"/>
  <c r="Y801" i="2" s="1"/>
  <c r="G803" i="2"/>
  <c r="H20" i="19"/>
  <c r="H24" i="19" s="1"/>
  <c r="I18" i="19"/>
  <c r="J18" i="20"/>
  <c r="J20" i="20" s="1"/>
  <c r="J24" i="20" s="1"/>
  <c r="I20" i="20"/>
  <c r="I24" i="20" s="1"/>
  <c r="K24" i="25"/>
  <c r="I26" i="25" s="1"/>
  <c r="I41" i="25" s="1"/>
  <c r="I49" i="25" s="1"/>
  <c r="I18" i="26"/>
  <c r="H20" i="26"/>
  <c r="H24" i="26" s="1"/>
  <c r="G55" i="33" l="1"/>
  <c r="I30" i="33" s="1"/>
  <c r="E71" i="33"/>
  <c r="G71" i="33" s="1"/>
  <c r="I46" i="33" s="1"/>
  <c r="H24" i="27"/>
  <c r="J18" i="27"/>
  <c r="J20" i="27" s="1"/>
  <c r="J24" i="27" s="1"/>
  <c r="I20" i="27"/>
  <c r="I24" i="27" s="1"/>
  <c r="J26" i="25"/>
  <c r="J41" i="25" s="1"/>
  <c r="J49" i="25" s="1"/>
  <c r="K53" i="25" s="1"/>
  <c r="H26" i="25"/>
  <c r="H41" i="25" s="1"/>
  <c r="H49" i="25" s="1"/>
  <c r="H53" i="25" s="1"/>
  <c r="K24" i="17"/>
  <c r="J18" i="26"/>
  <c r="J20" i="26" s="1"/>
  <c r="J24" i="26" s="1"/>
  <c r="I20" i="26"/>
  <c r="K24" i="20"/>
  <c r="I26" i="20" s="1"/>
  <c r="I41" i="20" s="1"/>
  <c r="I49" i="20" s="1"/>
  <c r="K20" i="20"/>
  <c r="L20" i="20" s="1"/>
  <c r="I24" i="21"/>
  <c r="K20" i="21"/>
  <c r="L20" i="21" s="1"/>
  <c r="G807" i="2"/>
  <c r="D18" i="14" s="1"/>
  <c r="W803" i="2"/>
  <c r="X803" i="2" s="1"/>
  <c r="Y803" i="2" s="1"/>
  <c r="L24" i="25"/>
  <c r="E26" i="25"/>
  <c r="F26" i="25"/>
  <c r="F41" i="25" s="1"/>
  <c r="F49" i="25" s="1"/>
  <c r="F53" i="25" s="1"/>
  <c r="K57" i="25" s="1"/>
  <c r="G26" i="25"/>
  <c r="G41" i="25" s="1"/>
  <c r="G49" i="25" s="1"/>
  <c r="G53" i="25" s="1"/>
  <c r="I20" i="19"/>
  <c r="I24" i="19" s="1"/>
  <c r="J18" i="19"/>
  <c r="J20" i="19" s="1"/>
  <c r="J24" i="19" s="1"/>
  <c r="I24" i="32"/>
  <c r="K20" i="32"/>
  <c r="L20" i="32" s="1"/>
  <c r="K20" i="27" l="1"/>
  <c r="L20" i="27" s="1"/>
  <c r="K24" i="27"/>
  <c r="J26" i="27" s="1"/>
  <c r="J41" i="27" s="1"/>
  <c r="J49" i="27" s="1"/>
  <c r="K55" i="25"/>
  <c r="J26" i="20"/>
  <c r="J41" i="20" s="1"/>
  <c r="J49" i="20" s="1"/>
  <c r="K53" i="20" s="1"/>
  <c r="E18" i="14"/>
  <c r="D20" i="14"/>
  <c r="D24" i="14" s="1"/>
  <c r="D41" i="14" s="1"/>
  <c r="D49" i="14" s="1"/>
  <c r="K24" i="19"/>
  <c r="E26" i="19" s="1"/>
  <c r="K24" i="21"/>
  <c r="L24" i="17"/>
  <c r="F26" i="17"/>
  <c r="F41" i="17" s="1"/>
  <c r="F49" i="17" s="1"/>
  <c r="F53" i="17" s="1"/>
  <c r="K57" i="17" s="1"/>
  <c r="E26" i="17"/>
  <c r="G26" i="17"/>
  <c r="G41" i="17" s="1"/>
  <c r="G49" i="17" s="1"/>
  <c r="G53" i="17" s="1"/>
  <c r="H26" i="17"/>
  <c r="H41" i="17" s="1"/>
  <c r="H49" i="17" s="1"/>
  <c r="H53" i="17" s="1"/>
  <c r="J26" i="17"/>
  <c r="J41" i="17" s="1"/>
  <c r="J49" i="17" s="1"/>
  <c r="K24" i="32"/>
  <c r="I26" i="17"/>
  <c r="I41" i="17" s="1"/>
  <c r="I49" i="17" s="1"/>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J26" i="19" l="1"/>
  <c r="J41" i="19" s="1"/>
  <c r="J49" i="19" s="1"/>
  <c r="H26" i="27"/>
  <c r="H41" i="27" s="1"/>
  <c r="H49" i="27" s="1"/>
  <c r="H53" i="27" s="1"/>
  <c r="L24" i="27"/>
  <c r="F26" i="27"/>
  <c r="F41" i="27" s="1"/>
  <c r="F49" i="27" s="1"/>
  <c r="F53" i="27" s="1"/>
  <c r="K57" i="27" s="1"/>
  <c r="E26" i="27"/>
  <c r="G26" i="27"/>
  <c r="G41" i="27" s="1"/>
  <c r="G49" i="27" s="1"/>
  <c r="G53" i="27" s="1"/>
  <c r="I26" i="27"/>
  <c r="I41" i="27" s="1"/>
  <c r="I49" i="27" s="1"/>
  <c r="K55" i="20"/>
  <c r="I26" i="19"/>
  <c r="I41" i="19" s="1"/>
  <c r="I49" i="19" s="1"/>
  <c r="L24" i="19"/>
  <c r="H26" i="19"/>
  <c r="H41" i="19" s="1"/>
  <c r="H49" i="19" s="1"/>
  <c r="H53" i="19" s="1"/>
  <c r="G26" i="19"/>
  <c r="G41" i="19" s="1"/>
  <c r="G49" i="19" s="1"/>
  <c r="G53" i="19" s="1"/>
  <c r="F26" i="19"/>
  <c r="F41" i="19" s="1"/>
  <c r="F49" i="19" s="1"/>
  <c r="F53" i="19" s="1"/>
  <c r="K57" i="19" s="1"/>
  <c r="F18" i="14"/>
  <c r="E20" i="14"/>
  <c r="K53" i="17"/>
  <c r="K55" i="17"/>
  <c r="L24" i="32"/>
  <c r="E26" i="32"/>
  <c r="F26" i="32"/>
  <c r="F41" i="32" s="1"/>
  <c r="F49" i="32" s="1"/>
  <c r="F53" i="32" s="1"/>
  <c r="K57" i="32" s="1"/>
  <c r="G26" i="32"/>
  <c r="G41" i="32" s="1"/>
  <c r="G49" i="32" s="1"/>
  <c r="G53" i="32" s="1"/>
  <c r="H26" i="32"/>
  <c r="H41" i="32" s="1"/>
  <c r="H49" i="32" s="1"/>
  <c r="H53" i="32" s="1"/>
  <c r="J26" i="32"/>
  <c r="J41" i="32" s="1"/>
  <c r="J49" i="32" s="1"/>
  <c r="L24" i="21"/>
  <c r="E26" i="21"/>
  <c r="F26" i="21"/>
  <c r="F41" i="21" s="1"/>
  <c r="F49" i="21" s="1"/>
  <c r="F53" i="21" s="1"/>
  <c r="K57" i="21" s="1"/>
  <c r="G26" i="21"/>
  <c r="G41" i="21" s="1"/>
  <c r="G49" i="21" s="1"/>
  <c r="G53" i="21" s="1"/>
  <c r="H26" i="21"/>
  <c r="H41" i="21" s="1"/>
  <c r="H49" i="21" s="1"/>
  <c r="H53" i="21" s="1"/>
  <c r="J26" i="21"/>
  <c r="J41" i="21" s="1"/>
  <c r="J49" i="21" s="1"/>
  <c r="K26" i="20"/>
  <c r="L26" i="20" s="1"/>
  <c r="E41" i="20"/>
  <c r="K24" i="26"/>
  <c r="K41" i="25"/>
  <c r="L41" i="25" s="1"/>
  <c r="E49" i="25"/>
  <c r="I26" i="32"/>
  <c r="I41" i="32" s="1"/>
  <c r="I49" i="32" s="1"/>
  <c r="K26" i="17"/>
  <c r="L26" i="17" s="1"/>
  <c r="E41" i="17"/>
  <c r="I26" i="21"/>
  <c r="I41" i="21" s="1"/>
  <c r="I49" i="21" s="1"/>
  <c r="E41" i="19"/>
  <c r="K55" i="19" l="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K26" i="32"/>
  <c r="L26" i="32" s="1"/>
  <c r="E41" i="32"/>
  <c r="I26" i="26"/>
  <c r="I41" i="26" s="1"/>
  <c r="I49" i="26" s="1"/>
  <c r="K41" i="17"/>
  <c r="L41" i="17" s="1"/>
  <c r="E49" i="17"/>
  <c r="K41" i="19"/>
  <c r="L41" i="19" s="1"/>
  <c r="E49" i="19"/>
  <c r="K53" i="32"/>
  <c r="K55" i="32"/>
  <c r="K53" i="21"/>
  <c r="K55" i="21"/>
  <c r="K49" i="25"/>
  <c r="L49" i="25" s="1"/>
  <c r="E53" i="25"/>
  <c r="K56" i="25" s="1"/>
  <c r="K41" i="20"/>
  <c r="L41" i="20" s="1"/>
  <c r="E49" i="20"/>
  <c r="K26" i="21"/>
  <c r="L26" i="21" s="1"/>
  <c r="E41" i="21"/>
  <c r="E49" i="27" l="1"/>
  <c r="K41" i="27"/>
  <c r="L41" i="27" s="1"/>
  <c r="H18" i="14"/>
  <c r="G20" i="14"/>
  <c r="G24" i="14" s="1"/>
  <c r="E49" i="32"/>
  <c r="K41" i="32"/>
  <c r="L41" i="32" s="1"/>
  <c r="K49" i="17"/>
  <c r="L49" i="17" s="1"/>
  <c r="E53" i="17"/>
  <c r="K56" i="17" s="1"/>
  <c r="K26" i="26"/>
  <c r="L26" i="26" s="1"/>
  <c r="E41" i="26"/>
  <c r="K41" i="21"/>
  <c r="L41" i="21" s="1"/>
  <c r="E49" i="21"/>
  <c r="E53" i="20"/>
  <c r="K56" i="20" s="1"/>
  <c r="K49" i="20"/>
  <c r="L49" i="20" s="1"/>
  <c r="K49" i="19"/>
  <c r="L49" i="19" s="1"/>
  <c r="E53" i="19"/>
  <c r="K56" i="19" s="1"/>
  <c r="K53" i="26"/>
  <c r="K55" i="26"/>
  <c r="K49" i="27" l="1"/>
  <c r="L49" i="27" s="1"/>
  <c r="E53" i="27"/>
  <c r="K56" i="27" s="1"/>
  <c r="I18" i="14"/>
  <c r="H20" i="14"/>
  <c r="H24" i="14" s="1"/>
  <c r="E53" i="21"/>
  <c r="K56" i="21" s="1"/>
  <c r="K49" i="21"/>
  <c r="L49" i="21" s="1"/>
  <c r="K41" i="26"/>
  <c r="L41" i="26" s="1"/>
  <c r="E49" i="26"/>
  <c r="E53" i="32"/>
  <c r="K56" i="32" s="1"/>
  <c r="K49" i="32"/>
  <c r="L49" i="32" s="1"/>
  <c r="J18" i="14" l="1"/>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I26" i="14"/>
  <c r="I41" i="14" s="1"/>
  <c r="I49" i="14" s="1"/>
  <c r="K55" i="14" l="1"/>
  <c r="F53" i="14"/>
  <c r="K57" i="14" s="1"/>
  <c r="K26" i="14"/>
  <c r="L26" i="14" s="1"/>
  <c r="E41" i="14"/>
  <c r="K53" i="14" l="1"/>
  <c r="K41" i="14"/>
  <c r="L41" i="14" s="1"/>
  <c r="E49" i="14"/>
  <c r="K49" i="14" l="1"/>
  <c r="E53" i="14"/>
  <c r="K56" i="14" s="1"/>
  <c r="L4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<sst xmlns="http://schemas.openxmlformats.org/spreadsheetml/2006/main" count="6245" uniqueCount="2567">
  <si>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</si>
  <si>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</si>
  <si>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</si>
  <si>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</si>
  <si>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</si>
  <si>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</si>
  <si>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</si>
  <si>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</si>
  <si>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</si>
  <si>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</si>
  <si>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</si>
  <si>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</si>
  <si>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</si>
  <si>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</si>
  <si>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</si>
  <si>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</si>
  <si>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</si>
  <si>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</si>
  <si>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</si>
  <si>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</si>
  <si>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</si>
  <si>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</si>
  <si>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</si>
  <si>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</si>
  <si>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</si>
  <si>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</si>
  <si>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</si>
  <si>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</si>
  <si>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</si>
  <si>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</si>
  <si>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</si>
  <si>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</si>
  <si>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</si>
  <si>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</si>
  <si>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</si>
  <si>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</si>
  <si>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</si>
  <si>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</si>
  <si>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</si>
  <si>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</si>
  <si>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</si>
  <si>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</si>
  <si>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</si>
  <si>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</si>
  <si>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</si>
  <si>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</si>
  <si>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</si>
  <si>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</si>
  <si>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</si>
  <si>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</si>
  <si>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</si>
  <si>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</si>
  <si>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</si>
  <si>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</si>
  <si>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</si>
  <si>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</si>
  <si>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</si>
  <si>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</si>
  <si>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</si>
  <si>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</si>
  <si>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</si>
  <si>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</si>
  <si>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</si>
  <si>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</si>
  <si>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</si>
  <si>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</si>
  <si>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</si>
  <si>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</si>
  <si>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</si>
  <si>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</si>
  <si>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</si>
  <si>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</si>
  <si>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</si>
  <si>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</si>
  <si>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</si>
  <si>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</si>
  <si>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</si>
  <si>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</si>
  <si>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</si>
  <si>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</si>
  <si>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</si>
  <si>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</si>
  <si>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</si>
  <si>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</si>
  <si>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</si>
  <si>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</si>
  <si>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</si>
  <si>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</si>
  <si>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</si>
  <si>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</si>
  <si>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</si>
  <si>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</si>
  <si>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</si>
  <si>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</si>
  <si>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</si>
  <si>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</si>
  <si>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</si>
  <si>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</si>
  <si>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</si>
  <si>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</si>
  <si>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</si>
  <si>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</si>
  <si>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</si>
  <si>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</si>
  <si>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</si>
  <si>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</si>
  <si>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</si>
  <si>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</si>
  <si>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</si>
  <si>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</si>
  <si>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</si>
  <si>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</si>
  <si>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</si>
  <si>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</si>
  <si>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</si>
  <si>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</si>
  <si>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</si>
  <si>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</si>
  <si>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</si>
  <si>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</si>
  <si>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</si>
  <si>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</si>
  <si>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</si>
  <si>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</si>
  <si>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</si>
  <si>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</si>
  <si>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</si>
  <si>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</si>
  <si>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</si>
  <si>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</si>
  <si>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</si>
  <si>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</si>
  <si>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</si>
  <si>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</si>
  <si>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</si>
  <si>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</si>
  <si>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</si>
  <si>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</si>
  <si>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</si>
  <si>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</si>
  <si>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</si>
  <si>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</si>
  <si>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</si>
  <si>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</si>
  <si>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</si>
  <si>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</si>
  <si>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</si>
  <si>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</si>
  <si>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</si>
  <si>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</si>
  <si>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</si>
  <si>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</si>
  <si>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</si>
  <si>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</si>
  <si>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</si>
  <si>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</si>
  <si>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</si>
  <si>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</si>
  <si>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</si>
  <si>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</si>
  <si>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</si>
  <si>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</si>
  <si>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</si>
  <si>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</si>
  <si>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</si>
  <si>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</si>
  <si>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</si>
  <si>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</si>
  <si>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</si>
  <si>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</si>
  <si>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</si>
  <si>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</si>
  <si>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</si>
  <si>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</si>
  <si>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</si>
  <si>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</si>
  <si>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</si>
  <si>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</si>
  <si>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</si>
  <si>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</si>
  <si>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</si>
  <si>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</si>
  <si>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</si>
  <si>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</si>
  <si>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</si>
  <si>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</si>
  <si>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</si>
  <si>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</si>
  <si>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</si>
  <si>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</si>
  <si>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</si>
  <si>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</si>
  <si>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</si>
  <si>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</si>
  <si>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</si>
  <si>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</si>
  <si>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</si>
  <si>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</si>
  <si>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</si>
  <si>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</si>
  <si>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</si>
  <si>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</si>
  <si>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</si>
  <si>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</si>
  <si>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</si>
  <si>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</si>
  <si>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</si>
  <si>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</si>
  <si>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</si>
  <si>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</si>
  <si>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</si>
  <si>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</si>
  <si>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</si>
  <si>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</si>
  <si>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</si>
  <si>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</si>
  <si>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</si>
  <si>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</si>
  <si>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</si>
  <si>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</si>
  <si>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</si>
  <si>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</si>
  <si>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</si>
  <si>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</si>
  <si>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</si>
  <si>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</si>
  <si>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</si>
  <si>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</si>
  <si>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</si>
  <si>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</si>
  <si>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</si>
  <si>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</si>
  <si>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</si>
  <si>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</si>
  <si>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</si>
  <si>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</si>
  <si>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</si>
  <si>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</si>
  <si>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</si>
  <si>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</si>
  <si>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</si>
  <si>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</si>
  <si>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</si>
  <si>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</si>
  <si>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</si>
  <si>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</si>
  <si>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</si>
  <si>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</si>
  <si>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</si>
  <si>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</si>
  <si>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</si>
  <si>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</si>
  <si>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</si>
  <si>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</si>
  <si>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</si>
  <si>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</si>
  <si>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</si>
  <si>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</si>
  <si>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</si>
  <si>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</si>
  <si>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</si>
  <si>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</si>
  <si>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</si>
  <si>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</si>
  <si>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</si>
  <si>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</si>
  <si>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</si>
  <si>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</si>
  <si>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</si>
  <si>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</si>
  <si>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</si>
  <si>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</si>
  <si>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</si>
  <si>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</si>
  <si>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</si>
  <si>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</si>
  <si>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</si>
  <si>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</si>
  <si>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</si>
  <si>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</si>
  <si>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</si>
  <si>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</si>
  <si>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</si>
  <si>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</si>
  <si>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</si>
  <si>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</si>
  <si>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</si>
  <si>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</si>
  <si>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</si>
  <si>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</si>
  <si>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</si>
  <si>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</si>
  <si>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</si>
  <si>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</si>
  <si>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</si>
  <si>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</si>
  <si>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</si>
  <si>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</si>
  <si>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</si>
  <si>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</si>
  <si>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</si>
  <si>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</si>
  <si>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</si>
  <si>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</si>
  <si>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</si>
  <si>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</si>
  <si>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</si>
  <si>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</si>
  <si>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</si>
  <si>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</si>
  <si>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</si>
  <si>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</si>
  <si>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</si>
  <si>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</si>
  <si>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</si>
  <si>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</si>
  <si>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</si>
  <si>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</si>
  <si>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</si>
  <si>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</si>
  <si>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</si>
  <si>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</si>
  <si>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</si>
  <si>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</si>
  <si>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</si>
  <si>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</si>
  <si>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</si>
  <si>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</si>
  <si>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</si>
  <si>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</si>
  <si>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</si>
  <si>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</si>
  <si>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</si>
  <si>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</si>
  <si>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</si>
  <si>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</si>
  <si>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</si>
  <si>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</si>
  <si>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</si>
  <si>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</si>
  <si>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</si>
  <si>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</si>
  <si>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</si>
  <si>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</si>
  <si>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</si>
  <si>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</si>
  <si>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</si>
  <si>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</si>
  <si>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</si>
  <si>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</si>
  <si>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</si>
  <si>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</si>
  <si>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</si>
  <si>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</si>
  <si>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</si>
  <si>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</si>
  <si>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</si>
  <si>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</si>
  <si>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</si>
  <si>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</si>
  <si>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</si>
  <si>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</si>
  <si>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</si>
  <si>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</si>
  <si>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</si>
  <si>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</si>
  <si>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</si>
  <si>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</si>
  <si>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</si>
  <si>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</si>
  <si>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</si>
  <si>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</si>
  <si>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</si>
  <si>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</si>
  <si>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</si>
  <si>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</si>
  <si>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</si>
  <si>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</si>
  <si>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</si>
  <si>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</si>
  <si>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</si>
  <si>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</si>
  <si>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</si>
  <si>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</si>
  <si>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</si>
  <si>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</si>
  <si>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</si>
  <si>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</si>
  <si>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</si>
  <si>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</si>
  <si>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</si>
  <si>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</si>
  <si>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</si>
  <si>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</si>
  <si>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</si>
  <si>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</si>
  <si>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</si>
  <si>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</si>
  <si>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</si>
  <si>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</si>
  <si>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</si>
  <si>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</si>
  <si>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</si>
  <si>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</si>
  <si>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</si>
  <si>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</si>
  <si>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</si>
  <si>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</si>
  <si>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</si>
  <si>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</si>
  <si>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</si>
  <si>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</si>
  <si>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</si>
  <si>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</si>
  <si>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</si>
  <si>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</si>
  <si>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</si>
  <si>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</si>
  <si>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</si>
  <si>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</si>
  <si>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</si>
  <si>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</si>
  <si>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</si>
  <si>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</si>
  <si>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</si>
  <si>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</si>
  <si>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</si>
  <si>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</si>
  <si>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</si>
  <si>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</si>
  <si>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</si>
  <si>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</si>
  <si>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</si>
  <si>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</si>
  <si>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</si>
  <si>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</si>
  <si>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</si>
  <si>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</si>
  <si>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</si>
  <si>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</si>
  <si>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</si>
  <si>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</si>
  <si>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</si>
  <si>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</si>
  <si>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</si>
  <si>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</si>
  <si>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</si>
  <si>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</si>
  <si>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</si>
  <si>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</si>
  <si>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</si>
  <si>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</si>
  <si>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</si>
  <si>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</si>
  <si>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</si>
  <si>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</si>
  <si>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</si>
  <si>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</si>
  <si>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</si>
  <si>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</si>
  <si>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</si>
  <si>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</si>
  <si>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</si>
  <si>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</si>
  <si>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</si>
  <si>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</si>
  <si>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</si>
  <si>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</si>
  <si>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</si>
  <si>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</si>
  <si>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</si>
  <si>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</si>
  <si>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</si>
  <si>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</si>
  <si>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</si>
  <si>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</si>
  <si>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</si>
  <si>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</si>
  <si>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</si>
  <si>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</si>
  <si>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</si>
  <si>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</si>
  <si>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</si>
  <si>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</si>
  <si>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</si>
  <si>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</si>
  <si>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</si>
  <si>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</si>
  <si>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</si>
  <si>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</si>
  <si>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</si>
  <si>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</si>
  <si>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</si>
  <si>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</si>
  <si>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</si>
  <si>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</si>
  <si>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</si>
  <si>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</si>
  <si>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</si>
  <si>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</si>
  <si>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</si>
  <si>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</si>
  <si>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</si>
  <si>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</si>
  <si>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</si>
  <si>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</si>
  <si>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</si>
  <si>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</si>
  <si>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 xml:space="preserve">  Specific Assignment of Curtailable Service Rider Avoided 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</si>
  <si>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</si>
  <si>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</si>
  <si>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</si>
  <si>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</si>
  <si>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</si>
  <si>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</si>
  <si>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</si>
  <si>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</si>
  <si>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</si>
  <si>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</si>
  <si>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</si>
  <si>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</si>
  <si>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</si>
  <si>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</si>
  <si>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</si>
  <si>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</si>
  <si>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</si>
  <si>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</si>
  <si>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</si>
  <si>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</si>
  <si>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</si>
  <si>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</si>
  <si>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</si>
  <si>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</si>
  <si>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</si>
  <si>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</si>
  <si>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</si>
  <si>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</si>
  <si>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</si>
  <si>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</si>
  <si>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</si>
  <si>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</si>
  <si>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</si>
  <si>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</si>
  <si>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</si>
  <si>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</si>
  <si>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</si>
  <si>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</si>
  <si>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</si>
  <si>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</si>
  <si>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</si>
  <si>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</si>
  <si>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</si>
  <si>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</si>
  <si>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</si>
  <si>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</si>
  <si>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</si>
  <si>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</si>
  <si>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</si>
  <si>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</si>
  <si>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</si>
  <si>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</si>
  <si>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</si>
  <si>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</si>
  <si>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</si>
  <si>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</si>
  <si>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</si>
  <si>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</si>
  <si>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</si>
  <si>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</si>
  <si>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</si>
  <si>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</si>
  <si>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</si>
  <si>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</si>
  <si>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</si>
  <si>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</si>
  <si>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</si>
  <si>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</si>
  <si>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</si>
  <si>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</si>
  <si>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</si>
  <si>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</si>
  <si>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</si>
  <si>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</si>
  <si>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</si>
  <si>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</si>
  <si>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</si>
  <si>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</si>
  <si>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</si>
  <si>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</si>
  <si>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</si>
  <si>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</si>
  <si>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</si>
  <si>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</si>
  <si>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</si>
  <si>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</si>
  <si>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</si>
  <si>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</si>
  <si>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</si>
  <si>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</si>
  <si>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</si>
  <si>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</si>
  <si>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</si>
  <si>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</si>
  <si>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</si>
  <si>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</si>
  <si>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</si>
  <si>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</si>
  <si>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</si>
  <si>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</si>
  <si>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</si>
  <si>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</si>
  <si>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</si>
  <si>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</si>
  <si>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</si>
  <si>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</si>
  <si>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</si>
  <si>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</si>
  <si>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</si>
  <si>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</si>
  <si>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</si>
  <si>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</si>
  <si>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</si>
  <si>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</si>
  <si>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</si>
  <si>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</si>
  <si>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</si>
  <si>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</si>
  <si>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</si>
  <si>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</si>
  <si>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</si>
  <si>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</si>
  <si>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</si>
  <si>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</si>
  <si>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</si>
  <si>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</si>
  <si>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</si>
  <si>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</si>
  <si>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</si>
  <si>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</si>
  <si>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</si>
  <si>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</si>
  <si>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</si>
  <si>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</si>
  <si>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</si>
  <si>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</si>
  <si>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</si>
  <si>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</si>
  <si>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</si>
  <si>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</si>
  <si>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</si>
  <si>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</si>
  <si>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</si>
  <si>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</si>
  <si>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</si>
  <si>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</si>
  <si>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</si>
  <si>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</si>
  <si>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</si>
  <si>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</si>
  <si>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</si>
  <si>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</si>
  <si>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</si>
  <si>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</si>
  <si>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</si>
  <si>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</si>
  <si>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</si>
  <si>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</si>
  <si>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</si>
  <si>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</si>
  <si>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</si>
  <si>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</si>
  <si>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</si>
  <si>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</si>
  <si>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</si>
  <si>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</si>
  <si>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</si>
  <si>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</si>
  <si>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</si>
  <si>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</si>
  <si>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</si>
  <si>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</si>
  <si>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</si>
  <si>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</si>
  <si>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</si>
  <si>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</si>
  <si>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</si>
  <si>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</si>
  <si>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</si>
  <si>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</si>
  <si>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</si>
  <si>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</si>
  <si>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</si>
  <si>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</si>
  <si>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</si>
  <si>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</si>
  <si>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</si>
  <si>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</si>
  <si>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</si>
  <si>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</si>
  <si>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</si>
  <si>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</si>
  <si>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</si>
  <si>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</si>
  <si>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</si>
  <si>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</si>
  <si>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</si>
  <si>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</si>
  <si>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</si>
  <si>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</si>
  <si>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</si>
  <si>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</si>
  <si>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</si>
  <si>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</si>
  <si>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</si>
  <si>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</si>
  <si>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</si>
  <si>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</si>
  <si>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</si>
  <si>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</si>
  <si>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</si>
  <si>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</si>
  <si>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</si>
  <si>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</si>
  <si>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</si>
  <si>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</si>
  <si>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</si>
  <si>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</si>
  <si>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</si>
  <si>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</si>
  <si>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</si>
  <si>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</si>
  <si>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</si>
  <si>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</si>
  <si>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</si>
  <si>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</si>
  <si>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</si>
  <si>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</si>
  <si>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</si>
  <si>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</si>
  <si>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</si>
  <si>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</si>
  <si>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</si>
  <si>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</si>
  <si>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</si>
  <si>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</si>
  <si>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</si>
  <si>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</si>
  <si>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</si>
  <si>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</si>
  <si>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</si>
  <si>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</si>
  <si>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</si>
  <si>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</si>
  <si>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</si>
  <si>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</si>
  <si>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</si>
  <si>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</si>
  <si>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</si>
  <si>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</si>
  <si>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</si>
  <si>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</si>
  <si>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</si>
  <si>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</si>
  <si>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</si>
  <si>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</si>
  <si>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</si>
  <si>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</si>
  <si>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</si>
  <si>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</si>
  <si>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</si>
  <si>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</si>
  <si>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</si>
  <si>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</si>
  <si>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</si>
  <si>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</si>
  <si>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</si>
  <si>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</si>
  <si>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</si>
  <si>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</si>
  <si>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</si>
  <si>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</si>
  <si>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</si>
  <si>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</si>
  <si>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</si>
  <si>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</si>
  <si>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</si>
  <si>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</si>
  <si>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</si>
  <si>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</si>
  <si>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</si>
  <si>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</si>
  <si>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</si>
  <si>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</si>
  <si>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</si>
  <si>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</si>
  <si>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</si>
  <si>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</si>
  <si>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</si>
  <si>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</si>
  <si>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</si>
  <si>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</si>
  <si>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</si>
  <si>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</si>
  <si>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</si>
  <si>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</si>
  <si>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</si>
  <si>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</si>
  <si>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</si>
  <si>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</si>
  <si>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</si>
  <si>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</si>
  <si>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</si>
  <si>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</si>
  <si>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</si>
  <si>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</si>
  <si>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</si>
  <si>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</si>
  <si>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</si>
  <si>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</si>
  <si>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</si>
  <si>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</si>
  <si>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</si>
  <si>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</si>
  <si>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</si>
  <si>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</si>
  <si>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</si>
  <si>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</si>
  <si>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</si>
  <si>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</si>
  <si>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</si>
  <si>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</si>
  <si>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</si>
  <si>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</si>
  <si>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</si>
  <si>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</si>
  <si>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</si>
  <si>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</si>
  <si>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</si>
  <si>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</si>
  <si>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</si>
  <si>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</si>
  <si>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</si>
  <si>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</si>
  <si>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</si>
  <si>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</si>
  <si>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</si>
  <si>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</si>
  <si>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</si>
  <si>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</si>
  <si>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</si>
  <si>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</si>
  <si>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</si>
  <si>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</si>
  <si>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</si>
  <si>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</si>
  <si>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</si>
  <si>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</si>
  <si>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</si>
  <si>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</si>
  <si>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</si>
  <si>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</si>
  <si>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</si>
  <si>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</si>
  <si>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</si>
  <si>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</si>
  <si>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</si>
  <si>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</si>
  <si>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</si>
  <si>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</si>
  <si>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</si>
  <si>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</si>
  <si>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</si>
  <si>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</si>
  <si>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</si>
  <si>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</si>
  <si>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</si>
  <si>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</si>
  <si>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</si>
  <si>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</si>
  <si>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</si>
  <si>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</si>
  <si>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</si>
  <si>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</si>
  <si>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</si>
  <si>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</si>
  <si>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</si>
  <si>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</si>
  <si>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</si>
  <si>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</si>
  <si>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</si>
  <si>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</si>
  <si>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</si>
  <si>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</si>
  <si>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</si>
  <si>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</si>
  <si>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</si>
  <si>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</si>
  <si>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</si>
  <si>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</si>
  <si>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</si>
  <si>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</si>
  <si>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</si>
  <si>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</si>
  <si>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</si>
  <si>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</si>
  <si>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</si>
  <si>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</si>
  <si>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</si>
  <si>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</si>
  <si>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</si>
  <si>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</si>
  <si>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</si>
  <si>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</si>
  <si>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</si>
  <si>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</si>
  <si>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</si>
  <si>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</si>
  <si>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</si>
  <si>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</si>
  <si>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</si>
  <si>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</si>
  <si>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</si>
  <si>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</si>
  <si>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</si>
  <si>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</si>
  <si>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</si>
  <si>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</si>
  <si>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</si>
  <si>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</si>
  <si>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</si>
  <si>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</si>
  <si>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</si>
  <si>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</si>
  <si>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</si>
  <si>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</si>
  <si>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</si>
  <si>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</si>
  <si>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</si>
  <si>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</si>
  <si>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</si>
  <si>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</si>
  <si>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</si>
  <si>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</si>
  <si>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</si>
  <si>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</si>
  <si>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</si>
  <si>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</si>
  <si>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</si>
  <si>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</si>
  <si>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</si>
  <si>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</si>
  <si>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</si>
  <si>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</si>
  <si>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</si>
  <si>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</si>
  <si>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</si>
  <si>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</si>
  <si>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</si>
  <si>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</si>
  <si>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</si>
  <si>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</si>
  <si>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</si>
  <si>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</si>
  <si>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</si>
  <si>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</si>
  <si>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</si>
  <si>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</si>
  <si>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</si>
  <si>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</si>
  <si>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</si>
  <si>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</si>
  <si>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</si>
  <si>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</si>
  <si>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</si>
  <si>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</si>
  <si>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</si>
  <si>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</si>
  <si>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</si>
  <si>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</si>
  <si>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</si>
  <si>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</si>
  <si>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</si>
  <si>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</si>
  <si>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</si>
  <si>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</si>
  <si>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</si>
  <si>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</si>
  <si>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</si>
  <si>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</si>
  <si>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</si>
  <si>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</si>
  <si>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</si>
  <si>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</si>
  <si>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</si>
  <si>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</si>
  <si>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</si>
  <si>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</si>
  <si>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</si>
  <si>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</si>
  <si>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</si>
  <si>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</si>
  <si>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</si>
  <si>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</si>
  <si>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</si>
  <si>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</si>
  <si>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</si>
  <si>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</si>
  <si>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</si>
  <si>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</si>
  <si>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</si>
  <si>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</si>
  <si>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</si>
  <si>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</si>
  <si>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</si>
  <si>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</si>
  <si>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</si>
  <si>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</si>
  <si>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</si>
  <si>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</si>
  <si>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</si>
  <si>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</si>
  <si>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</si>
  <si>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</si>
  <si>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</si>
  <si>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</si>
  <si>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</si>
  <si>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</si>
  <si>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</si>
  <si>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</si>
  <si>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</si>
  <si>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</si>
  <si>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</si>
  <si>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</si>
  <si>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</si>
  <si>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</si>
  <si>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</si>
  <si>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</si>
  <si>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</si>
  <si>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</si>
  <si>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</si>
  <si>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</si>
  <si>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</si>
  <si>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</si>
  <si>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</si>
  <si>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</si>
  <si>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</si>
  <si>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</si>
  <si>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</si>
  <si>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</si>
  <si>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</si>
  <si>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</si>
  <si>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</si>
  <si>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</si>
  <si>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</si>
  <si>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</si>
  <si>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</si>
  <si>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</si>
  <si>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</si>
  <si>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</si>
  <si>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</si>
  <si>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</si>
  <si>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</si>
  <si>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</si>
  <si>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</si>
  <si>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</si>
  <si>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</si>
  <si>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</si>
  <si>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</si>
  <si>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</si>
  <si>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</si>
  <si>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</si>
  <si>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</si>
  <si>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</si>
  <si>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</si>
  <si>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</si>
  <si>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</si>
  <si>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</si>
  <si>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</si>
  <si>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</si>
  <si>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</si>
  <si>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</si>
  <si>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</si>
  <si>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</si>
  <si>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</si>
  <si>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</si>
  <si>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</si>
  <si>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</si>
  <si>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</si>
  <si>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</si>
  <si>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</si>
  <si>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</si>
  <si>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</si>
  <si>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</si>
  <si>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</si>
  <si>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</si>
  <si>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</si>
  <si>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</si>
  <si>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</si>
  <si>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</si>
  <si>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</si>
  <si>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</si>
  <si>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</si>
  <si>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</si>
  <si>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</si>
  <si>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</si>
  <si>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</si>
  <si>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</si>
  <si>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</si>
  <si>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</si>
  <si>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</si>
  <si>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</si>
  <si>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</si>
  <si>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</si>
  <si>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</si>
  <si>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</si>
  <si>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</si>
  <si>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</si>
  <si>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</si>
  <si>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</si>
  <si>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</si>
  <si>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</si>
  <si>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</si>
  <si>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</si>
  <si>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</si>
  <si>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</si>
  <si>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</si>
  <si>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</si>
  <si>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</si>
  <si>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</si>
  <si>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</si>
  <si>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</si>
  <si>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</si>
  <si>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</si>
  <si>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</si>
  <si>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</si>
  <si>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</si>
  <si>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</si>
  <si>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</si>
  <si>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</si>
  <si>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</si>
  <si>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</si>
  <si>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</si>
  <si>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</si>
  <si>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</si>
  <si>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</si>
  <si>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</si>
  <si>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</si>
  <si>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</si>
  <si>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</si>
  <si>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</si>
  <si>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</si>
  <si>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</si>
  <si>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</si>
  <si>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</si>
  <si>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</si>
  <si>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</si>
  <si>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</si>
  <si>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</si>
  <si>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</si>
  <si>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</si>
  <si>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</si>
  <si>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</si>
  <si>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</si>
  <si>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</si>
  <si>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</si>
  <si>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</si>
  <si>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</si>
  <si>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</si>
  <si>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</si>
  <si>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</si>
  <si>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</si>
  <si>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</si>
  <si>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</si>
  <si>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</si>
  <si>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</si>
  <si>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</si>
  <si>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</si>
  <si>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</si>
  <si>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</si>
  <si>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</si>
  <si>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</si>
  <si>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</si>
  <si>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</si>
  <si>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</si>
  <si>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</si>
  <si>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</si>
  <si>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</si>
  <si>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</si>
  <si>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</si>
  <si>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</si>
  <si>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</si>
  <si>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</si>
  <si>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</si>
  <si>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</si>
  <si>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</si>
  <si>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</si>
  <si>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</si>
  <si>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</si>
  <si>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</si>
  <si>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</si>
  <si>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</si>
  <si>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</si>
  <si>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</si>
  <si>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</si>
  <si>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</si>
  <si>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</si>
  <si>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</si>
  <si>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</si>
  <si>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</si>
  <si>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</si>
  <si>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</si>
  <si>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</si>
  <si>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</si>
  <si>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</si>
  <si>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</si>
  <si>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</si>
  <si>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</si>
  <si>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</si>
  <si>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</si>
  <si>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</si>
  <si>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</si>
  <si>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</si>
  <si>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</si>
  <si>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</si>
  <si>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</si>
  <si>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</si>
  <si>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</si>
  <si>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</si>
  <si>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</si>
  <si>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</si>
  <si>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</si>
  <si>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</si>
  <si>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</si>
  <si>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</si>
  <si>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</si>
  <si>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</si>
  <si>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</si>
  <si>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</si>
  <si>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</si>
  <si>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</si>
  <si>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</si>
  <si>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</si>
  <si>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</si>
  <si>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</si>
  <si>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</si>
  <si>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</si>
  <si>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</si>
  <si>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</si>
  <si>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</si>
  <si>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</si>
  <si>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</si>
  <si>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</si>
  <si>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</si>
  <si>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</si>
  <si>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</si>
  <si>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</si>
  <si>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</si>
  <si>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</si>
  <si>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</si>
  <si>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</si>
  <si>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</si>
  <si>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</si>
  <si>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</si>
  <si>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</si>
  <si>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</si>
  <si>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</si>
  <si>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</si>
  <si>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</si>
  <si>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</si>
  <si>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</si>
  <si>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</si>
  <si>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</si>
  <si>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</si>
  <si>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</si>
  <si>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</si>
  <si>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</si>
  <si>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</si>
  <si>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</si>
  <si>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</si>
  <si>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</si>
  <si>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</si>
  <si>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</si>
  <si>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</si>
  <si>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</si>
  <si>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</si>
  <si>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</si>
  <si>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</si>
  <si>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</si>
  <si>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</si>
  <si>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</si>
  <si>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</si>
  <si>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</si>
  <si>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</si>
  <si>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</si>
  <si>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</si>
  <si>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</si>
  <si>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</si>
  <si>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</si>
  <si>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</si>
  <si>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</si>
  <si>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</si>
  <si>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</si>
  <si>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</si>
  <si>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</si>
  <si>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</si>
  <si>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</si>
  <si>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</si>
  <si>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</si>
  <si>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</si>
  <si>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</si>
  <si>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</si>
  <si>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</si>
  <si>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</si>
  <si>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</si>
  <si>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</si>
  <si>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</si>
  <si>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</si>
  <si>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</si>
  <si>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</si>
  <si>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</si>
  <si>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</si>
  <si>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</si>
  <si>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</si>
  <si>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</si>
  <si>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</si>
  <si>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</si>
  <si>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</si>
  <si>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</si>
  <si>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</si>
  <si>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</si>
  <si>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</si>
  <si>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</si>
  <si>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</si>
  <si>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</si>
  <si>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</si>
  <si>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</si>
  <si>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</si>
  <si>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</si>
  <si>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</si>
  <si>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</si>
  <si>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</si>
  <si>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</si>
  <si>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</si>
  <si>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</si>
  <si>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</si>
  <si>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</si>
  <si>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</si>
  <si>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</si>
  <si>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</si>
  <si>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</si>
  <si>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</si>
  <si>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</si>
  <si>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</si>
  <si>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</si>
  <si>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</si>
  <si>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</si>
  <si>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</si>
  <si>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</si>
  <si>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</si>
  <si>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</si>
  <si>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</si>
  <si>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</si>
  <si>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</si>
  <si>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</si>
  <si>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</si>
  <si>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</si>
  <si>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</si>
  <si>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</si>
  <si>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</si>
  <si>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</si>
  <si>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</si>
  <si>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</si>
  <si>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</si>
  <si>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</si>
  <si>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</si>
  <si>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</si>
  <si>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</si>
  <si>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</si>
  <si>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</si>
  <si>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</si>
  <si>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</si>
  <si>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</si>
  <si>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</si>
  <si>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</si>
  <si>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</si>
  <si>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</si>
  <si>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</si>
  <si>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</si>
  <si>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</si>
  <si>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</si>
  <si>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</si>
  <si>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</si>
  <si>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</si>
  <si>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</si>
  <si>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</si>
  <si>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</si>
  <si>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</si>
  <si>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</si>
  <si>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</si>
  <si>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</si>
  <si>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</si>
  <si>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</si>
  <si>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</si>
  <si>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</si>
  <si>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</si>
  <si>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</si>
  <si>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</si>
  <si>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</si>
  <si>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</si>
  <si>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</si>
  <si>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</si>
  <si>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</si>
  <si>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</si>
  <si>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</si>
  <si>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</si>
  <si>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</si>
  <si>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</si>
  <si>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</si>
  <si>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</si>
  <si>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</si>
  <si>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</si>
  <si>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</si>
  <si>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</si>
  <si>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</si>
  <si>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</si>
  <si>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</si>
  <si>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</si>
  <si>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</si>
  <si>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</si>
  <si>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</si>
  <si>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</si>
  <si>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</si>
  <si>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</si>
  <si>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</si>
  <si>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</si>
  <si>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</si>
  <si>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</si>
  <si>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</si>
  <si>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</si>
  <si>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</si>
  <si>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</si>
  <si>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</si>
  <si>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</si>
  <si>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</si>
  <si>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</si>
  <si>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</si>
  <si>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</si>
  <si>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</si>
  <si>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</si>
  <si>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</si>
  <si>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</si>
  <si>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</si>
  <si>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</si>
  <si>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</si>
  <si>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</si>
  <si>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</si>
  <si>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</si>
  <si>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</si>
  <si>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</si>
  <si>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</si>
  <si>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</si>
  <si>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</si>
  <si>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</si>
  <si>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</si>
  <si>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</si>
  <si>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</si>
  <si>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</si>
  <si>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</si>
  <si>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</si>
  <si>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</si>
  <si>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</si>
  <si>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</si>
  <si>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</si>
  <si>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</si>
  <si>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</si>
  <si>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</si>
  <si>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</si>
  <si>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</si>
  <si>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</si>
  <si>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</si>
  <si>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</si>
  <si>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</si>
  <si>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</si>
  <si>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</si>
  <si>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</si>
  <si>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</si>
  <si>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</si>
  <si>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</si>
  <si>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</si>
  <si>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</si>
  <si>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</si>
  <si>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</si>
  <si>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</si>
  <si>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</si>
  <si>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</si>
  <si>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</si>
  <si>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</si>
  <si>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</si>
  <si>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</si>
  <si>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</si>
  <si>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</si>
  <si>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</si>
  <si>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</si>
  <si>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</si>
  <si>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</si>
  <si>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</si>
  <si>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</si>
  <si>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</si>
  <si>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</si>
  <si>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</si>
  <si>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</si>
  <si>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</si>
  <si>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</si>
  <si>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</si>
  <si>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</si>
  <si>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</si>
  <si>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</si>
  <si>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</si>
  <si>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</si>
  <si>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</si>
  <si>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</si>
  <si>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</si>
  <si>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</si>
  <si>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</si>
  <si>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</si>
  <si>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</si>
  <si>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</si>
  <si>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</si>
  <si>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</si>
  <si>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</si>
  <si>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</si>
  <si>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</si>
  <si>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</si>
  <si>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</si>
  <si>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</si>
  <si>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</si>
  <si>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</si>
  <si>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</si>
  <si>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</si>
  <si>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</si>
  <si>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</si>
  <si>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</si>
  <si>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</si>
  <si>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</si>
  <si>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</si>
  <si>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</si>
  <si>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</si>
  <si>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</si>
  <si>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</si>
  <si>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</si>
  <si>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</si>
  <si>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</si>
  <si>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</si>
  <si>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</si>
  <si>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</si>
  <si>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</si>
  <si>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</si>
  <si>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</si>
  <si>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</si>
  <si>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</si>
  <si>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</si>
  <si>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</si>
  <si>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</si>
  <si>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</si>
  <si>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</si>
  <si>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</si>
  <si>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</si>
  <si>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</si>
  <si>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</si>
  <si>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</si>
  <si>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</si>
  <si>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</si>
  <si>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</si>
  <si>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</si>
  <si>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</si>
  <si>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</si>
  <si>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</si>
  <si>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</si>
  <si>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</si>
  <si>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</si>
  <si>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</si>
  <si>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</si>
  <si>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</si>
  <si>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</si>
  <si>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</si>
  <si>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</si>
  <si>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</si>
  <si>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</si>
  <si>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</si>
  <si>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</si>
  <si>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</si>
  <si>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</si>
  <si>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</si>
  <si>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</si>
  <si>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</si>
  <si>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</si>
  <si>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</si>
  <si>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</si>
  <si>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</si>
  <si>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</si>
  <si>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</si>
  <si>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</si>
  <si>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</si>
  <si>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</si>
  <si>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</si>
  <si>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</si>
  <si>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</si>
  <si>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</si>
  <si>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</si>
  <si>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</si>
  <si>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</si>
  <si>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</si>
  <si>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</si>
  <si>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</si>
  <si>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</si>
  <si>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</si>
  <si>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</si>
  <si>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</si>
  <si>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</si>
  <si>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</si>
  <si>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</si>
  <si>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</si>
  <si>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</si>
  <si>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</si>
  <si>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</si>
  <si>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</si>
  <si>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</si>
  <si>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</si>
  <si>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</si>
  <si>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</si>
  <si>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</si>
  <si>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</si>
  <si>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</si>
  <si>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</si>
  <si>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</si>
  <si>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</si>
  <si>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</si>
  <si>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</si>
  <si>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</si>
  <si>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</si>
  <si>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</si>
  <si>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</si>
  <si>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</si>
  <si>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</si>
  <si>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</si>
  <si>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</si>
  <si>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</si>
  <si>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</si>
  <si>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</si>
  <si>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</si>
  <si>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</si>
  <si>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</si>
  <si>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</si>
  <si>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</si>
  <si>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</si>
  <si>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</si>
  <si>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</si>
  <si>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</si>
  <si>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</si>
  <si>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</si>
  <si>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</si>
  <si>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</si>
  <si>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</si>
  <si>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</si>
  <si>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</si>
  <si>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</si>
  <si>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</si>
  <si>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</si>
  <si>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</si>
  <si>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</si>
  <si>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</si>
  <si>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</si>
  <si>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</si>
  <si>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</si>
  <si>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</si>
  <si>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</si>
  <si>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</si>
  <si>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</si>
  <si>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</si>
  <si>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</si>
  <si>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</si>
  <si>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</si>
  <si>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</si>
  <si>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</si>
  <si>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</si>
  <si>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</si>
  <si>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</si>
  <si>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</si>
  <si>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</si>
  <si>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</si>
  <si>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</si>
  <si>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</si>
  <si>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</si>
  <si>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</si>
  <si>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</si>
  <si>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</si>
  <si>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</si>
  <si>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</si>
  <si>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</si>
  <si>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</si>
  <si>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</si>
  <si>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</si>
  <si>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</si>
  <si>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</si>
  <si>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</si>
  <si>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</si>
  <si>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</si>
  <si>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</si>
  <si>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</si>
  <si>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</si>
  <si>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</si>
  <si>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</si>
  <si>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</si>
  <si>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</si>
  <si>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</si>
  <si>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</si>
  <si>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</si>
  <si>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</si>
  <si>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</si>
  <si>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</si>
  <si>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</si>
  <si>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</si>
  <si>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</si>
  <si>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</si>
  <si>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</si>
  <si>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</si>
  <si>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</si>
  <si>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</si>
  <si>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</si>
  <si>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</si>
  <si>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</si>
  <si>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</si>
  <si>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</si>
  <si>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</si>
  <si>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</si>
  <si>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</si>
  <si>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</si>
  <si>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</si>
  <si>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</si>
  <si>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</si>
  <si>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</si>
  <si>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</si>
  <si>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</si>
  <si>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</si>
  <si>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</si>
  <si>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</si>
  <si>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</si>
  <si>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</si>
  <si>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</si>
  <si>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</si>
  <si>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</si>
  <si>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</si>
  <si>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</si>
  <si>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</si>
  <si>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</si>
  <si>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</si>
  <si>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</si>
  <si>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</si>
  <si>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</si>
  <si>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</si>
  <si>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</si>
  <si>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</si>
  <si>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</si>
  <si>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</si>
  <si>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</si>
  <si>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</si>
  <si>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</si>
  <si>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</si>
  <si>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</si>
  <si>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</si>
  <si>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</si>
  <si>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</si>
  <si>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</si>
  <si>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</si>
  <si>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</si>
  <si>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</si>
  <si>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</si>
  <si>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</si>
  <si>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</si>
  <si>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</si>
  <si>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</si>
  <si>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</si>
  <si>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</si>
  <si>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</si>
  <si>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</si>
  <si>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</si>
  <si>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</si>
  <si>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</si>
  <si>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</si>
  <si>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</si>
  <si>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</si>
  <si>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</si>
  <si>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</si>
  <si>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</si>
  <si>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</si>
  <si>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</si>
  <si>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</si>
  <si>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</si>
  <si>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</si>
  <si>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</si>
  <si>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</si>
  <si>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</si>
  <si>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</si>
  <si>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</si>
  <si>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</si>
  <si>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</si>
  <si>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</si>
  <si>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</si>
  <si>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</si>
  <si>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</si>
  <si>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</si>
  <si>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</si>
  <si>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</si>
  <si>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</si>
  <si>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</si>
  <si>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</si>
  <si>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</si>
  <si>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</si>
  <si>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</si>
  <si>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</si>
  <si>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</si>
  <si>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</si>
  <si>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</si>
  <si>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</si>
  <si>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</si>
  <si>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</si>
  <si>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</si>
  <si>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</si>
  <si>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</si>
  <si>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</si>
  <si>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</si>
  <si>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</si>
  <si>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</si>
  <si>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</si>
  <si>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</si>
  <si>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</si>
  <si>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</si>
  <si>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</si>
  <si>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</si>
  <si>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</si>
  <si>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</si>
  <si>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</si>
  <si>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</si>
  <si>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</si>
  <si>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</si>
  <si>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</si>
  <si>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</si>
  <si>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</si>
  <si>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</si>
  <si>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</si>
  <si>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</si>
  <si>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</si>
  <si>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</si>
  <si>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</si>
  <si>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</si>
  <si>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</si>
  <si>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</si>
  <si>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</si>
  <si>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</si>
  <si>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</si>
  <si>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</si>
  <si>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</si>
  <si>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</si>
  <si>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</si>
  <si>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</si>
  <si>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</si>
  <si>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</si>
  <si>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</si>
  <si>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</si>
  <si>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</si>
  <si>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</si>
  <si>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</si>
  <si>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</si>
  <si>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</si>
  <si>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</si>
  <si>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</si>
  <si>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</si>
  <si>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</si>
  <si>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</si>
  <si>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</si>
  <si>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</si>
  <si>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</si>
  <si>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</si>
  <si>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</si>
  <si>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</si>
  <si>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</si>
  <si>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</si>
  <si>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</si>
  <si>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</si>
  <si>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</si>
  <si>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</si>
  <si>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</si>
  <si>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</si>
  <si>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</si>
  <si>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</si>
  <si>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</si>
  <si>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</si>
  <si>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</si>
  <si>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</si>
  <si>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</si>
  <si>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</si>
  <si>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</si>
  <si>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</si>
  <si>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</si>
  <si>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</si>
  <si>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</si>
  <si>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</si>
  <si>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</si>
  <si>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</si>
  <si>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</si>
  <si>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</si>
  <si>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</si>
  <si>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</si>
  <si>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</si>
  <si>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</si>
  <si>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</si>
  <si>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</si>
  <si>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</si>
  <si>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</si>
  <si>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</si>
  <si>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</si>
  <si>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</si>
  <si>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</si>
  <si>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</si>
  <si>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</si>
  <si>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</si>
  <si>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</si>
  <si>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</si>
  <si>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</si>
  <si>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</si>
  <si>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</si>
  <si>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</si>
  <si>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</si>
  <si>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</si>
  <si>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</si>
  <si>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</si>
  <si>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</si>
  <si>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</si>
  <si>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</si>
  <si>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</si>
  <si>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</si>
  <si>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</si>
  <si>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</si>
  <si>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</si>
  <si>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</si>
  <si>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</si>
  <si>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</si>
  <si>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</si>
  <si>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</si>
  <si>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</si>
  <si>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</si>
  <si>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</si>
  <si>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</si>
  <si>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</si>
  <si>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</si>
  <si>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</si>
  <si>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</si>
  <si>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</si>
  <si>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</si>
  <si>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</si>
  <si>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</si>
  <si>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</si>
  <si>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</si>
  <si>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</si>
  <si>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</si>
  <si>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</si>
  <si>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</si>
  <si>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</si>
  <si>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</si>
  <si>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</si>
  <si>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</si>
  <si>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</si>
  <si>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</si>
  <si>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</si>
  <si>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</si>
  <si>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</si>
  <si>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</si>
  <si>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</si>
  <si>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</si>
  <si>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</si>
  <si>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</si>
  <si>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</si>
  <si>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</si>
  <si>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</si>
  <si>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</si>
  <si>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</si>
  <si>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</si>
  <si>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</si>
  <si>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</si>
  <si>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</si>
  <si>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</si>
  <si>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</si>
  <si>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</si>
  <si>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</si>
  <si>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</si>
  <si>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</si>
  <si>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</si>
  <si>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</si>
  <si>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</si>
  <si>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</si>
  <si>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</si>
  <si>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</si>
  <si>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</si>
  <si>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</si>
  <si>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</si>
  <si>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</si>
  <si>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</si>
  <si>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</si>
  <si>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</si>
  <si>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</si>
  <si>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</si>
  <si>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</si>
  <si>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</si>
  <si>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</si>
  <si>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</si>
  <si>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</si>
  <si>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</si>
  <si>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</si>
  <si>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</si>
  <si>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</si>
  <si>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</si>
  <si>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</si>
  <si>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</si>
  <si>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</si>
  <si>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</si>
  <si>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</si>
  <si>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</si>
  <si>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</si>
  <si>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</si>
  <si>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</si>
  <si>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</si>
  <si>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</si>
  <si>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</si>
  <si>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</si>
  <si>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</si>
  <si>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</si>
  <si>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</si>
  <si>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</si>
  <si>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</si>
  <si>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</si>
  <si>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</si>
  <si>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</si>
  <si>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</si>
  <si>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</si>
  <si>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</si>
  <si>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</si>
  <si>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</si>
  <si>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</si>
  <si>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</si>
  <si>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</si>
  <si>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</si>
  <si>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</si>
  <si>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</si>
  <si>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</si>
  <si>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</si>
  <si>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</si>
  <si>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</si>
  <si>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</si>
  <si>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</si>
  <si>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</si>
  <si>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</si>
  <si>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</si>
  <si>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</si>
  <si>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</si>
  <si>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</si>
  <si>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</si>
  <si>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</si>
  <si>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</si>
  <si>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</si>
  <si>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</si>
  <si>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</si>
  <si>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</si>
  <si>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</si>
  <si>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</si>
  <si>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</si>
  <si>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</si>
  <si>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</si>
  <si>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</si>
  <si>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</si>
  <si>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</si>
  <si>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</si>
  <si>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</si>
  <si>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</si>
  <si>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</si>
  <si>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</si>
  <si>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</si>
  <si>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</si>
  <si>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</si>
  <si>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</si>
  <si>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</si>
  <si>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</si>
  <si>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</si>
  <si>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</si>
  <si>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</si>
  <si>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</si>
  <si>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</si>
  <si>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</si>
  <si>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</si>
  <si>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</si>
  <si>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</si>
  <si>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</si>
  <si>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</si>
  <si>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</si>
  <si>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</si>
  <si>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</si>
  <si>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</si>
  <si>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</si>
  <si>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</si>
  <si>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</si>
  <si>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</si>
  <si>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</si>
  <si>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</si>
  <si>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</si>
  <si>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</si>
  <si>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</si>
  <si>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</si>
  <si>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</si>
  <si>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</si>
  <si>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Adjusted Rates of Return by Class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</si>
  <si>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</si>
  <si>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</si>
  <si>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</si>
  <si>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</si>
  <si>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</si>
  <si>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</si>
  <si>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</si>
  <si>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</si>
  <si>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</si>
  <si>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</si>
  <si>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</si>
  <si>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</si>
  <si>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</si>
  <si>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</si>
  <si>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</si>
  <si>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</si>
  <si>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</si>
  <si>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</si>
  <si>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</si>
  <si>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</si>
  <si>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</si>
  <si>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</si>
  <si>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</si>
  <si>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</si>
  <si>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</si>
  <si>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</si>
  <si>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</si>
  <si>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</si>
  <si>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</si>
  <si>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</si>
  <si>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</si>
  <si>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</si>
  <si>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</si>
  <si>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</si>
  <si>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</si>
  <si>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</si>
  <si>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</si>
  <si>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</si>
  <si>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</si>
  <si>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</si>
  <si>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</si>
  <si>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</si>
  <si>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</si>
  <si>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</si>
  <si>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</si>
  <si>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</si>
  <si>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</si>
  <si>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</si>
  <si>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</si>
  <si>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</si>
  <si>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</si>
  <si>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</si>
  <si>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</si>
  <si>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</si>
  <si>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</si>
  <si>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</si>
  <si>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</si>
  <si>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</si>
  <si>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</si>
  <si>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</si>
  <si>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</si>
  <si>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</si>
  <si>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</si>
  <si>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</si>
  <si>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</si>
  <si>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</si>
  <si>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</si>
  <si>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</si>
  <si>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</si>
  <si>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</si>
  <si>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</si>
  <si>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</si>
  <si>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</si>
  <si>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</si>
  <si>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</si>
  <si>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</si>
  <si>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</si>
  <si>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</si>
  <si>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</si>
  <si>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</si>
  <si>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</si>
  <si>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</si>
  <si>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</si>
  <si>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</si>
  <si>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</si>
  <si>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</si>
  <si>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</si>
  <si>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</si>
  <si>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</si>
  <si>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</si>
  <si>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</si>
  <si>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</si>
  <si>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</si>
  <si>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</si>
  <si>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</si>
  <si>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</si>
  <si>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</si>
  <si>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</si>
  <si>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</si>
  <si>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</si>
  <si>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</si>
  <si>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</si>
  <si>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</si>
  <si>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</si>
  <si>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</si>
  <si>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</si>
  <si>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</si>
  <si>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</si>
  <si>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</si>
  <si>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</si>
  <si>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</si>
  <si>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</si>
  <si>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</si>
  <si>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</si>
  <si>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</si>
  <si>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</si>
  <si>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</si>
  <si>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</si>
  <si>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</si>
  <si>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</si>
  <si>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</si>
  <si>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</si>
  <si>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</si>
  <si>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</si>
  <si>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</si>
  <si>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</si>
  <si>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</si>
  <si>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</si>
  <si>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</si>
  <si>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</si>
  <si>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</si>
  <si>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</si>
  <si>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</si>
  <si>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</si>
  <si>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</si>
  <si>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</si>
  <si>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</si>
  <si>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</si>
  <si>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</si>
  <si>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</si>
  <si>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</si>
  <si>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Infrastructure Energy Cost</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</si>
  <si>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</si>
  <si>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</si>
  <si>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</si>
  <si>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</si>
  <si>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</si>
  <si>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</si>
  <si>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</si>
  <si>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</si>
  <si>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</si>
  <si>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</si>
  <si>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</si>
  <si>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</si>
  <si>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</si>
  <si>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</si>
  <si>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</si>
  <si>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</si>
  <si>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</si>
  <si>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</si>
  <si>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</si>
  <si>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</si>
  <si>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</si>
  <si>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</si>
  <si>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</si>
  <si>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</si>
  <si>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</si>
  <si>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</si>
  <si>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</si>
  <si>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</si>
  <si>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</si>
  <si>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</si>
  <si>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</si>
  <si>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</si>
  <si>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</si>
  <si>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</si>
  <si>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</si>
  <si>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</si>
  <si>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</si>
  <si>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</si>
  <si>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</si>
  <si>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</si>
  <si>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</si>
  <si>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</si>
  <si>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</si>
  <si>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</si>
  <si>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</si>
  <si>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</si>
  <si>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</si>
  <si>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</si>
  <si>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</si>
  <si>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</si>
  <si>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</si>
  <si>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</si>
  <si>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</si>
  <si>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</si>
  <si>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</si>
  <si>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</si>
  <si>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</si>
  <si>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</si>
  <si>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</si>
  <si>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</si>
  <si>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</si>
  <si>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</si>
  <si>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</si>
  <si>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</si>
  <si>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</si>
  <si>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</si>
  <si>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</si>
  <si>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</si>
  <si>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</si>
  <si>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</si>
  <si>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</si>
  <si>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</si>
  <si>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</si>
  <si>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</si>
  <si>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</si>
  <si>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</si>
  <si>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</si>
  <si>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</si>
  <si>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</si>
  <si>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</si>
  <si>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</si>
  <si>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</si>
  <si>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</si>
  <si>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</si>
  <si>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</si>
  <si>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</si>
  <si>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LOLP Demand Allocator</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</si>
  <si>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</si>
  <si>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</si>
  <si>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</si>
  <si>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</si>
  <si>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</si>
  <si>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</si>
  <si>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</si>
  <si>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</si>
  <si>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</si>
  <si>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</si>
  <si>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</si>
  <si>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GPPLOLPDRA</t>
  </si>
  <si>
    <t>GPPLOLPDT</t>
  </si>
  <si>
    <t>GPLOLPDA</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</si>
  <si>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</si>
  <si>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</si>
  <si>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</si>
  <si>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</si>
  <si>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</si>
  <si>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</si>
  <si>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</si>
  <si>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</si>
  <si>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</si>
  <si>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</si>
  <si>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NPPLOLPDRA</t>
  </si>
  <si>
    <t>NPPLOLPDT</t>
  </si>
  <si>
    <t>NPLOLPDA</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</si>
  <si>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</si>
  <si>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</si>
  <si>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</si>
  <si>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</si>
  <si>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</si>
  <si>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RBLOLPDRA</t>
  </si>
  <si>
    <t>RBLOLPDT</t>
  </si>
  <si>
    <t>RBLOLPDA</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</si>
  <si>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</si>
  <si>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</si>
  <si>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</si>
  <si>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</si>
  <si>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</si>
  <si>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</si>
  <si>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</si>
  <si>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</si>
  <si>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</si>
  <si>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</si>
  <si>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</si>
  <si>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</si>
  <si>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</si>
  <si>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</si>
  <si>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</si>
  <si>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POMLOLPDRA</t>
  </si>
  <si>
    <t>POMLOLPDT</t>
  </si>
  <si>
    <t>POMLOLPDA</t>
  </si>
  <si>
    <t>PDEPLOLPDRA</t>
  </si>
  <si>
    <t>PDEPLOLPDT</t>
  </si>
  <si>
    <t>PDEPLOLPDA</t>
  </si>
  <si>
    <t>PPTLOLPDRA</t>
  </si>
  <si>
    <t>PPTLOLPDT</t>
  </si>
  <si>
    <t>PPTLOLPDA</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</si>
  <si>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</si>
  <si>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</si>
  <si>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</si>
  <si>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</si>
  <si>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</si>
  <si>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</si>
  <si>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</si>
  <si>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</si>
  <si>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</si>
  <si>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</si>
  <si>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</si>
  <si>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</si>
  <si>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</si>
  <si>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</si>
  <si>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</si>
  <si>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</si>
  <si>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</si>
  <si>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</si>
  <si>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</si>
  <si>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</si>
  <si>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</si>
  <si>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</si>
  <si>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</si>
  <si>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</si>
  <si>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</si>
  <si>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</si>
  <si>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</si>
  <si>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</si>
  <si>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</si>
  <si>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</si>
  <si>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</si>
  <si>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</si>
  <si>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</si>
  <si>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</si>
  <si>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</si>
  <si>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</si>
  <si>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</si>
  <si>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</si>
  <si>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</si>
  <si>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</si>
  <si>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</si>
  <si>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</si>
  <si>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</si>
  <si>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</si>
  <si>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</si>
  <si>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</si>
  <si>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</si>
  <si>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</si>
  <si>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</si>
  <si>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</si>
  <si>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</si>
  <si>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</si>
  <si>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</si>
  <si>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</si>
  <si>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</si>
  <si>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</si>
  <si>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</si>
  <si>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</si>
  <si>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</si>
  <si>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</si>
  <si>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</si>
  <si>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</si>
  <si>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</si>
  <si>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</si>
  <si>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</si>
  <si>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</si>
  <si>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</si>
  <si>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</si>
  <si>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</si>
  <si>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</si>
  <si>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</si>
  <si>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</si>
  <si>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</si>
  <si>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</si>
  <si>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</si>
  <si>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</si>
  <si>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</si>
  <si>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</si>
  <si>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</si>
  <si>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</si>
  <si>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</si>
  <si>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</si>
  <si>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</si>
  <si>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</si>
  <si>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</si>
  <si>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</si>
  <si>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</si>
  <si>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</si>
  <si>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</si>
  <si>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</si>
  <si>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</si>
  <si>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</si>
  <si>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</si>
  <si>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</si>
  <si>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</si>
  <si>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</si>
  <si>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</si>
  <si>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</si>
  <si>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</si>
  <si>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</si>
  <si>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</si>
  <si>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</si>
  <si>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</si>
  <si>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</si>
  <si>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</si>
  <si>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</si>
  <si>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</si>
  <si>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</si>
  <si>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</si>
  <si>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</si>
  <si>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</si>
  <si>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</si>
  <si>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</si>
  <si>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</si>
  <si>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</si>
  <si>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</si>
  <si>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</si>
  <si>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</si>
  <si>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</si>
  <si>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</si>
  <si>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</si>
  <si>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</si>
  <si>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</si>
  <si>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</si>
  <si>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</si>
  <si>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</si>
  <si>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</si>
  <si>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</si>
  <si>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</si>
  <si>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</si>
  <si>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</si>
  <si>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</si>
  <si>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</si>
  <si>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</si>
  <si>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</si>
  <si>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</si>
  <si>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</si>
  <si>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</si>
  <si>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</si>
  <si>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</si>
  <si>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Tier I - RS, GS, PS, TOD, RTS, FLS</t>
  </si>
  <si>
    <t>Tier II -- Lighting except OSL</t>
  </si>
  <si>
    <t>Tier III -- OSL</t>
  </si>
  <si>
    <t>No increase</t>
  </si>
  <si>
    <t>Decrease</t>
  </si>
  <si>
    <t>Increase</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</si>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</sst>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7">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171" fontId="15" fillId="0" borderId="0" xfId="33" applyNumberFormat="1" applyFont="1"/>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xf numFmtId="0" fontId="15" fillId="0" borderId="0" xfId="0" applyFont="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69">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36"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primegroupllc.sharepoint.com/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rimegroupllc.sharepoint.com/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rimegroupllc.sharepoint.com/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rimegroupllc.sharepoint.com/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rimegroupllc.sharepoint.com/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primegroupllc.sharepoint.com/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primegroupllc.sharepoint.com/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primegroupllc.sharepoint.com/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primegroupllc.sharepoint.com/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40625" defaultRowHeight="12.75" x14ac:dyDescent="0.2"/>
  <cols>
    <col min="1" max="1" width="4.42578125" style="53" customWidth="1"/>
    <col min="2" max="2" width="47.5703125" style="53" bestFit="1" customWidth="1"/>
    <col min="3" max="3" width="11.5703125" style="53" customWidth="1"/>
    <col min="4" max="4" width="14.85546875" style="53" customWidth="1"/>
    <col min="5" max="5" width="1.5703125" style="53" customWidth="1"/>
    <col min="6" max="6" width="14.85546875" style="53" customWidth="1"/>
    <col min="7" max="7" width="1.5703125" style="53" customWidth="1"/>
    <col min="8" max="9" width="14.85546875" style="53" customWidth="1"/>
    <col min="10" max="11" width="1.5703125" style="53" customWidth="1"/>
    <col min="12" max="12" width="14.85546875" style="53" customWidth="1"/>
    <col min="13" max="13" width="2" style="53" customWidth="1"/>
    <col min="14" max="17" width="14.85546875" style="53" customWidth="1"/>
    <col min="18" max="19" width="1.85546875" style="53" customWidth="1"/>
    <col min="20" max="20" width="14.85546875" style="53" customWidth="1"/>
    <col min="21" max="21" width="15.5703125" style="53" customWidth="1"/>
    <col min="22" max="22" width="9.85546875" style="53" customWidth="1"/>
    <col min="23" max="23" width="18.42578125" style="53" customWidth="1"/>
    <col min="24" max="24" width="13.42578125" style="53" customWidth="1"/>
    <col min="25" max="25" width="19.85546875" style="53" customWidth="1"/>
    <col min="26" max="26" width="38.28515625" style="53" customWidth="1"/>
    <col min="27" max="27" width="13.42578125" style="53" customWidth="1"/>
    <col min="28" max="28" width="35" style="53" customWidth="1"/>
    <col min="29" max="31" width="14.85546875" style="53" customWidth="1"/>
    <col min="32" max="32" width="33" style="53" customWidth="1"/>
    <col min="33" max="255" width="14.85546875" style="53" customWidth="1"/>
    <col min="256" max="16384" width="9.140625" style="53"/>
  </cols>
  <sheetData>
    <row r="1" spans="1:173 16383:16383" hidden="1" x14ac:dyDescent="0.2">
      <c r="F1" s="365"/>
      <c r="G1" s="365"/>
      <c r="H1" s="365"/>
      <c r="I1" s="365"/>
      <c r="J1" s="307"/>
      <c r="K1" s="307"/>
      <c r="U1" s="307"/>
      <c r="V1" s="307"/>
      <c r="AD1" s="307"/>
      <c r="AE1" s="307"/>
      <c r="AQ1" s="307"/>
      <c r="AR1" s="307"/>
      <c r="BG1" s="307"/>
      <c r="BH1" s="307"/>
      <c r="BO1" s="307"/>
      <c r="BP1" s="307"/>
      <c r="BW1" s="307"/>
      <c r="BX1" s="307"/>
      <c r="CE1" s="307"/>
      <c r="CF1" s="307"/>
      <c r="CM1" s="307"/>
      <c r="CN1" s="307"/>
      <c r="CU1" s="307"/>
      <c r="CV1" s="307"/>
      <c r="DI1" s="307"/>
      <c r="DJ1" s="307"/>
      <c r="DW1" s="307"/>
      <c r="DX1" s="307"/>
      <c r="EE1" s="307"/>
      <c r="EF1" s="307"/>
      <c r="EM1" s="307"/>
      <c r="EN1" s="307"/>
      <c r="FC1" s="307"/>
      <c r="FD1" s="319"/>
      <c r="FK1" s="307"/>
      <c r="FL1" s="307"/>
      <c r="FP1" s="307"/>
      <c r="FQ1" s="307"/>
    </row>
    <row r="2" spans="1:173 16383:16383" hidden="1" x14ac:dyDescent="0.2">
      <c r="A2" s="324"/>
      <c r="F2" s="365"/>
      <c r="G2" s="366"/>
      <c r="H2" s="367"/>
      <c r="I2" s="365"/>
      <c r="V2" s="307"/>
      <c r="AE2" s="307"/>
      <c r="AR2" s="307"/>
      <c r="BH2" s="307"/>
      <c r="BP2" s="307"/>
      <c r="BX2" s="307"/>
      <c r="CF2" s="307"/>
      <c r="CN2" s="307"/>
      <c r="CV2" s="307"/>
      <c r="DJ2" s="307"/>
      <c r="DX2" s="307"/>
      <c r="EF2" s="307"/>
      <c r="EN2" s="307"/>
      <c r="FC2" s="307"/>
      <c r="FD2" s="319"/>
      <c r="FK2" s="307"/>
      <c r="FL2" s="307"/>
      <c r="FQ2" s="307"/>
      <c r="XFC2" s="309"/>
    </row>
    <row r="3" spans="1:173 16383:16383" hidden="1" x14ac:dyDescent="0.2">
      <c r="B3" s="307"/>
      <c r="F3" s="365"/>
      <c r="G3" s="368"/>
      <c r="H3" s="367"/>
      <c r="I3" s="365"/>
      <c r="J3" s="307"/>
      <c r="K3" s="307"/>
      <c r="V3" s="307"/>
      <c r="AE3" s="307"/>
      <c r="AR3" s="307"/>
      <c r="BH3" s="307"/>
      <c r="BP3" s="307"/>
      <c r="BX3" s="307"/>
      <c r="CF3" s="307"/>
      <c r="CN3" s="307"/>
      <c r="CV3" s="307"/>
      <c r="DJ3" s="307"/>
      <c r="DW3" s="319"/>
      <c r="DX3" s="307"/>
      <c r="EE3" s="307"/>
      <c r="EF3" s="307"/>
      <c r="EN3" s="307"/>
      <c r="EO3" s="307"/>
      <c r="EX3" s="307"/>
      <c r="FC3" s="307"/>
      <c r="FD3" s="319"/>
      <c r="FK3" s="307"/>
      <c r="FL3" s="307"/>
      <c r="FQ3" s="307"/>
    </row>
    <row r="4" spans="1:173 16383:16383" hidden="1" x14ac:dyDescent="0.2">
      <c r="A4" s="307"/>
      <c r="F4" s="365"/>
      <c r="G4" s="367"/>
      <c r="H4" s="367"/>
      <c r="I4" s="365"/>
      <c r="V4" s="307"/>
      <c r="AE4" s="307"/>
      <c r="AR4" s="307"/>
      <c r="BH4" s="307"/>
      <c r="BP4" s="307"/>
      <c r="BX4" s="307"/>
      <c r="CF4" s="307"/>
      <c r="CN4" s="307"/>
      <c r="CV4" s="307"/>
      <c r="DJ4" s="307"/>
      <c r="DX4" s="307"/>
      <c r="EF4" s="307"/>
      <c r="EN4" s="307"/>
      <c r="EO4" s="307"/>
      <c r="EX4" s="307"/>
      <c r="FC4" s="307"/>
      <c r="FD4" s="319"/>
      <c r="FK4" s="307"/>
      <c r="FL4" s="307"/>
      <c r="FQ4" s="307"/>
    </row>
    <row r="5" spans="1:173 16383:16383" hidden="1" x14ac:dyDescent="0.2">
      <c r="B5" s="324"/>
      <c r="F5" s="365"/>
      <c r="G5" s="367"/>
      <c r="H5" s="367"/>
      <c r="I5" s="365"/>
      <c r="J5" s="307"/>
      <c r="K5" s="307"/>
      <c r="V5" s="307"/>
      <c r="AE5" s="307"/>
      <c r="AR5" s="307"/>
      <c r="BH5" s="307"/>
      <c r="BP5" s="307"/>
      <c r="BX5" s="307"/>
      <c r="CF5" s="307"/>
      <c r="CN5" s="307"/>
      <c r="CV5" s="307"/>
      <c r="DJ5" s="307"/>
      <c r="DX5" s="324"/>
      <c r="EF5" s="307"/>
      <c r="EG5" s="307"/>
      <c r="EN5" s="307"/>
      <c r="EO5" s="307"/>
      <c r="FC5" s="307"/>
      <c r="FD5" s="324"/>
      <c r="FK5" s="307"/>
      <c r="FL5" s="307"/>
      <c r="FQ5" s="307"/>
    </row>
    <row r="6" spans="1:173 16383:16383" hidden="1" x14ac:dyDescent="0.2">
      <c r="B6" s="354"/>
      <c r="F6" s="365"/>
      <c r="G6" s="367"/>
      <c r="H6" s="367"/>
      <c r="I6" s="365"/>
      <c r="U6" s="310"/>
      <c r="V6" s="307"/>
      <c r="W6" s="307"/>
      <c r="AE6" s="307"/>
      <c r="AR6" s="307"/>
      <c r="BH6" s="307"/>
      <c r="BP6" s="307"/>
      <c r="BX6" s="307"/>
      <c r="CF6" s="307"/>
      <c r="CN6" s="307"/>
      <c r="CV6" s="307"/>
      <c r="DJ6" s="307"/>
      <c r="DX6" s="307"/>
      <c r="EF6" s="307"/>
      <c r="EG6" s="307"/>
      <c r="EM6" s="307"/>
      <c r="EN6" s="307"/>
      <c r="EO6" s="324"/>
      <c r="EX6" s="307"/>
      <c r="FC6" s="307"/>
      <c r="FD6" s="319"/>
      <c r="FK6" s="307"/>
      <c r="FL6" s="307"/>
      <c r="FQ6" s="319"/>
    </row>
    <row r="7" spans="1:173 16383:16383" hidden="1" x14ac:dyDescent="0.2">
      <c r="F7" s="365"/>
      <c r="G7" s="367"/>
      <c r="H7" s="367"/>
      <c r="I7" s="365"/>
      <c r="J7" s="307"/>
      <c r="K7" s="307"/>
      <c r="V7" s="307"/>
      <c r="W7" s="307"/>
      <c r="AE7" s="307"/>
      <c r="AF7" s="307"/>
      <c r="AR7" s="307"/>
      <c r="AS7" s="307"/>
      <c r="BH7" s="307"/>
      <c r="BI7" s="307"/>
      <c r="BP7" s="307"/>
      <c r="BQ7" s="307"/>
      <c r="BX7" s="307"/>
      <c r="BY7" s="307"/>
      <c r="CF7" s="307"/>
      <c r="CG7" s="307"/>
      <c r="CN7" s="307"/>
      <c r="CO7" s="307"/>
      <c r="CV7" s="307"/>
      <c r="CW7" s="307"/>
      <c r="DJ7" s="307"/>
      <c r="DK7" s="307"/>
      <c r="DX7" s="307"/>
      <c r="EF7" s="307"/>
      <c r="EG7" s="307"/>
      <c r="EN7" s="307"/>
      <c r="EX7" s="307"/>
      <c r="FC7" s="307"/>
      <c r="FD7" s="324"/>
      <c r="FK7" s="307"/>
      <c r="FL7" s="307"/>
      <c r="FQ7" s="307"/>
    </row>
    <row r="8" spans="1:173 16383:16383" hidden="1" x14ac:dyDescent="0.2">
      <c r="B8" s="324"/>
      <c r="C8" s="319"/>
      <c r="D8" s="319"/>
      <c r="F8" s="365"/>
      <c r="G8" s="367"/>
      <c r="H8" s="367"/>
      <c r="I8" s="365"/>
      <c r="V8" s="307"/>
      <c r="W8" s="307"/>
      <c r="AE8" s="307"/>
      <c r="AF8" s="307"/>
      <c r="AR8" s="307"/>
      <c r="AS8" s="307"/>
      <c r="BH8" s="307"/>
      <c r="BI8" s="307"/>
      <c r="BP8" s="307"/>
      <c r="BQ8" s="307"/>
      <c r="BX8" s="307"/>
      <c r="BY8" s="307"/>
      <c r="CF8" s="307"/>
      <c r="CG8" s="307"/>
      <c r="CN8" s="307"/>
      <c r="CO8" s="307"/>
      <c r="CV8" s="307"/>
      <c r="CW8" s="307"/>
      <c r="DJ8" s="307"/>
      <c r="DK8" s="307"/>
      <c r="DX8" s="307"/>
      <c r="EE8" s="307"/>
      <c r="EF8" s="307"/>
      <c r="EG8" s="307"/>
      <c r="EM8" s="307"/>
      <c r="EN8" s="307"/>
      <c r="FC8" s="307"/>
      <c r="FD8" s="319"/>
      <c r="FK8" s="307"/>
      <c r="FL8" s="307"/>
      <c r="FQ8" s="307"/>
    </row>
    <row r="9" spans="1:173 16383:16383" hidden="1" x14ac:dyDescent="0.2">
      <c r="C9" s="324"/>
      <c r="E9" s="369"/>
      <c r="F9" s="365"/>
      <c r="G9" s="367"/>
      <c r="H9" s="367"/>
      <c r="I9" s="365"/>
      <c r="J9" s="307"/>
      <c r="K9" s="307"/>
      <c r="U9" s="307"/>
      <c r="V9" s="307"/>
      <c r="AE9" s="307"/>
      <c r="AF9" s="307"/>
      <c r="AR9" s="307"/>
      <c r="AS9" s="307"/>
      <c r="BH9" s="307"/>
      <c r="BI9" s="307"/>
      <c r="BP9" s="307"/>
      <c r="BQ9" s="307"/>
      <c r="BX9" s="307"/>
      <c r="BY9" s="307"/>
      <c r="CF9" s="307"/>
      <c r="CG9" s="307"/>
      <c r="CN9" s="307"/>
      <c r="CO9" s="307"/>
      <c r="CV9" s="307"/>
      <c r="CW9" s="307"/>
      <c r="DJ9" s="307"/>
      <c r="DK9" s="307"/>
      <c r="DX9" s="307"/>
      <c r="EF9" s="307"/>
      <c r="EN9" s="307"/>
      <c r="FK9" s="307"/>
      <c r="FL9" s="307"/>
      <c r="FQ9" s="307"/>
    </row>
    <row r="10" spans="1:173 16383:16383" hidden="1" x14ac:dyDescent="0.2">
      <c r="C10" s="324"/>
      <c r="E10" s="369"/>
      <c r="F10" s="365"/>
      <c r="G10" s="367"/>
      <c r="H10" s="367"/>
      <c r="I10" s="365"/>
      <c r="V10" s="307"/>
      <c r="AD10" s="307"/>
      <c r="AE10" s="307"/>
      <c r="AQ10" s="307"/>
      <c r="AR10" s="307"/>
      <c r="BG10" s="307"/>
      <c r="BH10" s="307"/>
      <c r="BO10" s="307"/>
      <c r="BP10" s="307"/>
      <c r="BW10" s="307"/>
      <c r="BX10" s="307"/>
      <c r="CE10" s="307"/>
      <c r="CF10" s="307"/>
      <c r="CM10" s="307"/>
      <c r="CN10" s="307"/>
      <c r="CU10" s="307"/>
      <c r="CV10" s="307"/>
      <c r="DI10" s="307"/>
      <c r="DJ10" s="307"/>
      <c r="DX10" s="307"/>
      <c r="EE10" s="307"/>
      <c r="EF10" s="307"/>
      <c r="EG10" s="307"/>
      <c r="EN10" s="307"/>
      <c r="FK10" s="307"/>
      <c r="FL10" s="307"/>
      <c r="FQ10" s="307"/>
    </row>
    <row r="11" spans="1:173 16383:16383" hidden="1" x14ac:dyDescent="0.2">
      <c r="B11" s="307"/>
      <c r="E11" s="369"/>
      <c r="F11" s="365"/>
      <c r="G11" s="367"/>
      <c r="H11" s="367"/>
      <c r="I11" s="365"/>
      <c r="J11" s="307"/>
      <c r="K11" s="307"/>
      <c r="U11" s="307"/>
      <c r="V11" s="307"/>
      <c r="AE11" s="307"/>
      <c r="AR11" s="307"/>
      <c r="BH11" s="307"/>
      <c r="BP11" s="307"/>
      <c r="BX11" s="307"/>
      <c r="CF11" s="307"/>
      <c r="CN11" s="307"/>
      <c r="CV11" s="307"/>
      <c r="DJ11" s="307"/>
      <c r="DX11" s="307"/>
      <c r="EE11" s="307"/>
      <c r="EF11" s="307"/>
      <c r="EN11" s="307"/>
      <c r="EO11" s="324"/>
      <c r="EX11" s="307"/>
      <c r="FC11" s="307"/>
      <c r="FD11" s="307"/>
      <c r="FK11" s="307"/>
      <c r="FL11" s="307"/>
      <c r="FQ11" s="307"/>
    </row>
    <row r="12" spans="1:173 16383:16383" x14ac:dyDescent="0.2">
      <c r="A12" s="319">
        <v>1</v>
      </c>
      <c r="B12" s="365"/>
      <c r="C12" s="365"/>
      <c r="D12" s="365">
        <v>0</v>
      </c>
      <c r="E12" s="365">
        <v>1</v>
      </c>
      <c r="F12" s="310">
        <v>2</v>
      </c>
      <c r="G12" s="310">
        <v>3</v>
      </c>
      <c r="H12" s="310">
        <v>4</v>
      </c>
      <c r="I12" s="310">
        <v>5</v>
      </c>
      <c r="J12" s="310">
        <v>6</v>
      </c>
      <c r="K12" s="310">
        <v>7</v>
      </c>
      <c r="L12" s="310">
        <v>8</v>
      </c>
      <c r="M12" s="310">
        <v>9</v>
      </c>
      <c r="N12" s="310">
        <v>10</v>
      </c>
      <c r="O12" s="310">
        <v>11</v>
      </c>
      <c r="P12" s="310">
        <v>12</v>
      </c>
      <c r="Q12" s="310"/>
      <c r="R12" s="310"/>
      <c r="S12" s="310"/>
      <c r="T12" s="310"/>
      <c r="U12" s="310"/>
      <c r="V12" s="310"/>
      <c r="W12" s="310"/>
      <c r="X12" s="310"/>
      <c r="Y12" s="310">
        <v>21</v>
      </c>
    </row>
    <row r="13" spans="1:173 16383:16383" x14ac:dyDescent="0.2">
      <c r="B13" s="481">
        <v>44145.767851504628</v>
      </c>
      <c r="C13" s="475"/>
      <c r="D13" s="475"/>
      <c r="E13" s="477" t="s">
        <v>1246</v>
      </c>
      <c r="F13" s="475"/>
      <c r="G13" s="475"/>
      <c r="H13" s="475"/>
      <c r="I13" s="475"/>
      <c r="J13" s="475"/>
      <c r="K13" s="475"/>
      <c r="L13" s="475"/>
      <c r="M13" s="480"/>
      <c r="N13" s="475"/>
      <c r="O13" s="475"/>
      <c r="P13" s="475"/>
      <c r="Q13" s="475"/>
      <c r="R13" s="475"/>
      <c r="S13" s="475"/>
      <c r="T13" s="475"/>
    </row>
    <row r="14" spans="1:173 16383:16383" x14ac:dyDescent="0.2">
      <c r="B14" s="482">
        <v>44145.767851504628</v>
      </c>
      <c r="C14" s="475"/>
      <c r="D14" s="475"/>
      <c r="E14" s="477" t="s">
        <v>1247</v>
      </c>
      <c r="F14" s="475"/>
      <c r="G14" s="475"/>
      <c r="H14" s="475"/>
      <c r="I14" s="477"/>
      <c r="J14" s="475"/>
      <c r="K14" s="475"/>
      <c r="L14" s="475"/>
      <c r="M14" s="480"/>
      <c r="N14" s="475"/>
      <c r="O14" s="475"/>
      <c r="P14" s="475"/>
      <c r="Q14" s="485"/>
      <c r="R14" s="475"/>
      <c r="S14" s="475"/>
      <c r="T14" s="475"/>
    </row>
    <row r="15" spans="1:173 16383:16383" x14ac:dyDescent="0.2">
      <c r="B15" s="475"/>
      <c r="C15" s="475"/>
      <c r="D15" s="475"/>
      <c r="E15" s="477" t="s">
        <v>1248</v>
      </c>
      <c r="F15" s="475"/>
      <c r="G15" s="475"/>
      <c r="H15" s="475"/>
      <c r="I15" s="475"/>
      <c r="J15" s="475"/>
      <c r="K15" s="475"/>
      <c r="L15" s="475"/>
      <c r="M15" s="480"/>
      <c r="N15" s="475"/>
      <c r="O15" s="475"/>
      <c r="P15" s="475"/>
      <c r="Q15" s="475"/>
      <c r="R15" s="475"/>
      <c r="S15" s="475"/>
      <c r="T15" s="475"/>
    </row>
    <row r="16" spans="1:173 16383:16383" x14ac:dyDescent="0.2">
      <c r="B16" s="483" t="s">
        <v>2223</v>
      </c>
      <c r="C16" s="475"/>
      <c r="D16" s="475"/>
      <c r="E16" s="475"/>
      <c r="F16" s="475"/>
      <c r="G16" s="475"/>
      <c r="H16" s="475"/>
      <c r="I16" s="475"/>
      <c r="J16" s="475"/>
      <c r="K16" s="475"/>
      <c r="L16" s="475"/>
      <c r="M16" s="475"/>
      <c r="N16" s="475"/>
      <c r="O16" s="475"/>
      <c r="P16" s="475"/>
      <c r="Q16" s="475"/>
      <c r="R16" s="475"/>
      <c r="S16" s="475"/>
      <c r="T16" s="475"/>
    </row>
    <row r="17" spans="1:27" x14ac:dyDescent="0.2">
      <c r="B17" s="483" t="s">
        <v>1848</v>
      </c>
      <c r="C17" s="475"/>
      <c r="D17" s="478"/>
      <c r="E17" s="486" t="s">
        <v>2489</v>
      </c>
      <c r="F17" s="475"/>
      <c r="G17" s="475"/>
      <c r="H17" s="475"/>
      <c r="I17" s="475"/>
      <c r="J17" s="475"/>
      <c r="K17" s="475"/>
      <c r="L17" s="475"/>
      <c r="M17" s="480"/>
      <c r="N17" s="475"/>
      <c r="O17" s="475"/>
      <c r="P17" s="475"/>
      <c r="Q17" s="475"/>
      <c r="R17" s="475"/>
      <c r="S17" s="475"/>
      <c r="T17" s="475"/>
    </row>
    <row r="19" spans="1:27" x14ac:dyDescent="0.2">
      <c r="B19" s="475"/>
      <c r="C19" s="475"/>
      <c r="D19" s="479" t="s">
        <v>1249</v>
      </c>
      <c r="E19" s="475"/>
      <c r="F19" s="479" t="s">
        <v>1250</v>
      </c>
      <c r="G19" s="475"/>
      <c r="H19" s="479" t="s">
        <v>1251</v>
      </c>
      <c r="I19" s="479"/>
      <c r="J19" s="475"/>
      <c r="K19" s="475"/>
      <c r="L19" s="479" t="s">
        <v>2490</v>
      </c>
      <c r="M19" s="475"/>
      <c r="N19" s="475"/>
      <c r="O19" s="475"/>
      <c r="P19" s="475"/>
      <c r="Q19" s="489" t="s">
        <v>2491</v>
      </c>
      <c r="R19" s="475"/>
      <c r="S19" s="475"/>
      <c r="T19" s="484" t="s">
        <v>1252</v>
      </c>
      <c r="U19" s="319"/>
      <c r="V19" s="319"/>
      <c r="W19" s="319"/>
      <c r="X19" s="319"/>
      <c r="Y19" s="319"/>
    </row>
    <row r="20" spans="1:27" x14ac:dyDescent="0.2">
      <c r="B20" s="475"/>
      <c r="C20" s="475"/>
      <c r="D20" s="479" t="s">
        <v>1250</v>
      </c>
      <c r="E20" s="475"/>
      <c r="F20" s="479" t="s">
        <v>1253</v>
      </c>
      <c r="G20" s="475"/>
      <c r="H20" s="479" t="s">
        <v>1253</v>
      </c>
      <c r="I20" s="479" t="s">
        <v>2563</v>
      </c>
      <c r="J20" s="475"/>
      <c r="K20" s="475"/>
      <c r="L20" s="479" t="s">
        <v>2492</v>
      </c>
      <c r="M20" s="479"/>
      <c r="N20" s="479" t="s">
        <v>1254</v>
      </c>
      <c r="O20" s="475"/>
      <c r="P20" s="475"/>
      <c r="Q20" s="489" t="s">
        <v>2492</v>
      </c>
      <c r="R20" s="475"/>
      <c r="S20" s="475"/>
      <c r="T20" s="484" t="s">
        <v>1249</v>
      </c>
      <c r="U20" s="319"/>
      <c r="V20" s="319"/>
      <c r="W20" s="319"/>
      <c r="X20" s="319"/>
      <c r="Y20" s="319"/>
    </row>
    <row r="21" spans="1:27" x14ac:dyDescent="0.2">
      <c r="B21" s="475"/>
      <c r="C21" s="476" t="s">
        <v>1255</v>
      </c>
      <c r="D21" s="479" t="s">
        <v>1256</v>
      </c>
      <c r="E21" s="475"/>
      <c r="F21" s="479" t="s">
        <v>1257</v>
      </c>
      <c r="G21" s="475"/>
      <c r="H21" s="479" t="s">
        <v>1257</v>
      </c>
      <c r="I21" s="479" t="s">
        <v>1257</v>
      </c>
      <c r="J21" s="475"/>
      <c r="K21" s="475"/>
      <c r="L21" s="479" t="s">
        <v>2493</v>
      </c>
      <c r="M21" s="479"/>
      <c r="N21" s="479" t="s">
        <v>1257</v>
      </c>
      <c r="O21" s="479" t="s">
        <v>1258</v>
      </c>
      <c r="P21" s="479" t="s">
        <v>1259</v>
      </c>
      <c r="Q21" s="487" t="s">
        <v>2493</v>
      </c>
      <c r="R21" s="475"/>
      <c r="S21" s="475"/>
      <c r="T21" s="484" t="s">
        <v>1250</v>
      </c>
      <c r="U21" s="319"/>
      <c r="V21" s="319"/>
      <c r="W21" s="319"/>
      <c r="X21" s="319"/>
      <c r="Y21" s="319"/>
    </row>
    <row r="22" spans="1:27" x14ac:dyDescent="0.2">
      <c r="B22" s="475"/>
      <c r="C22" s="475"/>
      <c r="D22" s="488">
        <v>-1</v>
      </c>
      <c r="E22" s="475"/>
      <c r="F22" s="479" t="s">
        <v>1260</v>
      </c>
      <c r="G22" s="475"/>
      <c r="H22" s="479">
        <v>-3</v>
      </c>
      <c r="I22" s="479"/>
      <c r="J22" s="475"/>
      <c r="K22" s="475"/>
      <c r="L22" s="479"/>
      <c r="M22" s="479"/>
      <c r="N22" s="479">
        <v>-4</v>
      </c>
      <c r="O22" s="479">
        <v>-5</v>
      </c>
      <c r="P22" s="479">
        <v>-6</v>
      </c>
      <c r="Q22" s="487"/>
      <c r="R22" s="475"/>
      <c r="S22" s="475"/>
      <c r="T22" s="484" t="s">
        <v>1256</v>
      </c>
      <c r="U22" s="319"/>
      <c r="V22" s="319"/>
      <c r="W22" s="319"/>
      <c r="X22" s="319"/>
      <c r="Y22" s="319"/>
      <c r="Z22" s="319"/>
      <c r="AA22" s="319"/>
    </row>
    <row r="23" spans="1:27" x14ac:dyDescent="0.2">
      <c r="B23" s="484" t="s">
        <v>1265</v>
      </c>
      <c r="C23" s="475"/>
      <c r="D23" s="475"/>
      <c r="E23" s="475"/>
      <c r="F23" s="475"/>
      <c r="G23" s="475"/>
      <c r="H23" s="475"/>
      <c r="I23" s="475"/>
      <c r="J23" s="475"/>
      <c r="K23" s="475"/>
      <c r="L23" s="475"/>
      <c r="M23" s="475"/>
      <c r="N23" s="475"/>
      <c r="O23" s="475"/>
      <c r="P23" s="475"/>
      <c r="Q23" s="475"/>
      <c r="R23" s="475"/>
      <c r="S23" s="475"/>
      <c r="T23" s="475"/>
    </row>
    <row r="24" spans="1:27" x14ac:dyDescent="0.2">
      <c r="D24" s="45"/>
      <c r="E24" s="45"/>
      <c r="F24" s="45"/>
      <c r="G24" s="45"/>
      <c r="H24" s="45"/>
      <c r="I24" s="45"/>
      <c r="J24" s="45"/>
      <c r="K24" s="45"/>
      <c r="L24" s="45"/>
      <c r="M24" s="45"/>
      <c r="N24" s="45"/>
      <c r="O24" s="45"/>
      <c r="P24" s="45"/>
      <c r="Q24" s="45"/>
    </row>
    <row r="25" spans="1:27" x14ac:dyDescent="0.2">
      <c r="B25" s="326" t="s">
        <v>1266</v>
      </c>
      <c r="D25" s="313"/>
      <c r="E25" s="45"/>
      <c r="F25" s="313"/>
      <c r="G25" s="45"/>
      <c r="H25" s="313"/>
      <c r="I25" s="45"/>
      <c r="J25" s="313"/>
      <c r="K25" s="313"/>
      <c r="L25" s="45"/>
      <c r="M25" s="313"/>
      <c r="N25" s="313"/>
      <c r="O25" s="45"/>
      <c r="P25" s="45"/>
      <c r="Q25" s="45"/>
    </row>
    <row r="26" spans="1:27" x14ac:dyDescent="0.2">
      <c r="B26" s="318" t="s">
        <v>1267</v>
      </c>
      <c r="D26" s="45"/>
      <c r="E26" s="45"/>
      <c r="F26" s="45"/>
      <c r="G26" s="45"/>
      <c r="H26" s="45"/>
      <c r="I26" s="45"/>
      <c r="J26" s="45"/>
      <c r="K26" s="45"/>
      <c r="L26" s="45"/>
      <c r="M26" s="45"/>
      <c r="N26" s="45"/>
      <c r="O26" s="45"/>
      <c r="P26" s="45"/>
      <c r="Q26" s="45"/>
    </row>
    <row r="27" spans="1:27" x14ac:dyDescent="0.2">
      <c r="B27" s="326" t="s">
        <v>1268</v>
      </c>
      <c r="D27" s="45"/>
      <c r="E27" s="45"/>
      <c r="F27" s="311"/>
      <c r="G27" s="311"/>
      <c r="H27" s="311"/>
      <c r="I27" s="311"/>
      <c r="J27" s="311"/>
      <c r="K27" s="311"/>
      <c r="L27" s="311"/>
      <c r="M27" s="311"/>
      <c r="N27" s="312"/>
      <c r="O27" s="311"/>
      <c r="P27" s="311"/>
      <c r="Q27" s="311"/>
      <c r="R27" s="319"/>
      <c r="S27" s="319"/>
      <c r="T27" s="319"/>
    </row>
    <row r="28" spans="1:27" x14ac:dyDescent="0.2">
      <c r="A28" s="310">
        <v>1</v>
      </c>
      <c r="B28" s="307" t="s">
        <v>1269</v>
      </c>
      <c r="C28" s="422" t="s">
        <v>1270</v>
      </c>
      <c r="D28" s="370">
        <v>3509040</v>
      </c>
      <c r="E28" s="71"/>
      <c r="F28" s="373">
        <v>3291876</v>
      </c>
      <c r="G28" s="374"/>
      <c r="H28" s="373">
        <v>149082</v>
      </c>
      <c r="I28" s="370"/>
      <c r="J28" s="71">
        <v>68082</v>
      </c>
      <c r="K28" s="71">
        <v>34535</v>
      </c>
      <c r="L28" s="373">
        <v>33547</v>
      </c>
      <c r="M28" s="374"/>
      <c r="N28" s="370"/>
      <c r="O28" s="373"/>
      <c r="P28" s="373"/>
      <c r="Q28" s="308"/>
    </row>
    <row r="29" spans="1:27" x14ac:dyDescent="0.2">
      <c r="A29" s="312">
        <v>2</v>
      </c>
      <c r="B29" s="423" t="s">
        <v>1271</v>
      </c>
      <c r="C29" s="424" t="s">
        <v>1272</v>
      </c>
      <c r="D29" s="347">
        <v>447183</v>
      </c>
      <c r="E29" s="50"/>
      <c r="F29" s="375">
        <v>230019</v>
      </c>
      <c r="G29" s="375"/>
      <c r="H29" s="375">
        <v>149082</v>
      </c>
      <c r="I29" s="347"/>
      <c r="J29" s="50">
        <v>68082</v>
      </c>
      <c r="K29" s="50">
        <v>34535</v>
      </c>
      <c r="L29" s="375">
        <v>33547</v>
      </c>
      <c r="M29" s="375"/>
      <c r="N29" s="347"/>
      <c r="O29" s="375"/>
      <c r="P29" s="375"/>
      <c r="Q29" s="314"/>
    </row>
    <row r="30" spans="1:27" x14ac:dyDescent="0.2">
      <c r="A30" s="312">
        <v>3</v>
      </c>
      <c r="B30" s="423" t="s">
        <v>1273</v>
      </c>
      <c r="C30" s="424" t="s">
        <v>1274</v>
      </c>
      <c r="D30" s="347">
        <v>149082</v>
      </c>
      <c r="E30" s="50"/>
      <c r="F30" s="375">
        <v>0</v>
      </c>
      <c r="G30" s="375"/>
      <c r="H30" s="375">
        <v>149082</v>
      </c>
      <c r="I30" s="347"/>
      <c r="J30" s="50">
        <v>0</v>
      </c>
      <c r="K30" s="50">
        <v>0</v>
      </c>
      <c r="L30" s="375">
        <v>0</v>
      </c>
      <c r="M30" s="375"/>
      <c r="N30" s="347"/>
      <c r="O30" s="375"/>
      <c r="P30" s="375"/>
      <c r="Q30" s="314"/>
    </row>
    <row r="31" spans="1:27" x14ac:dyDescent="0.2">
      <c r="A31" s="312">
        <v>4</v>
      </c>
      <c r="B31" s="423" t="s">
        <v>1275</v>
      </c>
      <c r="C31" s="424" t="s">
        <v>1276</v>
      </c>
      <c r="D31" s="347">
        <v>3359958</v>
      </c>
      <c r="E31" s="50"/>
      <c r="F31" s="375">
        <v>3291876</v>
      </c>
      <c r="G31" s="375"/>
      <c r="H31" s="375">
        <v>0</v>
      </c>
      <c r="I31" s="347"/>
      <c r="J31" s="50">
        <v>68082</v>
      </c>
      <c r="K31" s="50">
        <v>34535</v>
      </c>
      <c r="L31" s="375">
        <v>33547</v>
      </c>
      <c r="M31" s="375"/>
      <c r="N31" s="347"/>
      <c r="O31" s="375"/>
      <c r="P31" s="375"/>
      <c r="Q31" s="314"/>
    </row>
    <row r="32" spans="1:27" x14ac:dyDescent="0.2">
      <c r="A32" s="312">
        <v>5</v>
      </c>
      <c r="B32" s="423" t="s">
        <v>1277</v>
      </c>
      <c r="C32" s="424" t="s">
        <v>1278</v>
      </c>
      <c r="D32" s="347">
        <v>298101</v>
      </c>
      <c r="E32" s="50"/>
      <c r="F32" s="375">
        <v>230019</v>
      </c>
      <c r="G32" s="375"/>
      <c r="H32" s="375">
        <v>0</v>
      </c>
      <c r="I32" s="347"/>
      <c r="J32" s="50">
        <v>68082</v>
      </c>
      <c r="K32" s="50">
        <v>34535</v>
      </c>
      <c r="L32" s="375">
        <v>33547</v>
      </c>
      <c r="M32" s="375"/>
      <c r="N32" s="347"/>
      <c r="O32" s="375"/>
      <c r="P32" s="375"/>
      <c r="Q32" s="314"/>
    </row>
    <row r="33" spans="1:20" x14ac:dyDescent="0.2">
      <c r="A33" s="312">
        <v>6</v>
      </c>
      <c r="B33" s="423" t="s">
        <v>1279</v>
      </c>
      <c r="C33" s="424" t="s">
        <v>1280</v>
      </c>
      <c r="D33" s="347">
        <v>3359958</v>
      </c>
      <c r="E33" s="50"/>
      <c r="F33" s="375">
        <v>3291876</v>
      </c>
      <c r="G33" s="375"/>
      <c r="H33" s="375">
        <v>0</v>
      </c>
      <c r="I33" s="347"/>
      <c r="J33" s="50">
        <v>68082</v>
      </c>
      <c r="K33" s="50">
        <v>34535</v>
      </c>
      <c r="L33" s="375">
        <v>33547</v>
      </c>
      <c r="M33" s="375"/>
      <c r="N33" s="347"/>
      <c r="O33" s="375"/>
      <c r="P33" s="375"/>
      <c r="Q33" s="314"/>
    </row>
    <row r="34" spans="1:20" x14ac:dyDescent="0.2">
      <c r="A34" s="45"/>
      <c r="B34" s="425" t="s">
        <v>1281</v>
      </c>
      <c r="C34" s="45"/>
      <c r="D34" s="50"/>
      <c r="E34" s="50"/>
      <c r="F34" s="50"/>
      <c r="G34" s="50"/>
      <c r="H34" s="50"/>
      <c r="I34" s="50"/>
      <c r="J34" s="50"/>
      <c r="K34" s="50"/>
      <c r="L34" s="50"/>
      <c r="M34" s="50"/>
      <c r="N34" s="50"/>
      <c r="O34" s="50"/>
      <c r="P34" s="50"/>
      <c r="Q34" s="45"/>
    </row>
    <row r="35" spans="1:20" x14ac:dyDescent="0.2">
      <c r="A35" s="312">
        <v>7</v>
      </c>
      <c r="B35" s="423" t="s">
        <v>1282</v>
      </c>
      <c r="C35" s="424" t="s">
        <v>1283</v>
      </c>
      <c r="D35" s="347">
        <v>3509040</v>
      </c>
      <c r="E35" s="50"/>
      <c r="F35" s="375">
        <v>3291876</v>
      </c>
      <c r="G35" s="375"/>
      <c r="H35" s="375">
        <v>149082</v>
      </c>
      <c r="I35" s="347"/>
      <c r="J35" s="50">
        <v>68082</v>
      </c>
      <c r="K35" s="50">
        <v>34535</v>
      </c>
      <c r="L35" s="375">
        <v>33547</v>
      </c>
      <c r="M35" s="375"/>
      <c r="N35" s="347"/>
      <c r="O35" s="375"/>
      <c r="P35" s="375"/>
      <c r="Q35" s="314"/>
    </row>
    <row r="36" spans="1:20" x14ac:dyDescent="0.2">
      <c r="A36" s="312">
        <v>8</v>
      </c>
      <c r="B36" s="423" t="s">
        <v>1284</v>
      </c>
      <c r="C36" s="424" t="s">
        <v>1285</v>
      </c>
      <c r="D36" s="347">
        <v>149082</v>
      </c>
      <c r="E36" s="50"/>
      <c r="F36" s="375">
        <v>0</v>
      </c>
      <c r="G36" s="375"/>
      <c r="H36" s="375">
        <v>149082</v>
      </c>
      <c r="I36" s="347"/>
      <c r="J36" s="50">
        <v>0</v>
      </c>
      <c r="K36" s="50">
        <v>0</v>
      </c>
      <c r="L36" s="375">
        <v>0</v>
      </c>
      <c r="M36" s="375"/>
      <c r="N36" s="347"/>
      <c r="O36" s="375"/>
      <c r="P36" s="375"/>
      <c r="Q36" s="314"/>
    </row>
    <row r="37" spans="1:20" x14ac:dyDescent="0.2">
      <c r="A37" s="312">
        <v>9</v>
      </c>
      <c r="B37" s="426" t="s">
        <v>1849</v>
      </c>
      <c r="C37" s="427" t="s">
        <v>1850</v>
      </c>
      <c r="D37" s="347">
        <v>3440958</v>
      </c>
      <c r="E37" s="50"/>
      <c r="F37" s="375">
        <v>3291876</v>
      </c>
      <c r="G37" s="375"/>
      <c r="H37" s="375">
        <v>149082</v>
      </c>
      <c r="I37" s="347"/>
      <c r="J37" s="50">
        <v>0</v>
      </c>
      <c r="K37" s="50">
        <v>0</v>
      </c>
      <c r="L37" s="375">
        <v>0</v>
      </c>
      <c r="M37" s="375"/>
      <c r="N37" s="347"/>
      <c r="O37" s="375"/>
      <c r="P37" s="375"/>
      <c r="Q37" s="314"/>
    </row>
    <row r="38" spans="1:20" x14ac:dyDescent="0.2">
      <c r="A38" s="312">
        <v>10</v>
      </c>
      <c r="B38" s="423" t="s">
        <v>1286</v>
      </c>
      <c r="C38" s="424" t="s">
        <v>1287</v>
      </c>
      <c r="D38" s="347">
        <v>217164</v>
      </c>
      <c r="E38" s="50"/>
      <c r="F38" s="375">
        <v>0</v>
      </c>
      <c r="G38" s="375"/>
      <c r="H38" s="375">
        <v>149082</v>
      </c>
      <c r="I38" s="347"/>
      <c r="J38" s="50">
        <v>68082</v>
      </c>
      <c r="K38" s="50">
        <v>34535</v>
      </c>
      <c r="L38" s="375">
        <v>33547</v>
      </c>
      <c r="M38" s="375"/>
      <c r="N38" s="347"/>
      <c r="O38" s="375"/>
      <c r="P38" s="375"/>
      <c r="Q38" s="314"/>
    </row>
    <row r="39" spans="1:20" x14ac:dyDescent="0.2">
      <c r="A39" s="312">
        <v>11</v>
      </c>
      <c r="B39" s="426" t="s">
        <v>2133</v>
      </c>
      <c r="C39" s="427" t="s">
        <v>2134</v>
      </c>
      <c r="D39" s="347">
        <v>3291876</v>
      </c>
      <c r="E39" s="50"/>
      <c r="F39" s="375">
        <v>3291876</v>
      </c>
      <c r="G39" s="375"/>
      <c r="H39" s="375">
        <v>0</v>
      </c>
      <c r="I39" s="347"/>
      <c r="J39" s="50">
        <v>0</v>
      </c>
      <c r="K39" s="50">
        <v>0</v>
      </c>
      <c r="L39" s="375">
        <v>0</v>
      </c>
      <c r="M39" s="375"/>
      <c r="N39" s="347"/>
      <c r="O39" s="375"/>
      <c r="P39" s="375"/>
      <c r="Q39" s="314"/>
    </row>
    <row r="40" spans="1:20" x14ac:dyDescent="0.2">
      <c r="A40" s="312"/>
      <c r="B40" s="45"/>
      <c r="C40" s="45"/>
      <c r="D40" s="45"/>
      <c r="E40" s="45"/>
      <c r="F40" s="45"/>
      <c r="G40" s="45"/>
      <c r="H40" s="45"/>
      <c r="I40" s="45"/>
      <c r="J40" s="45"/>
      <c r="K40" s="45"/>
      <c r="L40" s="45"/>
      <c r="M40" s="45"/>
      <c r="N40" s="45"/>
      <c r="O40" s="45"/>
      <c r="P40" s="45"/>
      <c r="Q40" s="45"/>
    </row>
    <row r="41" spans="1:20" x14ac:dyDescent="0.2">
      <c r="A41" s="45"/>
      <c r="B41" s="425" t="s">
        <v>1288</v>
      </c>
      <c r="C41" s="45"/>
      <c r="D41" s="45"/>
      <c r="E41" s="45"/>
      <c r="F41" s="45"/>
      <c r="G41" s="45"/>
      <c r="H41" s="45"/>
      <c r="I41" s="45"/>
      <c r="J41" s="45"/>
      <c r="K41" s="45"/>
      <c r="L41" s="45"/>
      <c r="M41" s="45"/>
      <c r="N41" s="45"/>
      <c r="O41" s="45"/>
      <c r="P41" s="45"/>
      <c r="Q41" s="45"/>
    </row>
    <row r="42" spans="1:20" x14ac:dyDescent="0.2">
      <c r="A42" s="310">
        <v>12</v>
      </c>
      <c r="B42" s="315" t="s">
        <v>1851</v>
      </c>
      <c r="C42" s="428" t="s">
        <v>1852</v>
      </c>
      <c r="D42" s="370">
        <v>9194562</v>
      </c>
      <c r="E42" s="71"/>
      <c r="F42" s="376">
        <v>9185405</v>
      </c>
      <c r="G42" s="374"/>
      <c r="H42" s="374">
        <v>0</v>
      </c>
      <c r="I42" s="370"/>
      <c r="J42" s="71">
        <v>9157</v>
      </c>
      <c r="K42" s="71">
        <v>9157</v>
      </c>
      <c r="L42" s="374">
        <v>0</v>
      </c>
      <c r="M42" s="374"/>
      <c r="N42" s="370"/>
      <c r="O42" s="373"/>
      <c r="P42" s="374"/>
      <c r="Q42" s="374"/>
      <c r="T42" s="316"/>
    </row>
    <row r="43" spans="1:20" x14ac:dyDescent="0.2">
      <c r="A43" s="310">
        <v>13</v>
      </c>
      <c r="B43" s="315" t="s">
        <v>1853</v>
      </c>
      <c r="C43" s="428" t="s">
        <v>1854</v>
      </c>
      <c r="D43" s="370">
        <v>30821242</v>
      </c>
      <c r="E43" s="71"/>
      <c r="F43" s="376">
        <v>30451904</v>
      </c>
      <c r="G43" s="374"/>
      <c r="H43" s="374">
        <v>0</v>
      </c>
      <c r="I43" s="370"/>
      <c r="J43" s="71">
        <v>369338</v>
      </c>
      <c r="K43" s="71">
        <v>369338</v>
      </c>
      <c r="L43" s="374">
        <v>0</v>
      </c>
      <c r="M43" s="374"/>
      <c r="N43" s="370"/>
      <c r="O43" s="373"/>
      <c r="P43" s="374"/>
      <c r="Q43" s="374"/>
      <c r="T43" s="316"/>
    </row>
    <row r="44" spans="1:20" x14ac:dyDescent="0.2">
      <c r="A44" s="310">
        <v>14</v>
      </c>
      <c r="B44" s="315" t="s">
        <v>1855</v>
      </c>
      <c r="C44" s="428" t="s">
        <v>1856</v>
      </c>
      <c r="D44" s="370">
        <v>305122025</v>
      </c>
      <c r="E44" s="71"/>
      <c r="F44" s="376">
        <v>302019357</v>
      </c>
      <c r="G44" s="374"/>
      <c r="H44" s="374">
        <v>0</v>
      </c>
      <c r="I44" s="370"/>
      <c r="J44" s="71">
        <v>3102668</v>
      </c>
      <c r="K44" s="71">
        <v>3102668</v>
      </c>
      <c r="L44" s="374">
        <v>0</v>
      </c>
      <c r="M44" s="374"/>
      <c r="N44" s="370"/>
      <c r="O44" s="373"/>
      <c r="P44" s="374"/>
      <c r="Q44" s="374"/>
      <c r="T44" s="316"/>
    </row>
    <row r="45" spans="1:20" x14ac:dyDescent="0.2">
      <c r="A45" s="310">
        <v>15</v>
      </c>
      <c r="B45" s="315" t="s">
        <v>1857</v>
      </c>
      <c r="C45" s="428" t="s">
        <v>1858</v>
      </c>
      <c r="D45" s="370">
        <v>449646390</v>
      </c>
      <c r="E45" s="71"/>
      <c r="F45" s="376">
        <v>449646390</v>
      </c>
      <c r="G45" s="374"/>
      <c r="H45" s="374">
        <v>0</v>
      </c>
      <c r="I45" s="370"/>
      <c r="J45" s="71">
        <v>0</v>
      </c>
      <c r="K45" s="71">
        <v>0</v>
      </c>
      <c r="L45" s="374">
        <v>0</v>
      </c>
      <c r="M45" s="374"/>
      <c r="N45" s="370"/>
      <c r="O45" s="374"/>
      <c r="P45" s="374"/>
      <c r="Q45" s="374"/>
    </row>
    <row r="46" spans="1:20" x14ac:dyDescent="0.2">
      <c r="A46" s="310">
        <v>16</v>
      </c>
      <c r="B46" s="315" t="s">
        <v>1859</v>
      </c>
      <c r="C46" s="428" t="s">
        <v>1860</v>
      </c>
      <c r="D46" s="370">
        <v>472111952</v>
      </c>
      <c r="E46" s="71"/>
      <c r="F46" s="376">
        <v>472111952</v>
      </c>
      <c r="G46" s="374"/>
      <c r="H46" s="374">
        <v>0</v>
      </c>
      <c r="I46" s="370"/>
      <c r="J46" s="71">
        <v>0</v>
      </c>
      <c r="K46" s="71">
        <v>0</v>
      </c>
      <c r="L46" s="374">
        <v>0</v>
      </c>
      <c r="M46" s="374"/>
      <c r="N46" s="370"/>
      <c r="O46" s="374"/>
      <c r="P46" s="374"/>
      <c r="Q46" s="374"/>
    </row>
    <row r="47" spans="1:20" x14ac:dyDescent="0.2">
      <c r="A47" s="310">
        <v>17</v>
      </c>
      <c r="B47" s="315" t="s">
        <v>1861</v>
      </c>
      <c r="C47" s="428" t="s">
        <v>1862</v>
      </c>
      <c r="D47" s="370">
        <v>2524145</v>
      </c>
      <c r="E47" s="71"/>
      <c r="F47" s="376">
        <v>2524145</v>
      </c>
      <c r="G47" s="374"/>
      <c r="H47" s="374">
        <v>0</v>
      </c>
      <c r="I47" s="370"/>
      <c r="J47" s="71">
        <v>0</v>
      </c>
      <c r="K47" s="71">
        <v>0</v>
      </c>
      <c r="L47" s="374">
        <v>0</v>
      </c>
      <c r="M47" s="374"/>
      <c r="N47" s="370"/>
      <c r="O47" s="374"/>
      <c r="P47" s="374"/>
      <c r="Q47" s="374"/>
    </row>
    <row r="48" spans="1:20" x14ac:dyDescent="0.2">
      <c r="A48" s="310">
        <v>18</v>
      </c>
      <c r="B48" s="315" t="s">
        <v>1863</v>
      </c>
      <c r="C48" s="428" t="s">
        <v>1864</v>
      </c>
      <c r="D48" s="370">
        <v>245161810</v>
      </c>
      <c r="E48" s="71"/>
      <c r="F48" s="376">
        <v>245161810</v>
      </c>
      <c r="G48" s="374"/>
      <c r="H48" s="374">
        <v>0</v>
      </c>
      <c r="I48" s="370"/>
      <c r="J48" s="71">
        <v>0</v>
      </c>
      <c r="K48" s="71">
        <v>0</v>
      </c>
      <c r="L48" s="374">
        <v>0</v>
      </c>
      <c r="M48" s="374"/>
      <c r="N48" s="370"/>
      <c r="O48" s="374"/>
      <c r="P48" s="374"/>
      <c r="Q48" s="374"/>
    </row>
    <row r="49" spans="1:17" x14ac:dyDescent="0.2">
      <c r="A49" s="310">
        <v>19</v>
      </c>
      <c r="B49" s="315" t="s">
        <v>1865</v>
      </c>
      <c r="C49" s="428" t="s">
        <v>1364</v>
      </c>
      <c r="D49" s="370">
        <v>326558524</v>
      </c>
      <c r="E49" s="71"/>
      <c r="F49" s="376">
        <v>326558524</v>
      </c>
      <c r="G49" s="374"/>
      <c r="H49" s="374">
        <v>0</v>
      </c>
      <c r="I49" s="370"/>
      <c r="J49" s="71">
        <v>0</v>
      </c>
      <c r="K49" s="71">
        <v>0</v>
      </c>
      <c r="L49" s="374">
        <v>0</v>
      </c>
      <c r="M49" s="374"/>
      <c r="N49" s="370"/>
      <c r="O49" s="374"/>
      <c r="P49" s="374"/>
      <c r="Q49" s="374"/>
    </row>
    <row r="50" spans="1:17" x14ac:dyDescent="0.2">
      <c r="A50" s="310">
        <v>20</v>
      </c>
      <c r="B50" s="315" t="s">
        <v>1866</v>
      </c>
      <c r="C50" s="428" t="s">
        <v>1786</v>
      </c>
      <c r="D50" s="370">
        <v>510376</v>
      </c>
      <c r="E50" s="71"/>
      <c r="F50" s="376">
        <v>510376</v>
      </c>
      <c r="G50" s="374"/>
      <c r="H50" s="374">
        <v>0</v>
      </c>
      <c r="I50" s="370"/>
      <c r="J50" s="71">
        <v>0</v>
      </c>
      <c r="K50" s="71">
        <v>0</v>
      </c>
      <c r="L50" s="374">
        <v>0</v>
      </c>
      <c r="M50" s="374"/>
      <c r="N50" s="370"/>
      <c r="O50" s="374"/>
      <c r="P50" s="374"/>
      <c r="Q50" s="374"/>
    </row>
    <row r="51" spans="1:17" x14ac:dyDescent="0.2">
      <c r="A51" s="310">
        <v>21</v>
      </c>
      <c r="B51" s="315" t="s">
        <v>1867</v>
      </c>
      <c r="C51" s="428" t="s">
        <v>1868</v>
      </c>
      <c r="D51" s="370">
        <v>305488</v>
      </c>
      <c r="E51" s="71"/>
      <c r="F51" s="374">
        <v>0</v>
      </c>
      <c r="G51" s="374"/>
      <c r="H51" s="376">
        <v>305488</v>
      </c>
      <c r="I51" s="370"/>
      <c r="J51" s="71">
        <v>0</v>
      </c>
      <c r="K51" s="71">
        <v>0</v>
      </c>
      <c r="L51" s="374">
        <v>0</v>
      </c>
      <c r="M51" s="374"/>
      <c r="N51" s="370"/>
      <c r="O51" s="374"/>
      <c r="P51" s="374"/>
      <c r="Q51" s="374"/>
    </row>
    <row r="52" spans="1:17" x14ac:dyDescent="0.2">
      <c r="A52" s="310">
        <v>22</v>
      </c>
      <c r="B52" s="315" t="s">
        <v>1869</v>
      </c>
      <c r="C52" s="428" t="s">
        <v>1870</v>
      </c>
      <c r="D52" s="370">
        <v>652265</v>
      </c>
      <c r="E52" s="71"/>
      <c r="F52" s="374">
        <v>0</v>
      </c>
      <c r="G52" s="374"/>
      <c r="H52" s="376">
        <v>652265</v>
      </c>
      <c r="I52" s="370"/>
      <c r="J52" s="71">
        <v>0</v>
      </c>
      <c r="K52" s="71">
        <v>0</v>
      </c>
      <c r="L52" s="374">
        <v>0</v>
      </c>
      <c r="M52" s="374"/>
      <c r="N52" s="370"/>
      <c r="O52" s="374"/>
      <c r="P52" s="374"/>
      <c r="Q52" s="374"/>
    </row>
    <row r="53" spans="1:17" x14ac:dyDescent="0.2">
      <c r="A53" s="310">
        <v>23</v>
      </c>
      <c r="B53" s="315" t="s">
        <v>1871</v>
      </c>
      <c r="C53" s="428" t="s">
        <v>1872</v>
      </c>
      <c r="D53" s="370">
        <v>9218685</v>
      </c>
      <c r="E53" s="71"/>
      <c r="F53" s="374">
        <v>0</v>
      </c>
      <c r="G53" s="374"/>
      <c r="H53" s="376">
        <v>9218685</v>
      </c>
      <c r="I53" s="370"/>
      <c r="J53" s="71">
        <v>0</v>
      </c>
      <c r="K53" s="71">
        <v>0</v>
      </c>
      <c r="L53" s="374">
        <v>0</v>
      </c>
      <c r="M53" s="374"/>
      <c r="N53" s="370"/>
      <c r="O53" s="374"/>
      <c r="P53" s="374"/>
      <c r="Q53" s="374"/>
    </row>
    <row r="54" spans="1:17" x14ac:dyDescent="0.2">
      <c r="A54" s="310">
        <v>24</v>
      </c>
      <c r="B54" s="315" t="s">
        <v>2190</v>
      </c>
      <c r="C54" s="422" t="s">
        <v>2191</v>
      </c>
      <c r="D54" s="370">
        <v>1471423</v>
      </c>
      <c r="E54" s="71"/>
      <c r="F54" s="376">
        <v>906481</v>
      </c>
      <c r="G54" s="376"/>
      <c r="H54" s="376">
        <v>564941</v>
      </c>
      <c r="I54" s="370"/>
      <c r="J54" s="71">
        <v>0</v>
      </c>
      <c r="K54" s="71">
        <v>0</v>
      </c>
      <c r="L54" s="374">
        <v>0</v>
      </c>
      <c r="M54" s="374"/>
      <c r="N54" s="370"/>
      <c r="O54" s="374"/>
      <c r="P54" s="374"/>
      <c r="Q54" s="374"/>
    </row>
    <row r="55" spans="1:17" x14ac:dyDescent="0.2">
      <c r="A55" s="310">
        <v>25</v>
      </c>
      <c r="B55" s="315" t="s">
        <v>1873</v>
      </c>
      <c r="C55" s="428" t="s">
        <v>1874</v>
      </c>
      <c r="D55" s="370">
        <v>33401558</v>
      </c>
      <c r="E55" s="71"/>
      <c r="F55" s="374">
        <v>0</v>
      </c>
      <c r="G55" s="374"/>
      <c r="H55" s="376">
        <v>33401558</v>
      </c>
      <c r="I55" s="370"/>
      <c r="J55" s="71">
        <v>0</v>
      </c>
      <c r="K55" s="71">
        <v>0</v>
      </c>
      <c r="L55" s="374">
        <v>0</v>
      </c>
      <c r="M55" s="374"/>
      <c r="N55" s="370"/>
      <c r="O55" s="374"/>
      <c r="P55" s="374"/>
      <c r="Q55" s="374"/>
    </row>
    <row r="56" spans="1:17" x14ac:dyDescent="0.2">
      <c r="A56" s="310">
        <v>26</v>
      </c>
      <c r="B56" s="315" t="s">
        <v>1875</v>
      </c>
      <c r="C56" s="428" t="s">
        <v>1876</v>
      </c>
      <c r="D56" s="370">
        <v>31936306</v>
      </c>
      <c r="E56" s="71"/>
      <c r="F56" s="374">
        <v>0</v>
      </c>
      <c r="G56" s="374"/>
      <c r="H56" s="376">
        <v>31936306</v>
      </c>
      <c r="I56" s="370"/>
      <c r="J56" s="71">
        <v>0</v>
      </c>
      <c r="K56" s="71">
        <v>0</v>
      </c>
      <c r="L56" s="374">
        <v>0</v>
      </c>
      <c r="M56" s="374"/>
      <c r="N56" s="370"/>
      <c r="O56" s="374"/>
      <c r="P56" s="374"/>
      <c r="Q56" s="374"/>
    </row>
    <row r="57" spans="1:17" x14ac:dyDescent="0.2">
      <c r="A57" s="310">
        <v>27</v>
      </c>
      <c r="B57" s="315" t="s">
        <v>1877</v>
      </c>
      <c r="C57" s="428" t="s">
        <v>1878</v>
      </c>
      <c r="D57" s="370">
        <v>5388250</v>
      </c>
      <c r="E57" s="71"/>
      <c r="F57" s="374">
        <v>0</v>
      </c>
      <c r="G57" s="374"/>
      <c r="H57" s="376">
        <v>5388250</v>
      </c>
      <c r="I57" s="370"/>
      <c r="J57" s="71">
        <v>0</v>
      </c>
      <c r="K57" s="71">
        <v>0</v>
      </c>
      <c r="L57" s="374">
        <v>0</v>
      </c>
      <c r="M57" s="374"/>
      <c r="N57" s="370"/>
      <c r="O57" s="374"/>
      <c r="P57" s="374"/>
      <c r="Q57" s="374"/>
    </row>
    <row r="58" spans="1:17" x14ac:dyDescent="0.2">
      <c r="A58" s="310">
        <v>28</v>
      </c>
      <c r="B58" s="315" t="s">
        <v>1879</v>
      </c>
      <c r="C58" s="422" t="s">
        <v>1365</v>
      </c>
      <c r="D58" s="370">
        <v>11061515</v>
      </c>
      <c r="E58" s="71"/>
      <c r="F58" s="374">
        <v>0</v>
      </c>
      <c r="G58" s="374"/>
      <c r="H58" s="376">
        <v>11061515</v>
      </c>
      <c r="I58" s="370"/>
      <c r="J58" s="71">
        <v>0</v>
      </c>
      <c r="K58" s="71">
        <v>0</v>
      </c>
      <c r="L58" s="374">
        <v>0</v>
      </c>
      <c r="M58" s="374"/>
      <c r="N58" s="370"/>
      <c r="O58" s="374"/>
      <c r="P58" s="374"/>
      <c r="Q58" s="374"/>
    </row>
    <row r="59" spans="1:17" x14ac:dyDescent="0.2">
      <c r="A59" s="310">
        <v>29</v>
      </c>
      <c r="B59" s="315" t="s">
        <v>1880</v>
      </c>
      <c r="C59" s="428" t="s">
        <v>1881</v>
      </c>
      <c r="D59" s="370">
        <v>5040</v>
      </c>
      <c r="E59" s="71"/>
      <c r="F59" s="374">
        <v>5040</v>
      </c>
      <c r="G59" s="374"/>
      <c r="H59" s="374">
        <v>0</v>
      </c>
      <c r="I59" s="370"/>
      <c r="J59" s="71">
        <v>0</v>
      </c>
      <c r="K59" s="71">
        <v>0</v>
      </c>
      <c r="L59" s="376">
        <v>0</v>
      </c>
      <c r="M59" s="374"/>
      <c r="N59" s="370"/>
      <c r="O59" s="374"/>
      <c r="P59" s="374"/>
      <c r="Q59" s="374"/>
    </row>
    <row r="60" spans="1:17" x14ac:dyDescent="0.2">
      <c r="A60" s="310">
        <v>30</v>
      </c>
      <c r="B60" s="315" t="s">
        <v>1882</v>
      </c>
      <c r="C60" s="428" t="s">
        <v>1883</v>
      </c>
      <c r="D60" s="370">
        <v>2545</v>
      </c>
      <c r="E60" s="71"/>
      <c r="F60" s="374">
        <v>2545</v>
      </c>
      <c r="G60" s="374"/>
      <c r="H60" s="374">
        <v>0</v>
      </c>
      <c r="I60" s="370"/>
      <c r="J60" s="71">
        <v>0</v>
      </c>
      <c r="K60" s="71">
        <v>0</v>
      </c>
      <c r="L60" s="376">
        <v>0</v>
      </c>
      <c r="M60" s="374"/>
      <c r="N60" s="370"/>
      <c r="O60" s="374"/>
      <c r="P60" s="374"/>
      <c r="Q60" s="374"/>
    </row>
    <row r="61" spans="1:17" x14ac:dyDescent="0.2">
      <c r="A61" s="310">
        <v>31</v>
      </c>
      <c r="B61" s="315" t="s">
        <v>1884</v>
      </c>
      <c r="C61" s="428" t="s">
        <v>1885</v>
      </c>
      <c r="D61" s="370">
        <v>66853</v>
      </c>
      <c r="E61" s="71"/>
      <c r="F61" s="374">
        <v>66853</v>
      </c>
      <c r="G61" s="374"/>
      <c r="H61" s="374">
        <v>0</v>
      </c>
      <c r="I61" s="370"/>
      <c r="J61" s="71">
        <v>0</v>
      </c>
      <c r="K61" s="71">
        <v>0</v>
      </c>
      <c r="L61" s="376">
        <v>0</v>
      </c>
      <c r="M61" s="374"/>
      <c r="N61" s="370"/>
      <c r="O61" s="374"/>
      <c r="P61" s="374"/>
      <c r="Q61" s="374"/>
    </row>
    <row r="62" spans="1:17" x14ac:dyDescent="0.2">
      <c r="A62" s="310">
        <v>32</v>
      </c>
      <c r="B62" s="315" t="s">
        <v>1886</v>
      </c>
      <c r="C62" s="428" t="s">
        <v>1887</v>
      </c>
      <c r="D62" s="370">
        <v>15955</v>
      </c>
      <c r="E62" s="71"/>
      <c r="F62" s="374">
        <v>15955</v>
      </c>
      <c r="G62" s="374"/>
      <c r="H62" s="374">
        <v>0</v>
      </c>
      <c r="I62" s="370"/>
      <c r="J62" s="71">
        <v>0</v>
      </c>
      <c r="K62" s="71">
        <v>0</v>
      </c>
      <c r="L62" s="376">
        <v>0</v>
      </c>
      <c r="M62" s="374"/>
      <c r="N62" s="370"/>
      <c r="O62" s="374"/>
      <c r="P62" s="374"/>
      <c r="Q62" s="374"/>
    </row>
    <row r="63" spans="1:17" x14ac:dyDescent="0.2">
      <c r="A63" s="310">
        <v>33</v>
      </c>
      <c r="B63" s="315" t="s">
        <v>1888</v>
      </c>
      <c r="C63" s="428" t="s">
        <v>1889</v>
      </c>
      <c r="D63" s="370">
        <v>17140</v>
      </c>
      <c r="E63" s="71"/>
      <c r="F63" s="374">
        <v>17140</v>
      </c>
      <c r="G63" s="374"/>
      <c r="H63" s="374">
        <v>0</v>
      </c>
      <c r="I63" s="370"/>
      <c r="J63" s="71">
        <v>0</v>
      </c>
      <c r="K63" s="71">
        <v>0</v>
      </c>
      <c r="L63" s="376">
        <v>0</v>
      </c>
      <c r="M63" s="374"/>
      <c r="N63" s="370"/>
      <c r="O63" s="374"/>
      <c r="P63" s="374"/>
      <c r="Q63" s="374"/>
    </row>
    <row r="64" spans="1:17" x14ac:dyDescent="0.2">
      <c r="A64" s="310">
        <v>34</v>
      </c>
      <c r="B64" s="315" t="s">
        <v>1890</v>
      </c>
      <c r="C64" s="428" t="s">
        <v>1891</v>
      </c>
      <c r="D64" s="370">
        <v>0</v>
      </c>
      <c r="E64" s="71"/>
      <c r="F64" s="374">
        <v>0</v>
      </c>
      <c r="G64" s="374"/>
      <c r="H64" s="374">
        <v>0</v>
      </c>
      <c r="I64" s="370"/>
      <c r="J64" s="71">
        <v>0</v>
      </c>
      <c r="K64" s="71">
        <v>0</v>
      </c>
      <c r="L64" s="376">
        <v>0</v>
      </c>
      <c r="M64" s="374"/>
      <c r="N64" s="370"/>
      <c r="O64" s="374"/>
      <c r="P64" s="374"/>
      <c r="Q64" s="374"/>
    </row>
    <row r="65" spans="1:22" x14ac:dyDescent="0.2">
      <c r="A65" s="310">
        <v>35</v>
      </c>
      <c r="B65" s="315" t="s">
        <v>1892</v>
      </c>
      <c r="C65" s="428" t="s">
        <v>1893</v>
      </c>
      <c r="D65" s="370">
        <v>0</v>
      </c>
      <c r="E65" s="71"/>
      <c r="F65" s="374">
        <v>0</v>
      </c>
      <c r="G65" s="374"/>
      <c r="H65" s="374">
        <v>0</v>
      </c>
      <c r="I65" s="370"/>
      <c r="J65" s="71">
        <v>0</v>
      </c>
      <c r="K65" s="71">
        <v>0</v>
      </c>
      <c r="L65" s="376">
        <v>0</v>
      </c>
      <c r="M65" s="374"/>
      <c r="N65" s="370"/>
      <c r="O65" s="374"/>
      <c r="P65" s="374"/>
      <c r="Q65" s="374"/>
    </row>
    <row r="66" spans="1:22" x14ac:dyDescent="0.2">
      <c r="A66" s="310">
        <v>36</v>
      </c>
      <c r="B66" s="315" t="s">
        <v>1894</v>
      </c>
      <c r="C66" s="428" t="s">
        <v>1895</v>
      </c>
      <c r="D66" s="370">
        <v>0</v>
      </c>
      <c r="E66" s="71"/>
      <c r="F66" s="374">
        <v>0</v>
      </c>
      <c r="G66" s="374"/>
      <c r="H66" s="374">
        <v>0</v>
      </c>
      <c r="I66" s="370"/>
      <c r="J66" s="71">
        <v>0</v>
      </c>
      <c r="K66" s="71">
        <v>0</v>
      </c>
      <c r="L66" s="376">
        <v>0</v>
      </c>
      <c r="M66" s="374"/>
      <c r="N66" s="370"/>
      <c r="O66" s="374"/>
      <c r="P66" s="374"/>
      <c r="Q66" s="374"/>
    </row>
    <row r="67" spans="1:22" x14ac:dyDescent="0.2">
      <c r="A67" s="310">
        <v>37</v>
      </c>
      <c r="B67" s="315" t="s">
        <v>1896</v>
      </c>
      <c r="C67" s="428" t="s">
        <v>1897</v>
      </c>
      <c r="D67" s="370">
        <v>0</v>
      </c>
      <c r="E67" s="71"/>
      <c r="F67" s="374">
        <v>0</v>
      </c>
      <c r="G67" s="374"/>
      <c r="H67" s="374">
        <v>0</v>
      </c>
      <c r="I67" s="370"/>
      <c r="J67" s="71">
        <v>0</v>
      </c>
      <c r="K67" s="71">
        <v>0</v>
      </c>
      <c r="L67" s="376">
        <v>0</v>
      </c>
      <c r="M67" s="374"/>
      <c r="N67" s="370"/>
      <c r="O67" s="374"/>
      <c r="P67" s="374"/>
      <c r="Q67" s="374"/>
    </row>
    <row r="68" spans="1:22" x14ac:dyDescent="0.2">
      <c r="A68" s="310">
        <v>38</v>
      </c>
      <c r="B68" s="307" t="s">
        <v>1366</v>
      </c>
      <c r="C68" s="422" t="s">
        <v>1367</v>
      </c>
      <c r="D68" s="370">
        <v>43641211</v>
      </c>
      <c r="E68" s="71"/>
      <c r="F68" s="376">
        <v>19414</v>
      </c>
      <c r="G68" s="374"/>
      <c r="H68" s="376">
        <v>43621797</v>
      </c>
      <c r="I68" s="370"/>
      <c r="J68" s="71">
        <v>0</v>
      </c>
      <c r="K68" s="71">
        <v>0</v>
      </c>
      <c r="L68" s="376">
        <v>0</v>
      </c>
      <c r="M68" s="374"/>
      <c r="N68" s="370"/>
      <c r="O68" s="374"/>
      <c r="P68" s="374"/>
      <c r="Q68" s="374"/>
    </row>
    <row r="69" spans="1:22" x14ac:dyDescent="0.2">
      <c r="A69" s="310">
        <v>39</v>
      </c>
      <c r="B69" s="307" t="s">
        <v>1368</v>
      </c>
      <c r="C69" s="422" t="s">
        <v>1369</v>
      </c>
      <c r="D69" s="370">
        <v>625806</v>
      </c>
      <c r="E69" s="71"/>
      <c r="F69" s="374">
        <v>0</v>
      </c>
      <c r="G69" s="374"/>
      <c r="H69" s="376">
        <v>625806</v>
      </c>
      <c r="I69" s="370"/>
      <c r="J69" s="71">
        <v>0</v>
      </c>
      <c r="K69" s="71">
        <v>0</v>
      </c>
      <c r="L69" s="376">
        <v>0</v>
      </c>
      <c r="M69" s="374"/>
      <c r="N69" s="370"/>
      <c r="O69" s="374"/>
      <c r="P69" s="374"/>
      <c r="Q69" s="374"/>
    </row>
    <row r="70" spans="1:22" x14ac:dyDescent="0.2">
      <c r="A70" s="310">
        <v>40</v>
      </c>
      <c r="B70" s="307" t="s">
        <v>2192</v>
      </c>
      <c r="C70" s="422" t="s">
        <v>1370</v>
      </c>
      <c r="D70" s="370">
        <v>13223521</v>
      </c>
      <c r="E70" s="71"/>
      <c r="F70" s="374">
        <v>0</v>
      </c>
      <c r="G70" s="374"/>
      <c r="H70" s="373">
        <v>13223521</v>
      </c>
      <c r="I70" s="370"/>
      <c r="J70" s="71">
        <v>0</v>
      </c>
      <c r="K70" s="71">
        <v>0</v>
      </c>
      <c r="L70" s="374">
        <v>0</v>
      </c>
      <c r="M70" s="374"/>
      <c r="N70" s="370"/>
      <c r="O70" s="374"/>
      <c r="P70" s="374"/>
      <c r="Q70" s="374"/>
    </row>
    <row r="71" spans="1:22" x14ac:dyDescent="0.2">
      <c r="A71" s="310">
        <v>41</v>
      </c>
      <c r="B71" s="307" t="s">
        <v>2193</v>
      </c>
      <c r="C71" s="422" t="s">
        <v>1371</v>
      </c>
      <c r="D71" s="370">
        <v>0</v>
      </c>
      <c r="E71" s="71"/>
      <c r="F71" s="374">
        <v>0</v>
      </c>
      <c r="G71" s="374"/>
      <c r="H71" s="374">
        <v>0</v>
      </c>
      <c r="I71" s="370"/>
      <c r="J71" s="71">
        <v>0</v>
      </c>
      <c r="K71" s="71">
        <v>0</v>
      </c>
      <c r="L71" s="374">
        <v>0</v>
      </c>
      <c r="M71" s="374"/>
      <c r="N71" s="370"/>
      <c r="O71" s="374"/>
      <c r="P71" s="374"/>
      <c r="Q71" s="374" t="s">
        <v>2224</v>
      </c>
      <c r="R71" s="53" t="s">
        <v>1258</v>
      </c>
      <c r="S71" s="53" t="s">
        <v>1259</v>
      </c>
    </row>
    <row r="72" spans="1:22" x14ac:dyDescent="0.2">
      <c r="A72" s="310">
        <v>42</v>
      </c>
      <c r="B72" s="315" t="s">
        <v>1898</v>
      </c>
      <c r="C72" s="428" t="s">
        <v>1899</v>
      </c>
      <c r="D72" s="370">
        <v>3953481</v>
      </c>
      <c r="E72" s="71"/>
      <c r="F72" s="373">
        <v>2942175</v>
      </c>
      <c r="G72" s="374"/>
      <c r="H72" s="373">
        <v>789058</v>
      </c>
      <c r="I72" s="370"/>
      <c r="J72" s="71">
        <v>222248</v>
      </c>
      <c r="K72" s="71">
        <v>222248</v>
      </c>
      <c r="L72" s="373">
        <v>0</v>
      </c>
      <c r="M72" s="374"/>
      <c r="N72" s="370"/>
      <c r="O72" s="373"/>
      <c r="P72" s="373"/>
      <c r="Q72" s="374"/>
      <c r="U72" s="317"/>
      <c r="V72" s="319"/>
    </row>
    <row r="73" spans="1:22" x14ac:dyDescent="0.2">
      <c r="A73" s="310">
        <v>43</v>
      </c>
      <c r="B73" s="315" t="s">
        <v>1900</v>
      </c>
      <c r="C73" s="428" t="s">
        <v>1901</v>
      </c>
      <c r="D73" s="370">
        <v>32026</v>
      </c>
      <c r="E73" s="71"/>
      <c r="F73" s="373">
        <v>30874</v>
      </c>
      <c r="G73" s="374"/>
      <c r="H73" s="373">
        <v>1152</v>
      </c>
      <c r="I73" s="370"/>
      <c r="J73" s="71">
        <v>0</v>
      </c>
      <c r="K73" s="71">
        <v>0</v>
      </c>
      <c r="L73" s="374">
        <v>0</v>
      </c>
      <c r="M73" s="374"/>
      <c r="N73" s="370"/>
      <c r="O73" s="374"/>
      <c r="P73" s="374" t="s">
        <v>2274</v>
      </c>
      <c r="Q73" s="374">
        <v>222248</v>
      </c>
      <c r="R73" s="490">
        <v>222248</v>
      </c>
      <c r="S73" s="53">
        <v>0</v>
      </c>
      <c r="T73" s="53" t="s">
        <v>2225</v>
      </c>
      <c r="U73" s="317"/>
      <c r="V73" s="319"/>
    </row>
    <row r="74" spans="1:22" x14ac:dyDescent="0.2">
      <c r="A74" s="310">
        <v>44</v>
      </c>
      <c r="B74" s="315" t="s">
        <v>1902</v>
      </c>
      <c r="C74" s="428" t="s">
        <v>1903</v>
      </c>
      <c r="D74" s="370">
        <v>166699</v>
      </c>
      <c r="E74" s="71"/>
      <c r="F74" s="373">
        <v>166699</v>
      </c>
      <c r="G74" s="374"/>
      <c r="H74" s="373">
        <v>0</v>
      </c>
      <c r="I74" s="370"/>
      <c r="J74" s="71">
        <v>0</v>
      </c>
      <c r="K74" s="71">
        <v>0</v>
      </c>
      <c r="L74" s="374">
        <v>0</v>
      </c>
      <c r="M74" s="374"/>
      <c r="N74" s="370"/>
      <c r="O74" s="370"/>
      <c r="P74" s="370"/>
      <c r="Q74" s="374"/>
      <c r="U74" s="317"/>
      <c r="V74" s="319"/>
    </row>
    <row r="75" spans="1:22" x14ac:dyDescent="0.2">
      <c r="A75" s="310">
        <v>45</v>
      </c>
      <c r="B75" s="315" t="s">
        <v>1904</v>
      </c>
      <c r="C75" s="428" t="s">
        <v>1905</v>
      </c>
      <c r="D75" s="370">
        <v>2174944</v>
      </c>
      <c r="E75" s="71"/>
      <c r="F75" s="373">
        <v>2104204</v>
      </c>
      <c r="G75" s="374"/>
      <c r="H75" s="373">
        <v>70740</v>
      </c>
      <c r="I75" s="370"/>
      <c r="J75" s="71">
        <v>0</v>
      </c>
      <c r="K75" s="71">
        <v>0</v>
      </c>
      <c r="L75" s="374">
        <v>0</v>
      </c>
      <c r="M75" s="374"/>
      <c r="N75" s="370"/>
      <c r="O75" s="374"/>
      <c r="P75" s="374"/>
      <c r="Q75" s="374"/>
    </row>
    <row r="76" spans="1:22" x14ac:dyDescent="0.2">
      <c r="A76" s="310">
        <v>46</v>
      </c>
      <c r="B76" s="315" t="s">
        <v>1906</v>
      </c>
      <c r="C76" s="428" t="s">
        <v>1907</v>
      </c>
      <c r="D76" s="370">
        <v>94079</v>
      </c>
      <c r="E76" s="71"/>
      <c r="F76" s="373">
        <v>93979</v>
      </c>
      <c r="G76" s="374"/>
      <c r="H76" s="373">
        <v>100</v>
      </c>
      <c r="I76" s="370"/>
      <c r="J76" s="71">
        <v>0</v>
      </c>
      <c r="K76" s="71">
        <v>0</v>
      </c>
      <c r="L76" s="374">
        <v>0</v>
      </c>
      <c r="M76" s="374"/>
      <c r="N76" s="370"/>
      <c r="O76" s="374"/>
      <c r="P76" s="374"/>
      <c r="Q76" s="374"/>
    </row>
    <row r="77" spans="1:22" x14ac:dyDescent="0.2">
      <c r="A77" s="310">
        <v>47</v>
      </c>
      <c r="B77" s="315" t="s">
        <v>1908</v>
      </c>
      <c r="C77" s="428" t="s">
        <v>1909</v>
      </c>
      <c r="D77" s="370">
        <v>68898</v>
      </c>
      <c r="E77" s="71"/>
      <c r="F77" s="373">
        <v>61024</v>
      </c>
      <c r="G77" s="374"/>
      <c r="H77" s="373">
        <v>7874</v>
      </c>
      <c r="I77" s="370"/>
      <c r="J77" s="71">
        <v>0</v>
      </c>
      <c r="K77" s="71">
        <v>0</v>
      </c>
      <c r="L77" s="374">
        <v>0</v>
      </c>
      <c r="M77" s="374"/>
      <c r="N77" s="370"/>
      <c r="O77" s="374"/>
      <c r="P77" s="374"/>
      <c r="Q77" s="374"/>
    </row>
    <row r="78" spans="1:22" x14ac:dyDescent="0.2">
      <c r="A78" s="310">
        <v>48</v>
      </c>
      <c r="B78" s="307" t="s">
        <v>1372</v>
      </c>
      <c r="C78" s="422" t="s">
        <v>1373</v>
      </c>
      <c r="D78" s="370">
        <v>206493</v>
      </c>
      <c r="E78" s="71"/>
      <c r="F78" s="373">
        <v>0</v>
      </c>
      <c r="G78" s="376"/>
      <c r="H78" s="373">
        <v>206493</v>
      </c>
      <c r="I78" s="370"/>
      <c r="J78" s="71">
        <v>0</v>
      </c>
      <c r="K78" s="71">
        <v>0</v>
      </c>
      <c r="L78" s="374">
        <v>0</v>
      </c>
      <c r="M78" s="374"/>
      <c r="N78" s="370"/>
      <c r="O78" s="374"/>
      <c r="P78" s="374"/>
      <c r="Q78" s="374"/>
    </row>
    <row r="79" spans="1:22" x14ac:dyDescent="0.2">
      <c r="A79" s="310">
        <v>49</v>
      </c>
      <c r="B79" s="307" t="s">
        <v>1374</v>
      </c>
      <c r="C79" s="422" t="s">
        <v>1375</v>
      </c>
      <c r="D79" s="370">
        <v>0</v>
      </c>
      <c r="E79" s="71"/>
      <c r="F79" s="374">
        <v>0</v>
      </c>
      <c r="G79" s="376"/>
      <c r="H79" s="374">
        <v>0</v>
      </c>
      <c r="I79" s="370"/>
      <c r="J79" s="71">
        <v>0</v>
      </c>
      <c r="K79" s="71">
        <v>0</v>
      </c>
      <c r="L79" s="374">
        <v>0</v>
      </c>
      <c r="M79" s="374"/>
      <c r="N79" s="370"/>
      <c r="O79" s="374"/>
      <c r="P79" s="374"/>
      <c r="Q79" s="374"/>
    </row>
    <row r="80" spans="1:22" x14ac:dyDescent="0.2">
      <c r="A80" s="310">
        <v>50</v>
      </c>
      <c r="B80" s="307" t="s">
        <v>1376</v>
      </c>
      <c r="C80" s="422" t="s">
        <v>1377</v>
      </c>
      <c r="D80" s="370">
        <v>237184</v>
      </c>
      <c r="E80" s="71"/>
      <c r="F80" s="374">
        <v>0</v>
      </c>
      <c r="G80" s="376"/>
      <c r="H80" s="373">
        <v>237184</v>
      </c>
      <c r="I80" s="370"/>
      <c r="J80" s="370">
        <v>0</v>
      </c>
      <c r="K80" s="370">
        <v>0</v>
      </c>
      <c r="L80" s="374">
        <v>0</v>
      </c>
      <c r="M80" s="370"/>
      <c r="N80" s="370"/>
      <c r="O80" s="374"/>
      <c r="P80" s="374"/>
      <c r="Q80" s="374"/>
    </row>
    <row r="81" spans="1:20" s="45" customFormat="1" x14ac:dyDescent="0.2">
      <c r="A81" s="45">
        <v>51</v>
      </c>
      <c r="B81" s="45" t="s">
        <v>2494</v>
      </c>
      <c r="C81" s="311" t="s">
        <v>2495</v>
      </c>
      <c r="D81" s="370">
        <v>-183431</v>
      </c>
      <c r="F81" s="373">
        <v>-172632</v>
      </c>
      <c r="G81" s="455"/>
      <c r="H81" s="373">
        <v>-9210</v>
      </c>
      <c r="I81" s="370"/>
      <c r="J81" s="370">
        <v>-1589</v>
      </c>
      <c r="K81" s="370">
        <v>-1589</v>
      </c>
      <c r="L81" s="374">
        <v>0</v>
      </c>
      <c r="N81" s="370"/>
      <c r="O81" s="374"/>
      <c r="P81" s="374"/>
      <c r="Q81" s="374"/>
    </row>
    <row r="82" spans="1:20" s="45" customFormat="1" x14ac:dyDescent="0.2">
      <c r="A82" s="45">
        <v>52</v>
      </c>
      <c r="B82" s="45" t="s">
        <v>2520</v>
      </c>
      <c r="C82" s="311" t="s">
        <v>2521</v>
      </c>
      <c r="D82" s="370">
        <v>9948564</v>
      </c>
      <c r="F82" s="373">
        <v>9334437</v>
      </c>
      <c r="G82" s="455"/>
      <c r="H82" s="373">
        <v>497874</v>
      </c>
      <c r="I82" s="370"/>
      <c r="J82" s="491">
        <v>116254</v>
      </c>
      <c r="K82" s="491">
        <v>116254</v>
      </c>
      <c r="L82" s="311">
        <v>0</v>
      </c>
      <c r="N82" s="370"/>
      <c r="O82" s="373"/>
      <c r="P82" s="458"/>
      <c r="Q82" s="456"/>
    </row>
    <row r="83" spans="1:20" s="45" customFormat="1" x14ac:dyDescent="0.2">
      <c r="Q83" s="454"/>
    </row>
    <row r="84" spans="1:20" s="45" customFormat="1" x14ac:dyDescent="0.2">
      <c r="B84" s="425" t="s">
        <v>2496</v>
      </c>
      <c r="Q84" s="454"/>
    </row>
    <row r="85" spans="1:20" s="45" customFormat="1" x14ac:dyDescent="0.2">
      <c r="A85" s="45">
        <v>1</v>
      </c>
      <c r="C85" s="424"/>
      <c r="D85" s="370"/>
      <c r="F85" s="373"/>
      <c r="G85" s="455"/>
      <c r="H85" s="373"/>
      <c r="I85" s="370"/>
      <c r="J85" s="370"/>
      <c r="K85" s="370"/>
      <c r="L85" s="374"/>
      <c r="N85" s="370"/>
      <c r="O85" s="374"/>
      <c r="P85" s="374"/>
      <c r="Q85" s="374"/>
    </row>
    <row r="86" spans="1:20" s="45" customFormat="1" x14ac:dyDescent="0.2">
      <c r="A86" s="45">
        <v>2</v>
      </c>
      <c r="Q86" s="454"/>
    </row>
    <row r="87" spans="1:20" s="45" customFormat="1" x14ac:dyDescent="0.2">
      <c r="Q87" s="454"/>
    </row>
    <row r="88" spans="1:20" s="45" customFormat="1" x14ac:dyDescent="0.2">
      <c r="Q88" s="454"/>
    </row>
    <row r="89" spans="1:20" x14ac:dyDescent="0.2">
      <c r="B89" s="429" t="s">
        <v>1378</v>
      </c>
      <c r="C89" s="308"/>
      <c r="D89" s="71"/>
      <c r="E89" s="71"/>
      <c r="F89" s="71"/>
      <c r="G89" s="71"/>
      <c r="H89" s="71"/>
      <c r="I89" s="71"/>
      <c r="J89" s="71"/>
      <c r="K89" s="71"/>
      <c r="L89" s="71"/>
      <c r="M89" s="71"/>
      <c r="N89" s="71"/>
      <c r="O89" s="71"/>
      <c r="P89" s="71"/>
      <c r="Q89" s="71"/>
    </row>
    <row r="90" spans="1:20" x14ac:dyDescent="0.2">
      <c r="B90" s="318" t="s">
        <v>1267</v>
      </c>
      <c r="C90" s="308"/>
      <c r="D90" s="374"/>
      <c r="E90" s="71"/>
      <c r="F90" s="374"/>
      <c r="G90" s="374"/>
      <c r="H90" s="374"/>
      <c r="I90" s="370"/>
      <c r="J90" s="374"/>
      <c r="K90" s="374"/>
      <c r="L90" s="374"/>
      <c r="M90" s="374"/>
      <c r="N90" s="370"/>
      <c r="O90" s="374"/>
      <c r="P90" s="374"/>
      <c r="Q90" s="374"/>
      <c r="R90" s="319"/>
      <c r="S90" s="319"/>
      <c r="T90" s="319"/>
    </row>
    <row r="91" spans="1:20" x14ac:dyDescent="0.2">
      <c r="A91" s="310">
        <v>1</v>
      </c>
      <c r="B91" s="307" t="s">
        <v>1379</v>
      </c>
      <c r="C91" s="422" t="s">
        <v>1378</v>
      </c>
      <c r="D91" s="370">
        <v>20235892</v>
      </c>
      <c r="E91" s="71"/>
      <c r="F91" s="373">
        <v>19058683</v>
      </c>
      <c r="G91" s="376"/>
      <c r="H91" s="373">
        <v>765390</v>
      </c>
      <c r="I91" s="370"/>
      <c r="J91" s="71">
        <v>411819</v>
      </c>
      <c r="K91" s="71">
        <v>211376</v>
      </c>
      <c r="L91" s="373">
        <v>200443</v>
      </c>
      <c r="M91" s="370"/>
      <c r="N91" s="370"/>
      <c r="O91" s="373"/>
      <c r="P91" s="373"/>
      <c r="Q91" s="71"/>
    </row>
    <row r="92" spans="1:20" ht="12.75" customHeight="1" x14ac:dyDescent="0.2">
      <c r="A92" s="310">
        <v>2</v>
      </c>
      <c r="B92" s="307" t="s">
        <v>1380</v>
      </c>
      <c r="C92" s="422" t="s">
        <v>1381</v>
      </c>
      <c r="D92" s="370">
        <v>19824073</v>
      </c>
      <c r="E92" s="71"/>
      <c r="F92" s="377">
        <v>19058683</v>
      </c>
      <c r="G92" s="374"/>
      <c r="H92" s="377">
        <v>765390</v>
      </c>
      <c r="I92" s="370"/>
      <c r="J92" s="71">
        <v>0</v>
      </c>
      <c r="K92" s="71">
        <v>0</v>
      </c>
      <c r="L92" s="374">
        <v>0</v>
      </c>
      <c r="M92" s="374"/>
      <c r="N92" s="370"/>
      <c r="O92" s="374"/>
      <c r="P92" s="374"/>
      <c r="Q92" s="374"/>
    </row>
    <row r="93" spans="1:20" x14ac:dyDescent="0.2">
      <c r="A93" s="312">
        <v>3</v>
      </c>
      <c r="B93" s="45"/>
      <c r="C93" s="311"/>
      <c r="D93" s="50"/>
      <c r="E93" s="50"/>
      <c r="F93" s="378"/>
      <c r="G93" s="378"/>
      <c r="H93" s="378"/>
      <c r="I93" s="378"/>
      <c r="J93" s="50"/>
      <c r="K93" s="50"/>
      <c r="L93" s="378"/>
      <c r="M93" s="378"/>
      <c r="N93" s="50"/>
      <c r="O93" s="378"/>
      <c r="P93" s="378"/>
      <c r="Q93" s="378"/>
    </row>
    <row r="94" spans="1:20" x14ac:dyDescent="0.2">
      <c r="A94" s="312">
        <v>4</v>
      </c>
      <c r="B94" s="45"/>
      <c r="C94" s="311"/>
      <c r="D94" s="50"/>
      <c r="E94" s="50"/>
      <c r="F94" s="50"/>
      <c r="G94" s="50"/>
      <c r="H94" s="50"/>
      <c r="I94" s="50"/>
      <c r="J94" s="50"/>
      <c r="K94" s="50"/>
      <c r="L94" s="50"/>
      <c r="M94" s="50"/>
      <c r="N94" s="50"/>
      <c r="O94" s="50"/>
      <c r="P94" s="50"/>
      <c r="Q94" s="50"/>
    </row>
    <row r="95" spans="1:20" x14ac:dyDescent="0.2">
      <c r="A95" s="45"/>
      <c r="B95" s="45"/>
      <c r="C95" s="311"/>
      <c r="D95" s="50"/>
      <c r="E95" s="50"/>
      <c r="F95" s="50"/>
      <c r="G95" s="50"/>
      <c r="H95" s="50"/>
      <c r="I95" s="50"/>
      <c r="J95" s="50"/>
      <c r="K95" s="50"/>
      <c r="L95" s="50"/>
      <c r="M95" s="50"/>
      <c r="N95" s="50"/>
      <c r="O95" s="50"/>
      <c r="P95" s="50"/>
      <c r="Q95" s="50"/>
    </row>
    <row r="96" spans="1:20" x14ac:dyDescent="0.2">
      <c r="A96" s="45"/>
      <c r="B96" s="425" t="s">
        <v>1382</v>
      </c>
      <c r="C96" s="311"/>
      <c r="D96" s="50"/>
      <c r="E96" s="50"/>
      <c r="F96" s="50"/>
      <c r="G96" s="50"/>
      <c r="H96" s="50"/>
      <c r="I96" s="50"/>
      <c r="J96" s="50"/>
      <c r="K96" s="50"/>
      <c r="L96" s="50"/>
      <c r="M96" s="50"/>
      <c r="N96" s="50"/>
      <c r="O96" s="50"/>
      <c r="P96" s="50"/>
      <c r="Q96" s="50"/>
    </row>
    <row r="97" spans="1:17" x14ac:dyDescent="0.2">
      <c r="A97" s="45"/>
      <c r="B97" s="430" t="s">
        <v>1267</v>
      </c>
      <c r="C97" s="311"/>
      <c r="D97" s="50"/>
      <c r="E97" s="50"/>
      <c r="F97" s="50"/>
      <c r="G97" s="50"/>
      <c r="H97" s="50"/>
      <c r="I97" s="50"/>
      <c r="J97" s="50"/>
      <c r="K97" s="50"/>
      <c r="L97" s="50"/>
      <c r="M97" s="50"/>
      <c r="N97" s="50"/>
      <c r="O97" s="50"/>
      <c r="P97" s="347"/>
      <c r="Q97" s="50"/>
    </row>
    <row r="98" spans="1:17" x14ac:dyDescent="0.2">
      <c r="A98" s="310">
        <v>1</v>
      </c>
      <c r="B98" s="315" t="s">
        <v>1910</v>
      </c>
      <c r="C98" s="422" t="s">
        <v>1384</v>
      </c>
      <c r="D98" s="370">
        <v>124944572</v>
      </c>
      <c r="E98" s="71"/>
      <c r="F98" s="379">
        <v>124944572</v>
      </c>
      <c r="G98" s="374"/>
      <c r="H98" s="380">
        <v>0</v>
      </c>
      <c r="I98" s="370"/>
      <c r="J98" s="71">
        <v>0</v>
      </c>
      <c r="K98" s="71">
        <v>0</v>
      </c>
      <c r="L98" s="374">
        <v>0</v>
      </c>
      <c r="M98" s="370"/>
      <c r="N98" s="370"/>
      <c r="O98" s="381"/>
      <c r="P98" s="381"/>
      <c r="Q98" s="381"/>
    </row>
    <row r="99" spans="1:17" x14ac:dyDescent="0.2">
      <c r="A99" s="310">
        <v>2</v>
      </c>
      <c r="B99" s="315" t="s">
        <v>1911</v>
      </c>
      <c r="C99" s="422" t="s">
        <v>1386</v>
      </c>
      <c r="D99" s="370">
        <v>77200740</v>
      </c>
      <c r="E99" s="71"/>
      <c r="F99" s="379">
        <v>77153432</v>
      </c>
      <c r="G99" s="374"/>
      <c r="H99" s="380">
        <v>0</v>
      </c>
      <c r="I99" s="370"/>
      <c r="J99" s="71">
        <v>47308</v>
      </c>
      <c r="K99" s="71">
        <v>20456</v>
      </c>
      <c r="L99" s="374">
        <v>26852</v>
      </c>
      <c r="M99" s="370"/>
      <c r="N99" s="370"/>
      <c r="O99" s="373"/>
      <c r="P99" s="373"/>
      <c r="Q99" s="381"/>
    </row>
    <row r="100" spans="1:17" x14ac:dyDescent="0.2">
      <c r="A100" s="310">
        <v>3</v>
      </c>
      <c r="B100" s="315" t="s">
        <v>1912</v>
      </c>
      <c r="C100" s="422" t="s">
        <v>1388</v>
      </c>
      <c r="D100" s="370">
        <v>159234</v>
      </c>
      <c r="E100" s="71"/>
      <c r="F100" s="379">
        <v>159234</v>
      </c>
      <c r="G100" s="374"/>
      <c r="H100" s="380">
        <v>0</v>
      </c>
      <c r="I100" s="370"/>
      <c r="J100" s="71">
        <v>0</v>
      </c>
      <c r="K100" s="71">
        <v>0</v>
      </c>
      <c r="L100" s="374">
        <v>0</v>
      </c>
      <c r="M100" s="370"/>
      <c r="N100" s="370"/>
      <c r="O100" s="381"/>
      <c r="P100" s="381"/>
      <c r="Q100" s="381"/>
    </row>
    <row r="101" spans="1:17" x14ac:dyDescent="0.2">
      <c r="A101" s="310">
        <v>4</v>
      </c>
      <c r="B101" s="315" t="s">
        <v>1913</v>
      </c>
      <c r="C101" s="422" t="s">
        <v>1390</v>
      </c>
      <c r="D101" s="370">
        <v>143087299</v>
      </c>
      <c r="E101" s="71"/>
      <c r="F101" s="379">
        <v>143087299</v>
      </c>
      <c r="G101" s="374"/>
      <c r="H101" s="380">
        <v>0</v>
      </c>
      <c r="I101" s="370"/>
      <c r="J101" s="71">
        <v>0</v>
      </c>
      <c r="K101" s="71">
        <v>0</v>
      </c>
      <c r="L101" s="374">
        <v>0</v>
      </c>
      <c r="M101" s="370"/>
      <c r="N101" s="370"/>
      <c r="O101" s="381"/>
      <c r="P101" s="381"/>
      <c r="Q101" s="381"/>
    </row>
    <row r="102" spans="1:17" x14ac:dyDescent="0.2">
      <c r="A102" s="310">
        <v>5</v>
      </c>
      <c r="B102" s="307" t="s">
        <v>1391</v>
      </c>
      <c r="C102" s="422" t="s">
        <v>1392</v>
      </c>
      <c r="D102" s="370">
        <v>4891559</v>
      </c>
      <c r="E102" s="71"/>
      <c r="F102" s="373">
        <v>4870067</v>
      </c>
      <c r="G102" s="374"/>
      <c r="H102" s="373">
        <v>21492</v>
      </c>
      <c r="I102" s="370"/>
      <c r="J102" s="71">
        <v>0</v>
      </c>
      <c r="K102" s="71">
        <v>0</v>
      </c>
      <c r="L102" s="374">
        <v>0</v>
      </c>
      <c r="M102" s="370"/>
      <c r="N102" s="370"/>
      <c r="O102" s="381"/>
      <c r="P102" s="381"/>
      <c r="Q102" s="381"/>
    </row>
    <row r="103" spans="1:17" x14ac:dyDescent="0.2">
      <c r="A103" s="310">
        <v>6</v>
      </c>
      <c r="B103" s="307" t="s">
        <v>1393</v>
      </c>
      <c r="C103" s="422" t="s">
        <v>1394</v>
      </c>
      <c r="D103" s="370">
        <v>31492745</v>
      </c>
      <c r="E103" s="71"/>
      <c r="F103" s="373">
        <v>30270182</v>
      </c>
      <c r="G103" s="374"/>
      <c r="H103" s="373">
        <v>1222562</v>
      </c>
      <c r="I103" s="370"/>
      <c r="J103" s="71">
        <v>0</v>
      </c>
      <c r="K103" s="71">
        <v>0</v>
      </c>
      <c r="L103" s="374">
        <v>0</v>
      </c>
      <c r="M103" s="370"/>
      <c r="N103" s="370"/>
      <c r="O103" s="373"/>
      <c r="P103" s="381"/>
      <c r="Q103" s="381"/>
    </row>
    <row r="104" spans="1:17" x14ac:dyDescent="0.2">
      <c r="A104" s="310">
        <v>7</v>
      </c>
      <c r="B104" s="307" t="s">
        <v>1395</v>
      </c>
      <c r="C104" s="422" t="s">
        <v>1396</v>
      </c>
      <c r="D104" s="370">
        <v>769287</v>
      </c>
      <c r="E104" s="71"/>
      <c r="F104" s="373">
        <v>731584</v>
      </c>
      <c r="G104" s="374"/>
      <c r="H104" s="373">
        <v>37393</v>
      </c>
      <c r="I104" s="370"/>
      <c r="J104" s="71">
        <v>310</v>
      </c>
      <c r="K104" s="71">
        <v>124</v>
      </c>
      <c r="L104" s="373">
        <v>186</v>
      </c>
      <c r="M104" s="370"/>
      <c r="N104" s="370"/>
      <c r="O104" s="373"/>
      <c r="P104" s="373"/>
      <c r="Q104" s="381"/>
    </row>
    <row r="105" spans="1:17" x14ac:dyDescent="0.2">
      <c r="A105" s="310">
        <v>8</v>
      </c>
      <c r="B105" s="307" t="s">
        <v>1397</v>
      </c>
      <c r="C105" s="422" t="s">
        <v>1398</v>
      </c>
      <c r="D105" s="370">
        <v>769287</v>
      </c>
      <c r="E105" s="71"/>
      <c r="F105" s="71">
        <v>731584</v>
      </c>
      <c r="G105" s="374"/>
      <c r="H105" s="370">
        <v>37393</v>
      </c>
      <c r="I105" s="370"/>
      <c r="J105" s="71">
        <v>310</v>
      </c>
      <c r="K105" s="71">
        <v>124</v>
      </c>
      <c r="L105" s="377">
        <v>186</v>
      </c>
      <c r="M105" s="370"/>
      <c r="N105" s="370"/>
      <c r="O105" s="71"/>
      <c r="P105" s="71"/>
      <c r="Q105" s="71"/>
    </row>
    <row r="106" spans="1:17" x14ac:dyDescent="0.2">
      <c r="A106" s="310">
        <v>9</v>
      </c>
      <c r="B106" s="307" t="s">
        <v>1399</v>
      </c>
      <c r="C106" s="422" t="s">
        <v>1400</v>
      </c>
      <c r="D106" s="370">
        <v>769287</v>
      </c>
      <c r="E106" s="71"/>
      <c r="F106" s="71">
        <v>731584</v>
      </c>
      <c r="G106" s="374"/>
      <c r="H106" s="370">
        <v>37393</v>
      </c>
      <c r="I106" s="370"/>
      <c r="J106" s="71">
        <v>310</v>
      </c>
      <c r="K106" s="71">
        <v>124</v>
      </c>
      <c r="L106" s="377">
        <v>186</v>
      </c>
      <c r="M106" s="370"/>
      <c r="N106" s="370"/>
      <c r="O106" s="71"/>
      <c r="P106" s="71"/>
      <c r="Q106" s="71"/>
    </row>
    <row r="107" spans="1:17" x14ac:dyDescent="0.2">
      <c r="A107" s="310">
        <v>10</v>
      </c>
      <c r="B107" s="307" t="s">
        <v>1401</v>
      </c>
      <c r="C107" s="422" t="s">
        <v>1402</v>
      </c>
      <c r="D107" s="370">
        <v>6306473</v>
      </c>
      <c r="E107" s="71"/>
      <c r="F107" s="381">
        <v>0</v>
      </c>
      <c r="G107" s="374"/>
      <c r="H107" s="382">
        <v>6306473</v>
      </c>
      <c r="I107" s="370"/>
      <c r="J107" s="71">
        <v>0</v>
      </c>
      <c r="K107" s="71">
        <v>0</v>
      </c>
      <c r="L107" s="374">
        <v>0</v>
      </c>
      <c r="M107" s="370"/>
      <c r="N107" s="370"/>
      <c r="O107" s="381"/>
      <c r="P107" s="381"/>
      <c r="Q107" s="381"/>
    </row>
    <row r="108" spans="1:17" x14ac:dyDescent="0.2">
      <c r="A108" s="310">
        <v>11</v>
      </c>
      <c r="B108" s="307" t="s">
        <v>1403</v>
      </c>
      <c r="C108" s="422" t="s">
        <v>1404</v>
      </c>
      <c r="D108" s="370">
        <v>4187481</v>
      </c>
      <c r="E108" s="71"/>
      <c r="F108" s="381">
        <v>0</v>
      </c>
      <c r="G108" s="374"/>
      <c r="H108" s="382">
        <v>4187481</v>
      </c>
      <c r="I108" s="370"/>
      <c r="J108" s="71">
        <v>0</v>
      </c>
      <c r="K108" s="71">
        <v>0</v>
      </c>
      <c r="L108" s="374">
        <v>0</v>
      </c>
      <c r="M108" s="370"/>
      <c r="N108" s="370"/>
      <c r="O108" s="381"/>
      <c r="P108" s="381"/>
      <c r="Q108" s="381"/>
    </row>
    <row r="109" spans="1:17" x14ac:dyDescent="0.2">
      <c r="A109" s="310">
        <v>12</v>
      </c>
      <c r="B109" s="315" t="s">
        <v>1914</v>
      </c>
      <c r="C109" s="422" t="s">
        <v>1406</v>
      </c>
      <c r="D109" s="370">
        <v>0</v>
      </c>
      <c r="E109" s="71"/>
      <c r="F109" s="381">
        <v>0</v>
      </c>
      <c r="G109" s="374"/>
      <c r="H109" s="382">
        <v>0</v>
      </c>
      <c r="I109" s="370"/>
      <c r="J109" s="71">
        <v>0</v>
      </c>
      <c r="K109" s="71">
        <v>0</v>
      </c>
      <c r="L109" s="374">
        <v>0</v>
      </c>
      <c r="M109" s="370"/>
      <c r="N109" s="370"/>
      <c r="O109" s="381"/>
      <c r="P109" s="381"/>
      <c r="Q109" s="381"/>
    </row>
    <row r="110" spans="1:17" x14ac:dyDescent="0.2">
      <c r="A110" s="310">
        <v>13</v>
      </c>
      <c r="B110" s="307" t="s">
        <v>1407</v>
      </c>
      <c r="C110" s="422" t="s">
        <v>1408</v>
      </c>
      <c r="D110" s="370">
        <v>4244034</v>
      </c>
      <c r="E110" s="71"/>
      <c r="F110" s="381">
        <v>0</v>
      </c>
      <c r="G110" s="374"/>
      <c r="H110" s="382">
        <v>4244034</v>
      </c>
      <c r="I110" s="370"/>
      <c r="J110" s="71">
        <v>0</v>
      </c>
      <c r="K110" s="71">
        <v>0</v>
      </c>
      <c r="L110" s="374">
        <v>0</v>
      </c>
      <c r="M110" s="370"/>
      <c r="N110" s="370"/>
      <c r="O110" s="381"/>
      <c r="P110" s="381"/>
      <c r="Q110" s="381"/>
    </row>
    <row r="111" spans="1:17" x14ac:dyDescent="0.2">
      <c r="A111" s="310">
        <v>14</v>
      </c>
      <c r="B111" s="307" t="s">
        <v>1409</v>
      </c>
      <c r="C111" s="422" t="s">
        <v>1410</v>
      </c>
      <c r="D111" s="370">
        <v>528339</v>
      </c>
      <c r="E111" s="71"/>
      <c r="F111" s="373">
        <v>528339</v>
      </c>
      <c r="G111" s="380"/>
      <c r="H111" s="380">
        <v>0</v>
      </c>
      <c r="I111" s="370"/>
      <c r="J111" s="71">
        <v>0</v>
      </c>
      <c r="K111" s="71">
        <v>0</v>
      </c>
      <c r="L111" s="380">
        <v>0</v>
      </c>
      <c r="M111" s="370"/>
      <c r="N111" s="370"/>
      <c r="O111" s="381"/>
      <c r="P111" s="381"/>
      <c r="Q111" s="381"/>
    </row>
    <row r="112" spans="1:17" x14ac:dyDescent="0.2">
      <c r="A112" s="310">
        <v>15</v>
      </c>
      <c r="B112" s="307" t="s">
        <v>1411</v>
      </c>
      <c r="C112" s="422" t="s">
        <v>1412</v>
      </c>
      <c r="D112" s="370">
        <v>556189</v>
      </c>
      <c r="E112" s="71"/>
      <c r="F112" s="373">
        <v>528399</v>
      </c>
      <c r="G112" s="380"/>
      <c r="H112" s="373">
        <v>27790</v>
      </c>
      <c r="I112" s="370"/>
      <c r="J112" s="71">
        <v>0</v>
      </c>
      <c r="K112" s="71">
        <v>0</v>
      </c>
      <c r="L112" s="383">
        <v>0</v>
      </c>
      <c r="M112" s="370"/>
      <c r="N112" s="370"/>
      <c r="O112" s="381"/>
      <c r="P112" s="381"/>
      <c r="Q112" s="381"/>
    </row>
    <row r="113" spans="1:17" x14ac:dyDescent="0.2">
      <c r="A113" s="310">
        <v>16</v>
      </c>
      <c r="B113" s="307" t="s">
        <v>1413</v>
      </c>
      <c r="C113" s="422" t="s">
        <v>1414</v>
      </c>
      <c r="D113" s="370">
        <v>556189</v>
      </c>
      <c r="E113" s="71"/>
      <c r="F113" s="71">
        <v>528399</v>
      </c>
      <c r="G113" s="374"/>
      <c r="H113" s="370">
        <v>27790</v>
      </c>
      <c r="I113" s="370"/>
      <c r="J113" s="71">
        <v>0</v>
      </c>
      <c r="K113" s="71">
        <v>0</v>
      </c>
      <c r="L113" s="377">
        <v>0</v>
      </c>
      <c r="M113" s="370"/>
      <c r="N113" s="370"/>
      <c r="O113" s="381"/>
      <c r="P113" s="381"/>
      <c r="Q113" s="381"/>
    </row>
    <row r="114" spans="1:17" x14ac:dyDescent="0.2">
      <c r="A114" s="310">
        <v>17</v>
      </c>
      <c r="B114" s="307" t="s">
        <v>1415</v>
      </c>
      <c r="C114" s="422" t="s">
        <v>1416</v>
      </c>
      <c r="D114" s="370">
        <v>556189</v>
      </c>
      <c r="E114" s="71"/>
      <c r="F114" s="71">
        <v>528399</v>
      </c>
      <c r="G114" s="374"/>
      <c r="H114" s="370">
        <v>27790</v>
      </c>
      <c r="I114" s="370"/>
      <c r="J114" s="71">
        <v>0</v>
      </c>
      <c r="K114" s="71">
        <v>0</v>
      </c>
      <c r="L114" s="377">
        <v>0</v>
      </c>
      <c r="M114" s="370"/>
      <c r="N114" s="370"/>
      <c r="O114" s="381"/>
      <c r="P114" s="381"/>
      <c r="Q114" s="381"/>
    </row>
    <row r="115" spans="1:17" x14ac:dyDescent="0.2">
      <c r="A115" s="310">
        <v>18</v>
      </c>
      <c r="B115" s="307" t="s">
        <v>1417</v>
      </c>
      <c r="C115" s="422" t="s">
        <v>1418</v>
      </c>
      <c r="D115" s="370">
        <v>0</v>
      </c>
      <c r="E115" s="71"/>
      <c r="F115" s="381">
        <v>0</v>
      </c>
      <c r="G115" s="374"/>
      <c r="H115" s="380">
        <v>0</v>
      </c>
      <c r="I115" s="370"/>
      <c r="J115" s="71">
        <v>0</v>
      </c>
      <c r="K115" s="71">
        <v>0</v>
      </c>
      <c r="L115" s="374">
        <v>0</v>
      </c>
      <c r="M115" s="370"/>
      <c r="N115" s="370"/>
      <c r="O115" s="381"/>
      <c r="P115" s="381"/>
      <c r="Q115" s="381"/>
    </row>
    <row r="116" spans="1:17" x14ac:dyDescent="0.2">
      <c r="A116" s="310">
        <v>19</v>
      </c>
      <c r="B116" s="307" t="s">
        <v>1419</v>
      </c>
      <c r="C116" s="422" t="s">
        <v>1420</v>
      </c>
      <c r="D116" s="370">
        <v>532644</v>
      </c>
      <c r="E116" s="71"/>
      <c r="F116" s="373">
        <v>513790</v>
      </c>
      <c r="G116" s="374"/>
      <c r="H116" s="373">
        <v>18854</v>
      </c>
      <c r="I116" s="370"/>
      <c r="J116" s="71">
        <v>0</v>
      </c>
      <c r="K116" s="71">
        <v>0</v>
      </c>
      <c r="L116" s="374">
        <v>0</v>
      </c>
      <c r="M116" s="370"/>
      <c r="N116" s="370"/>
      <c r="O116" s="381"/>
      <c r="P116" s="381"/>
      <c r="Q116" s="381"/>
    </row>
    <row r="117" spans="1:17" x14ac:dyDescent="0.2">
      <c r="A117" s="310">
        <v>20</v>
      </c>
      <c r="B117" s="307" t="s">
        <v>1764</v>
      </c>
      <c r="C117" s="428" t="s">
        <v>1915</v>
      </c>
      <c r="D117" s="370">
        <v>4153151</v>
      </c>
      <c r="E117" s="71"/>
      <c r="F117" s="373">
        <v>3984715</v>
      </c>
      <c r="G117" s="374"/>
      <c r="H117" s="373">
        <v>168175</v>
      </c>
      <c r="I117" s="370"/>
      <c r="J117" s="71">
        <v>262</v>
      </c>
      <c r="K117" s="71">
        <v>262</v>
      </c>
      <c r="L117" s="373">
        <v>0</v>
      </c>
      <c r="M117" s="374"/>
      <c r="N117" s="370"/>
      <c r="O117" s="373"/>
      <c r="P117" s="373"/>
      <c r="Q117" s="374"/>
    </row>
    <row r="118" spans="1:17" x14ac:dyDescent="0.2">
      <c r="A118" s="312">
        <v>21</v>
      </c>
      <c r="B118" s="45"/>
      <c r="C118" s="45"/>
      <c r="D118" s="50"/>
      <c r="E118" s="50"/>
      <c r="F118" s="50"/>
      <c r="G118" s="50"/>
      <c r="H118" s="50"/>
      <c r="I118" s="50"/>
      <c r="J118" s="50"/>
      <c r="K118" s="50"/>
      <c r="L118" s="50"/>
      <c r="M118" s="50"/>
      <c r="N118" s="50"/>
      <c r="O118" s="50"/>
      <c r="P118" s="50"/>
      <c r="Q118" s="50"/>
    </row>
    <row r="119" spans="1:17" x14ac:dyDescent="0.2">
      <c r="A119" s="312">
        <v>22</v>
      </c>
      <c r="B119" s="45"/>
      <c r="C119" s="45"/>
      <c r="D119" s="50"/>
      <c r="E119" s="50"/>
      <c r="F119" s="50"/>
      <c r="G119" s="50"/>
      <c r="H119" s="50"/>
      <c r="I119" s="50"/>
      <c r="J119" s="50"/>
      <c r="K119" s="50"/>
      <c r="L119" s="50"/>
      <c r="M119" s="50"/>
      <c r="N119" s="50"/>
      <c r="O119" s="50"/>
      <c r="P119" s="50"/>
      <c r="Q119" s="50"/>
    </row>
    <row r="120" spans="1:17" x14ac:dyDescent="0.2">
      <c r="A120" s="312">
        <v>23</v>
      </c>
      <c r="B120" s="45"/>
      <c r="C120" s="45"/>
      <c r="D120" s="50"/>
      <c r="E120" s="50"/>
      <c r="F120" s="50"/>
      <c r="G120" s="50"/>
      <c r="H120" s="50"/>
      <c r="I120" s="50"/>
      <c r="J120" s="50"/>
      <c r="K120" s="50"/>
      <c r="L120" s="50"/>
      <c r="M120" s="50"/>
      <c r="N120" s="50"/>
      <c r="O120" s="50"/>
      <c r="P120" s="50"/>
      <c r="Q120" s="50"/>
    </row>
    <row r="121" spans="1:17" x14ac:dyDescent="0.2">
      <c r="A121" s="312">
        <v>24</v>
      </c>
      <c r="B121" s="45"/>
      <c r="C121" s="45"/>
      <c r="D121" s="50"/>
      <c r="E121" s="50"/>
      <c r="F121" s="50"/>
      <c r="G121" s="50"/>
      <c r="H121" s="50"/>
      <c r="I121" s="50"/>
      <c r="J121" s="50"/>
      <c r="K121" s="50"/>
      <c r="L121" s="50"/>
      <c r="M121" s="50"/>
      <c r="N121" s="50"/>
      <c r="O121" s="50"/>
      <c r="P121" s="50"/>
      <c r="Q121" s="50"/>
    </row>
    <row r="122" spans="1:17" x14ac:dyDescent="0.2">
      <c r="A122" s="312">
        <v>25</v>
      </c>
      <c r="B122" s="45"/>
      <c r="C122" s="45"/>
      <c r="D122" s="50"/>
      <c r="E122" s="50"/>
      <c r="F122" s="50"/>
      <c r="G122" s="50"/>
      <c r="H122" s="50"/>
      <c r="I122" s="50"/>
      <c r="J122" s="50"/>
      <c r="K122" s="50"/>
      <c r="L122" s="50"/>
      <c r="M122" s="50"/>
      <c r="N122" s="50"/>
      <c r="O122" s="50"/>
      <c r="P122" s="50"/>
      <c r="Q122" s="50"/>
    </row>
    <row r="123" spans="1:17" x14ac:dyDescent="0.2">
      <c r="A123" s="45"/>
      <c r="B123" s="45"/>
      <c r="C123" s="311"/>
      <c r="D123" s="50"/>
      <c r="E123" s="50"/>
      <c r="F123" s="50"/>
      <c r="G123" s="50"/>
      <c r="H123" s="50"/>
      <c r="I123" s="50"/>
      <c r="J123" s="50"/>
      <c r="K123" s="50"/>
      <c r="L123" s="50"/>
      <c r="M123" s="50"/>
      <c r="N123" s="50"/>
      <c r="O123" s="50"/>
      <c r="P123" s="50"/>
      <c r="Q123" s="50"/>
    </row>
    <row r="124" spans="1:17" x14ac:dyDescent="0.2">
      <c r="A124" s="45"/>
      <c r="B124" s="431" t="s">
        <v>1421</v>
      </c>
      <c r="C124" s="311"/>
      <c r="D124" s="50"/>
      <c r="E124" s="50"/>
      <c r="F124" s="50"/>
      <c r="G124" s="50"/>
      <c r="H124" s="50"/>
      <c r="I124" s="50"/>
      <c r="J124" s="50"/>
      <c r="K124" s="50"/>
      <c r="L124" s="50"/>
      <c r="M124" s="50"/>
      <c r="N124" s="50"/>
      <c r="O124" s="50"/>
      <c r="P124" s="50"/>
      <c r="Q124" s="50"/>
    </row>
    <row r="125" spans="1:17" x14ac:dyDescent="0.2">
      <c r="A125" s="45"/>
      <c r="B125" s="430" t="s">
        <v>1267</v>
      </c>
      <c r="C125" s="311"/>
      <c r="D125" s="50"/>
      <c r="E125" s="50"/>
      <c r="F125" s="50"/>
      <c r="G125" s="50"/>
      <c r="H125" s="50"/>
      <c r="I125" s="50"/>
      <c r="J125" s="50"/>
      <c r="K125" s="50"/>
      <c r="L125" s="50"/>
      <c r="M125" s="50"/>
      <c r="N125" s="50"/>
      <c r="O125" s="50"/>
      <c r="P125" s="50"/>
      <c r="Q125" s="50"/>
    </row>
    <row r="126" spans="1:17" x14ac:dyDescent="0.2">
      <c r="A126" s="312">
        <v>1</v>
      </c>
      <c r="B126" s="423" t="s">
        <v>1422</v>
      </c>
      <c r="C126" s="424" t="s">
        <v>1423</v>
      </c>
      <c r="D126" s="347">
        <v>10794311746</v>
      </c>
      <c r="E126" s="50"/>
      <c r="F126" s="347">
        <v>10089174672</v>
      </c>
      <c r="G126" s="50"/>
      <c r="H126" s="347">
        <v>562719165</v>
      </c>
      <c r="I126" s="347"/>
      <c r="J126" s="50">
        <v>142417909</v>
      </c>
      <c r="K126" s="50">
        <v>74518887</v>
      </c>
      <c r="L126" s="347">
        <v>67899021</v>
      </c>
      <c r="M126" s="347"/>
      <c r="N126" s="347"/>
      <c r="O126" s="347"/>
      <c r="P126" s="347"/>
      <c r="Q126" s="347"/>
    </row>
    <row r="127" spans="1:17" x14ac:dyDescent="0.2">
      <c r="A127" s="312">
        <v>2</v>
      </c>
      <c r="B127" s="423" t="s">
        <v>1424</v>
      </c>
      <c r="C127" s="424" t="s">
        <v>1425</v>
      </c>
      <c r="D127" s="347">
        <v>10089174672</v>
      </c>
      <c r="E127" s="50"/>
      <c r="F127" s="347">
        <v>10089174672</v>
      </c>
      <c r="G127" s="375"/>
      <c r="H127" s="375">
        <v>0</v>
      </c>
      <c r="I127" s="347"/>
      <c r="J127" s="50">
        <v>0</v>
      </c>
      <c r="K127" s="50">
        <v>0</v>
      </c>
      <c r="L127" s="375">
        <v>0</v>
      </c>
      <c r="M127" s="375"/>
      <c r="N127" s="347"/>
      <c r="O127" s="375"/>
      <c r="P127" s="375"/>
      <c r="Q127" s="375"/>
    </row>
    <row r="128" spans="1:17" x14ac:dyDescent="0.2">
      <c r="A128" s="312">
        <v>3</v>
      </c>
      <c r="B128" s="423" t="s">
        <v>1426</v>
      </c>
      <c r="C128" s="424" t="s">
        <v>1427</v>
      </c>
      <c r="D128" s="347">
        <v>184095229</v>
      </c>
      <c r="E128" s="50"/>
      <c r="F128" s="347">
        <v>173228434</v>
      </c>
      <c r="G128" s="50"/>
      <c r="H128" s="347">
        <v>8758678</v>
      </c>
      <c r="I128" s="347"/>
      <c r="J128" s="50">
        <v>2108117</v>
      </c>
      <c r="K128" s="50">
        <v>1099197</v>
      </c>
      <c r="L128" s="347">
        <v>1008920</v>
      </c>
      <c r="M128" s="347"/>
      <c r="N128" s="347"/>
      <c r="O128" s="347"/>
      <c r="P128" s="347"/>
      <c r="Q128" s="347"/>
    </row>
    <row r="129" spans="1:17" x14ac:dyDescent="0.2">
      <c r="A129" s="312">
        <v>4</v>
      </c>
      <c r="B129" s="423" t="s">
        <v>1428</v>
      </c>
      <c r="C129" s="424" t="s">
        <v>1429</v>
      </c>
      <c r="D129" s="347">
        <v>5633644628</v>
      </c>
      <c r="E129" s="50"/>
      <c r="F129" s="347">
        <v>5284995196</v>
      </c>
      <c r="G129" s="50"/>
      <c r="H129" s="347">
        <v>239346091</v>
      </c>
      <c r="I129" s="347"/>
      <c r="J129" s="50">
        <v>109303340</v>
      </c>
      <c r="K129" s="50">
        <v>55444770</v>
      </c>
      <c r="L129" s="347">
        <v>53858570</v>
      </c>
      <c r="M129" s="347"/>
      <c r="N129" s="347"/>
      <c r="O129" s="347"/>
      <c r="P129" s="347"/>
      <c r="Q129" s="347"/>
    </row>
    <row r="130" spans="1:17" x14ac:dyDescent="0.2">
      <c r="A130" s="312">
        <v>5</v>
      </c>
      <c r="B130" s="426" t="s">
        <v>1430</v>
      </c>
      <c r="C130" s="427" t="s">
        <v>1431</v>
      </c>
      <c r="D130" s="347">
        <v>118259716</v>
      </c>
      <c r="E130" s="50"/>
      <c r="F130" s="347">
        <v>111279067</v>
      </c>
      <c r="G130" s="50"/>
      <c r="H130" s="347">
        <v>5626429</v>
      </c>
      <c r="I130" s="347"/>
      <c r="J130" s="50">
        <v>1354219</v>
      </c>
      <c r="K130" s="50">
        <v>706106</v>
      </c>
      <c r="L130" s="347">
        <v>648114</v>
      </c>
      <c r="M130" s="347"/>
      <c r="N130" s="347"/>
      <c r="O130" s="347"/>
      <c r="P130" s="347"/>
      <c r="Q130" s="347"/>
    </row>
    <row r="131" spans="1:17" x14ac:dyDescent="0.2">
      <c r="A131" s="312">
        <v>6</v>
      </c>
      <c r="B131" s="423" t="s">
        <v>1432</v>
      </c>
      <c r="C131" s="424" t="s">
        <v>1433</v>
      </c>
      <c r="D131" s="347">
        <v>49368841</v>
      </c>
      <c r="E131" s="50"/>
      <c r="F131" s="347">
        <v>46313551</v>
      </c>
      <c r="G131" s="50"/>
      <c r="H131" s="347">
        <v>2097441</v>
      </c>
      <c r="I131" s="347"/>
      <c r="J131" s="50">
        <v>957849</v>
      </c>
      <c r="K131" s="50">
        <v>485874</v>
      </c>
      <c r="L131" s="347">
        <v>471974</v>
      </c>
      <c r="M131" s="347"/>
      <c r="N131" s="347"/>
      <c r="O131" s="347"/>
      <c r="P131" s="347"/>
      <c r="Q131" s="347"/>
    </row>
    <row r="132" spans="1:17" x14ac:dyDescent="0.2">
      <c r="A132" s="312">
        <v>7</v>
      </c>
      <c r="B132" s="423" t="s">
        <v>1434</v>
      </c>
      <c r="C132" s="424" t="s">
        <v>1435</v>
      </c>
      <c r="D132" s="347">
        <v>1112756592</v>
      </c>
      <c r="E132" s="50"/>
      <c r="F132" s="347">
        <v>1044089407</v>
      </c>
      <c r="G132" s="50"/>
      <c r="H132" s="347">
        <v>47139679</v>
      </c>
      <c r="I132" s="347"/>
      <c r="J132" s="50">
        <v>21527506</v>
      </c>
      <c r="K132" s="50">
        <v>10919956</v>
      </c>
      <c r="L132" s="347">
        <v>10607550</v>
      </c>
      <c r="M132" s="347"/>
      <c r="N132" s="347"/>
      <c r="O132" s="347"/>
      <c r="P132" s="347"/>
      <c r="Q132" s="347"/>
    </row>
    <row r="133" spans="1:17" x14ac:dyDescent="0.2">
      <c r="A133" s="312">
        <v>8</v>
      </c>
      <c r="B133" s="423" t="s">
        <v>1436</v>
      </c>
      <c r="C133" s="424" t="s">
        <v>1437</v>
      </c>
      <c r="D133" s="347">
        <v>1317509651</v>
      </c>
      <c r="E133" s="50"/>
      <c r="F133" s="347">
        <v>1258772521</v>
      </c>
      <c r="G133" s="50"/>
      <c r="H133" s="347">
        <v>57404626</v>
      </c>
      <c r="I133" s="347"/>
      <c r="J133" s="50">
        <v>1332504</v>
      </c>
      <c r="K133" s="50">
        <v>1198502</v>
      </c>
      <c r="L133" s="347">
        <v>134002</v>
      </c>
      <c r="M133" s="347"/>
      <c r="N133" s="347"/>
      <c r="O133" s="347"/>
      <c r="P133" s="347"/>
      <c r="Q133" s="347"/>
    </row>
    <row r="134" spans="1:17" x14ac:dyDescent="0.2">
      <c r="A134" s="312">
        <v>9</v>
      </c>
      <c r="B134" s="423" t="s">
        <v>1438</v>
      </c>
      <c r="C134" s="424" t="s">
        <v>1439</v>
      </c>
      <c r="D134" s="347">
        <v>94477230</v>
      </c>
      <c r="E134" s="50"/>
      <c r="F134" s="347">
        <v>0</v>
      </c>
      <c r="G134" s="50"/>
      <c r="H134" s="347">
        <v>94477230</v>
      </c>
      <c r="I134" s="347"/>
      <c r="J134" s="50">
        <v>0</v>
      </c>
      <c r="K134" s="50">
        <v>0</v>
      </c>
      <c r="L134" s="347">
        <v>0</v>
      </c>
      <c r="M134" s="347"/>
      <c r="N134" s="347"/>
      <c r="O134" s="347"/>
      <c r="P134" s="347"/>
      <c r="Q134" s="347"/>
    </row>
    <row r="135" spans="1:17" x14ac:dyDescent="0.2">
      <c r="A135" s="312">
        <v>10</v>
      </c>
      <c r="B135" s="423" t="s">
        <v>1440</v>
      </c>
      <c r="C135" s="424" t="s">
        <v>1441</v>
      </c>
      <c r="D135" s="347">
        <v>102707660</v>
      </c>
      <c r="E135" s="50"/>
      <c r="F135" s="347">
        <v>8230429</v>
      </c>
      <c r="G135" s="50"/>
      <c r="H135" s="347">
        <v>94477230</v>
      </c>
      <c r="I135" s="347"/>
      <c r="J135" s="50">
        <v>0</v>
      </c>
      <c r="K135" s="50">
        <v>0</v>
      </c>
      <c r="L135" s="347">
        <v>0</v>
      </c>
      <c r="M135" s="347"/>
      <c r="N135" s="347"/>
      <c r="O135" s="347"/>
      <c r="P135" s="347"/>
      <c r="Q135" s="347"/>
    </row>
    <row r="136" spans="1:17" x14ac:dyDescent="0.2">
      <c r="A136" s="312">
        <v>11</v>
      </c>
      <c r="B136" s="423" t="s">
        <v>1442</v>
      </c>
      <c r="C136" s="424" t="s">
        <v>1443</v>
      </c>
      <c r="D136" s="347">
        <v>2293852460</v>
      </c>
      <c r="E136" s="50"/>
      <c r="F136" s="347">
        <v>2183621934</v>
      </c>
      <c r="G136" s="50"/>
      <c r="H136" s="347">
        <v>106702055</v>
      </c>
      <c r="I136" s="347"/>
      <c r="J136" s="50">
        <v>3528471</v>
      </c>
      <c r="K136" s="50">
        <v>3501619</v>
      </c>
      <c r="L136" s="347">
        <v>26852</v>
      </c>
      <c r="M136" s="347"/>
      <c r="N136" s="347"/>
      <c r="O136" s="347"/>
      <c r="P136" s="347"/>
      <c r="Q136" s="347"/>
    </row>
    <row r="137" spans="1:17" x14ac:dyDescent="0.2">
      <c r="A137" s="312">
        <v>12</v>
      </c>
      <c r="B137" s="423" t="s">
        <v>1444</v>
      </c>
      <c r="C137" s="424" t="s">
        <v>1445</v>
      </c>
      <c r="D137" s="347">
        <v>2187042871</v>
      </c>
      <c r="E137" s="50"/>
      <c r="F137" s="347">
        <v>2183514400</v>
      </c>
      <c r="G137" s="50"/>
      <c r="H137" s="347">
        <v>0</v>
      </c>
      <c r="I137" s="347"/>
      <c r="J137" s="50">
        <v>3528471</v>
      </c>
      <c r="K137" s="50">
        <v>3501619</v>
      </c>
      <c r="L137" s="347">
        <v>26852</v>
      </c>
      <c r="M137" s="347"/>
      <c r="N137" s="347"/>
      <c r="O137" s="347"/>
      <c r="P137" s="347"/>
      <c r="Q137" s="347"/>
    </row>
    <row r="138" spans="1:17" x14ac:dyDescent="0.2">
      <c r="A138" s="312">
        <v>13</v>
      </c>
      <c r="B138" s="423" t="s">
        <v>1446</v>
      </c>
      <c r="C138" s="424" t="s">
        <v>1447</v>
      </c>
      <c r="D138" s="347">
        <v>267920720</v>
      </c>
      <c r="E138" s="50"/>
      <c r="F138" s="347">
        <v>252556718</v>
      </c>
      <c r="G138" s="50"/>
      <c r="H138" s="347">
        <v>12383444</v>
      </c>
      <c r="I138" s="347"/>
      <c r="J138" s="50">
        <v>2980558</v>
      </c>
      <c r="K138" s="50">
        <v>1554098</v>
      </c>
      <c r="L138" s="347">
        <v>1426460</v>
      </c>
      <c r="M138" s="347"/>
      <c r="N138" s="347"/>
      <c r="O138" s="347"/>
      <c r="P138" s="347"/>
      <c r="Q138" s="347"/>
    </row>
    <row r="139" spans="1:17" x14ac:dyDescent="0.2">
      <c r="A139" s="312">
        <v>14</v>
      </c>
      <c r="B139" s="423" t="s">
        <v>1448</v>
      </c>
      <c r="C139" s="427" t="s">
        <v>1916</v>
      </c>
      <c r="D139" s="347">
        <v>144369</v>
      </c>
      <c r="E139" s="50"/>
      <c r="F139" s="347">
        <v>144369</v>
      </c>
      <c r="G139" s="50"/>
      <c r="H139" s="347">
        <v>0</v>
      </c>
      <c r="I139" s="347"/>
      <c r="J139" s="50">
        <v>0</v>
      </c>
      <c r="K139" s="50">
        <v>0</v>
      </c>
      <c r="L139" s="347">
        <v>0</v>
      </c>
      <c r="M139" s="347"/>
      <c r="N139" s="347"/>
      <c r="O139" s="347"/>
      <c r="P139" s="347"/>
      <c r="Q139" s="347"/>
    </row>
    <row r="140" spans="1:17" x14ac:dyDescent="0.2">
      <c r="A140" s="312">
        <v>15</v>
      </c>
      <c r="B140" s="423" t="s">
        <v>485</v>
      </c>
      <c r="C140" s="427" t="s">
        <v>1917</v>
      </c>
      <c r="D140" s="347">
        <v>112943498</v>
      </c>
      <c r="E140" s="50"/>
      <c r="F140" s="347">
        <v>105565478</v>
      </c>
      <c r="G140" s="50"/>
      <c r="H140" s="347">
        <v>5887867</v>
      </c>
      <c r="I140" s="347"/>
      <c r="J140" s="50">
        <v>1490153</v>
      </c>
      <c r="K140" s="50">
        <v>779709</v>
      </c>
      <c r="L140" s="347">
        <v>710444</v>
      </c>
      <c r="M140" s="347"/>
      <c r="N140" s="347"/>
      <c r="O140" s="347"/>
      <c r="P140" s="347"/>
      <c r="Q140" s="347"/>
    </row>
    <row r="141" spans="1:17" x14ac:dyDescent="0.2">
      <c r="A141" s="312">
        <v>16</v>
      </c>
      <c r="B141" s="423" t="s">
        <v>486</v>
      </c>
      <c r="C141" s="424" t="s">
        <v>487</v>
      </c>
      <c r="D141" s="347">
        <v>6795770061</v>
      </c>
      <c r="E141" s="50"/>
      <c r="F141" s="347">
        <v>6375398154</v>
      </c>
      <c r="G141" s="50"/>
      <c r="H141" s="347">
        <v>288583212</v>
      </c>
      <c r="I141" s="347"/>
      <c r="J141" s="50">
        <v>131788695</v>
      </c>
      <c r="K141" s="50">
        <v>66850601</v>
      </c>
      <c r="L141" s="347">
        <v>64938095</v>
      </c>
      <c r="M141" s="347"/>
      <c r="N141" s="347"/>
      <c r="O141" s="347"/>
      <c r="P141" s="347"/>
      <c r="Q141" s="347"/>
    </row>
    <row r="142" spans="1:17" x14ac:dyDescent="0.2">
      <c r="A142" s="312">
        <v>17</v>
      </c>
      <c r="B142" s="423" t="s">
        <v>912</v>
      </c>
      <c r="C142" s="424" t="s">
        <v>913</v>
      </c>
      <c r="D142" s="347">
        <v>6810849833</v>
      </c>
      <c r="E142" s="50"/>
      <c r="F142" s="347">
        <v>6385086589</v>
      </c>
      <c r="G142" s="50"/>
      <c r="H142" s="347">
        <v>291186869</v>
      </c>
      <c r="I142" s="347"/>
      <c r="J142" s="50">
        <v>134576376</v>
      </c>
      <c r="K142" s="50">
        <v>68264668</v>
      </c>
      <c r="L142" s="347">
        <v>66311708</v>
      </c>
      <c r="M142" s="347"/>
      <c r="N142" s="347"/>
      <c r="O142" s="347"/>
      <c r="P142" s="347"/>
      <c r="Q142" s="347"/>
    </row>
    <row r="143" spans="1:17" x14ac:dyDescent="0.2">
      <c r="A143" s="312">
        <v>18</v>
      </c>
      <c r="B143" s="423" t="s">
        <v>914</v>
      </c>
      <c r="C143" s="424" t="s">
        <v>915</v>
      </c>
      <c r="D143" s="347">
        <v>1420217310</v>
      </c>
      <c r="E143" s="50"/>
      <c r="F143" s="347">
        <v>1267002950</v>
      </c>
      <c r="G143" s="50"/>
      <c r="H143" s="347">
        <v>151881857</v>
      </c>
      <c r="I143" s="347"/>
      <c r="J143" s="50">
        <v>1332504</v>
      </c>
      <c r="K143" s="50">
        <v>1198502</v>
      </c>
      <c r="L143" s="347">
        <v>134002</v>
      </c>
      <c r="M143" s="347"/>
      <c r="N143" s="347"/>
      <c r="O143" s="347"/>
      <c r="P143" s="347"/>
      <c r="Q143" s="347"/>
    </row>
    <row r="144" spans="1:17" x14ac:dyDescent="0.2">
      <c r="A144" s="312">
        <v>19</v>
      </c>
      <c r="B144" s="423" t="s">
        <v>2135</v>
      </c>
      <c r="C144" s="424" t="s">
        <v>2136</v>
      </c>
      <c r="D144" s="347">
        <v>1418884807</v>
      </c>
      <c r="E144" s="50"/>
      <c r="F144" s="347">
        <v>1267002950</v>
      </c>
      <c r="G144" s="50"/>
      <c r="H144" s="347">
        <v>151881857</v>
      </c>
      <c r="I144" s="347"/>
      <c r="J144" s="50">
        <v>0</v>
      </c>
      <c r="K144" s="50">
        <v>0</v>
      </c>
      <c r="L144" s="347">
        <v>0</v>
      </c>
      <c r="M144" s="347"/>
      <c r="N144" s="347"/>
      <c r="O144" s="347"/>
      <c r="P144" s="347"/>
      <c r="Q144" s="347"/>
    </row>
    <row r="145" spans="1:17" x14ac:dyDescent="0.2">
      <c r="A145" s="312">
        <v>20</v>
      </c>
      <c r="B145" s="423" t="s">
        <v>916</v>
      </c>
      <c r="C145" s="427" t="s">
        <v>917</v>
      </c>
      <c r="D145" s="347">
        <v>61237949</v>
      </c>
      <c r="E145" s="50"/>
      <c r="F145" s="347">
        <v>56853080</v>
      </c>
      <c r="G145" s="50"/>
      <c r="H145" s="347">
        <v>3678683</v>
      </c>
      <c r="I145" s="347"/>
      <c r="J145" s="50">
        <v>706186</v>
      </c>
      <c r="K145" s="50">
        <v>365995</v>
      </c>
      <c r="L145" s="347">
        <v>340190</v>
      </c>
      <c r="M145" s="347"/>
      <c r="N145" s="347"/>
      <c r="O145" s="347"/>
      <c r="P145" s="347"/>
      <c r="Q145" s="347"/>
    </row>
    <row r="146" spans="1:17" x14ac:dyDescent="0.2">
      <c r="A146" s="320">
        <v>21</v>
      </c>
      <c r="B146" s="423" t="s">
        <v>918</v>
      </c>
      <c r="C146" s="427" t="s">
        <v>1918</v>
      </c>
      <c r="D146" s="347">
        <v>14413613</v>
      </c>
      <c r="E146" s="50"/>
      <c r="F146" s="347">
        <v>13504024</v>
      </c>
      <c r="G146" s="50"/>
      <c r="H146" s="347">
        <v>728268</v>
      </c>
      <c r="I146" s="347"/>
      <c r="J146" s="50">
        <v>181321</v>
      </c>
      <c r="K146" s="50">
        <v>94768</v>
      </c>
      <c r="L146" s="347">
        <v>86553</v>
      </c>
      <c r="M146" s="347"/>
      <c r="N146" s="347"/>
      <c r="O146" s="347"/>
      <c r="P146" s="347"/>
      <c r="Q146" s="347"/>
    </row>
    <row r="147" spans="1:17" x14ac:dyDescent="0.2">
      <c r="A147" s="313">
        <v>22</v>
      </c>
      <c r="B147" s="307" t="s">
        <v>919</v>
      </c>
      <c r="C147" s="428" t="s">
        <v>1919</v>
      </c>
      <c r="D147" s="370">
        <v>1606634809</v>
      </c>
      <c r="E147" s="71"/>
      <c r="F147" s="370">
        <v>1606634809</v>
      </c>
      <c r="G147" s="377"/>
      <c r="H147" s="377">
        <v>0</v>
      </c>
      <c r="I147" s="370"/>
      <c r="J147" s="71">
        <v>0</v>
      </c>
      <c r="K147" s="71">
        <v>0</v>
      </c>
      <c r="L147" s="377">
        <v>0</v>
      </c>
      <c r="M147" s="377"/>
      <c r="N147" s="370"/>
      <c r="O147" s="377"/>
      <c r="P147" s="377"/>
      <c r="Q147" s="377"/>
    </row>
    <row r="148" spans="1:17" x14ac:dyDescent="0.2">
      <c r="A148" s="312">
        <v>23</v>
      </c>
      <c r="B148" s="423" t="s">
        <v>920</v>
      </c>
      <c r="C148" s="424" t="s">
        <v>2471</v>
      </c>
      <c r="D148" s="347">
        <v>2593463</v>
      </c>
      <c r="E148" s="50"/>
      <c r="F148" s="375">
        <v>0</v>
      </c>
      <c r="G148" s="375"/>
      <c r="H148" s="375">
        <v>0</v>
      </c>
      <c r="I148" s="347"/>
      <c r="J148" s="50">
        <v>2593463</v>
      </c>
      <c r="K148" s="50">
        <v>1315550</v>
      </c>
      <c r="L148" s="375">
        <v>1277914</v>
      </c>
      <c r="M148" s="375"/>
      <c r="N148" s="347"/>
      <c r="O148" s="347"/>
      <c r="P148" s="347"/>
      <c r="Q148" s="347"/>
    </row>
    <row r="149" spans="1:17" x14ac:dyDescent="0.2">
      <c r="A149" s="312">
        <v>24</v>
      </c>
      <c r="B149" s="423" t="s">
        <v>921</v>
      </c>
      <c r="C149" s="424" t="s">
        <v>922</v>
      </c>
      <c r="D149" s="347">
        <v>0</v>
      </c>
      <c r="E149" s="50"/>
      <c r="F149" s="375">
        <v>0</v>
      </c>
      <c r="G149" s="375"/>
      <c r="H149" s="375">
        <v>0</v>
      </c>
      <c r="I149" s="347"/>
      <c r="J149" s="50">
        <v>0</v>
      </c>
      <c r="K149" s="50">
        <v>0</v>
      </c>
      <c r="L149" s="375">
        <v>0</v>
      </c>
      <c r="M149" s="375"/>
      <c r="N149" s="347"/>
      <c r="O149" s="347"/>
      <c r="P149" s="347"/>
      <c r="Q149" s="347"/>
    </row>
    <row r="150" spans="1:17" x14ac:dyDescent="0.2">
      <c r="A150" s="312">
        <v>25</v>
      </c>
      <c r="B150" s="423" t="s">
        <v>923</v>
      </c>
      <c r="C150" s="424" t="s">
        <v>1762</v>
      </c>
      <c r="D150" s="347">
        <v>60144</v>
      </c>
      <c r="E150" s="50"/>
      <c r="F150" s="375">
        <v>0</v>
      </c>
      <c r="G150" s="375"/>
      <c r="H150" s="375">
        <v>0</v>
      </c>
      <c r="I150" s="347"/>
      <c r="J150" s="50">
        <v>60144</v>
      </c>
      <c r="K150" s="50">
        <v>30508</v>
      </c>
      <c r="L150" s="375">
        <v>29636</v>
      </c>
      <c r="M150" s="375"/>
      <c r="N150" s="347"/>
      <c r="O150" s="347"/>
      <c r="P150" s="347"/>
      <c r="Q150" s="347"/>
    </row>
    <row r="151" spans="1:17" x14ac:dyDescent="0.2">
      <c r="A151" s="312">
        <v>26</v>
      </c>
      <c r="B151" s="423" t="s">
        <v>924</v>
      </c>
      <c r="C151" s="424" t="s">
        <v>1763</v>
      </c>
      <c r="D151" s="347">
        <v>261</v>
      </c>
      <c r="E151" s="50"/>
      <c r="F151" s="375">
        <v>0</v>
      </c>
      <c r="G151" s="375"/>
      <c r="H151" s="375">
        <v>0</v>
      </c>
      <c r="I151" s="347"/>
      <c r="J151" s="50">
        <v>261</v>
      </c>
      <c r="K151" s="50">
        <v>132</v>
      </c>
      <c r="L151" s="375">
        <v>129</v>
      </c>
      <c r="M151" s="375"/>
      <c r="N151" s="347"/>
      <c r="O151" s="347"/>
      <c r="P151" s="347"/>
      <c r="Q151" s="347"/>
    </row>
    <row r="152" spans="1:17" x14ac:dyDescent="0.2">
      <c r="A152" s="312">
        <v>27</v>
      </c>
      <c r="B152" s="423" t="s">
        <v>925</v>
      </c>
      <c r="C152" s="424" t="s">
        <v>926</v>
      </c>
      <c r="D152" s="347">
        <v>1317509651</v>
      </c>
      <c r="E152" s="50"/>
      <c r="F152" s="347">
        <v>1258772521</v>
      </c>
      <c r="G152" s="50"/>
      <c r="H152" s="347">
        <v>57404626</v>
      </c>
      <c r="I152" s="347"/>
      <c r="J152" s="50">
        <v>1332504</v>
      </c>
      <c r="K152" s="50">
        <v>1198502</v>
      </c>
      <c r="L152" s="347">
        <v>134002</v>
      </c>
      <c r="M152" s="347"/>
      <c r="N152" s="347"/>
      <c r="O152" s="347"/>
      <c r="P152" s="347"/>
      <c r="Q152" s="347"/>
    </row>
    <row r="153" spans="1:17" x14ac:dyDescent="0.2">
      <c r="A153" s="312">
        <v>28</v>
      </c>
      <c r="B153" s="423" t="s">
        <v>1344</v>
      </c>
      <c r="C153" s="424" t="s">
        <v>1345</v>
      </c>
      <c r="D153" s="347">
        <v>102707660</v>
      </c>
      <c r="E153" s="50"/>
      <c r="F153" s="347">
        <v>8230429</v>
      </c>
      <c r="G153" s="50"/>
      <c r="H153" s="347">
        <v>94477230</v>
      </c>
      <c r="I153" s="347"/>
      <c r="J153" s="50">
        <v>0</v>
      </c>
      <c r="K153" s="50">
        <v>0</v>
      </c>
      <c r="L153" s="347">
        <v>0</v>
      </c>
      <c r="M153" s="347"/>
      <c r="N153" s="347"/>
      <c r="O153" s="347"/>
      <c r="P153" s="347"/>
      <c r="Q153" s="347"/>
    </row>
    <row r="154" spans="1:17" x14ac:dyDescent="0.2">
      <c r="A154" s="312">
        <v>29</v>
      </c>
      <c r="B154" s="423" t="s">
        <v>1346</v>
      </c>
      <c r="C154" s="427" t="s">
        <v>1920</v>
      </c>
      <c r="D154" s="347">
        <v>987129300</v>
      </c>
      <c r="E154" s="50"/>
      <c r="F154" s="347">
        <v>921791437</v>
      </c>
      <c r="G154" s="50"/>
      <c r="H154" s="347">
        <v>65337864</v>
      </c>
      <c r="I154" s="347"/>
      <c r="J154" s="50">
        <v>0</v>
      </c>
      <c r="K154" s="50">
        <v>0</v>
      </c>
      <c r="L154" s="347">
        <v>0</v>
      </c>
      <c r="M154" s="347"/>
      <c r="N154" s="347"/>
      <c r="O154" s="347"/>
      <c r="P154" s="347"/>
      <c r="Q154" s="347"/>
    </row>
    <row r="155" spans="1:17" x14ac:dyDescent="0.2">
      <c r="A155" s="312">
        <v>30</v>
      </c>
      <c r="B155" s="423" t="s">
        <v>1347</v>
      </c>
      <c r="C155" s="424" t="s">
        <v>1348</v>
      </c>
      <c r="D155" s="347">
        <v>10907444068</v>
      </c>
      <c r="E155" s="50"/>
      <c r="F155" s="347">
        <v>10194926070</v>
      </c>
      <c r="G155" s="50"/>
      <c r="H155" s="347">
        <v>568609349</v>
      </c>
      <c r="I155" s="347"/>
      <c r="J155" s="50">
        <v>143908648</v>
      </c>
      <c r="K155" s="50">
        <v>75298903</v>
      </c>
      <c r="L155" s="347">
        <v>68609745</v>
      </c>
      <c r="M155" s="347"/>
      <c r="N155" s="347"/>
      <c r="O155" s="347"/>
      <c r="P155" s="347"/>
      <c r="Q155" s="347"/>
    </row>
    <row r="156" spans="1:17" x14ac:dyDescent="0.2">
      <c r="A156" s="312">
        <v>31</v>
      </c>
      <c r="B156" s="423" t="s">
        <v>1349</v>
      </c>
      <c r="C156" s="424" t="s">
        <v>1350</v>
      </c>
      <c r="D156" s="347">
        <v>10194926070</v>
      </c>
      <c r="E156" s="50"/>
      <c r="F156" s="347">
        <v>10194926070</v>
      </c>
      <c r="G156" s="375"/>
      <c r="H156" s="375">
        <v>0</v>
      </c>
      <c r="I156" s="347"/>
      <c r="J156" s="50">
        <v>0</v>
      </c>
      <c r="K156" s="50">
        <v>0</v>
      </c>
      <c r="L156" s="375">
        <v>0</v>
      </c>
      <c r="M156" s="375"/>
      <c r="N156" s="347"/>
      <c r="O156" s="375"/>
      <c r="P156" s="375"/>
      <c r="Q156" s="375"/>
    </row>
    <row r="157" spans="1:17" x14ac:dyDescent="0.2">
      <c r="A157" s="312">
        <v>32</v>
      </c>
      <c r="B157" s="423" t="s">
        <v>1351</v>
      </c>
      <c r="C157" s="424" t="s">
        <v>1352</v>
      </c>
      <c r="D157" s="347">
        <v>10338834718</v>
      </c>
      <c r="E157" s="50"/>
      <c r="F157" s="347">
        <v>10194926070</v>
      </c>
      <c r="G157" s="375"/>
      <c r="H157" s="375">
        <v>0</v>
      </c>
      <c r="I157" s="347"/>
      <c r="J157" s="50">
        <v>143908648</v>
      </c>
      <c r="K157" s="50">
        <v>75298903</v>
      </c>
      <c r="L157" s="375">
        <v>68609745</v>
      </c>
      <c r="M157" s="375"/>
      <c r="N157" s="347"/>
      <c r="O157" s="347"/>
      <c r="P157" s="347"/>
      <c r="Q157" s="347"/>
    </row>
    <row r="158" spans="1:17" x14ac:dyDescent="0.2">
      <c r="A158" s="312">
        <v>33</v>
      </c>
      <c r="B158" s="423" t="s">
        <v>1353</v>
      </c>
      <c r="C158" s="424" t="s">
        <v>1354</v>
      </c>
      <c r="D158" s="347">
        <v>568609349</v>
      </c>
      <c r="E158" s="50"/>
      <c r="F158" s="375">
        <v>0</v>
      </c>
      <c r="G158" s="375"/>
      <c r="H158" s="347">
        <v>568609349</v>
      </c>
      <c r="I158" s="347"/>
      <c r="J158" s="50">
        <v>0</v>
      </c>
      <c r="K158" s="50">
        <v>0</v>
      </c>
      <c r="L158" s="375">
        <v>0</v>
      </c>
      <c r="M158" s="347"/>
      <c r="N158" s="347"/>
      <c r="O158" s="375"/>
      <c r="P158" s="375"/>
      <c r="Q158" s="375"/>
    </row>
    <row r="159" spans="1:17" x14ac:dyDescent="0.2">
      <c r="A159" s="312">
        <v>34</v>
      </c>
      <c r="B159" s="423" t="s">
        <v>1355</v>
      </c>
      <c r="C159" s="424" t="s">
        <v>1356</v>
      </c>
      <c r="D159" s="347">
        <v>5647302128</v>
      </c>
      <c r="E159" s="50"/>
      <c r="F159" s="347">
        <v>5293534982</v>
      </c>
      <c r="G159" s="50"/>
      <c r="H159" s="347">
        <v>241936163</v>
      </c>
      <c r="I159" s="347"/>
      <c r="J159" s="50">
        <v>111830983</v>
      </c>
      <c r="K159" s="50">
        <v>56726932</v>
      </c>
      <c r="L159" s="347">
        <v>55104051</v>
      </c>
      <c r="M159" s="347"/>
      <c r="N159" s="347"/>
      <c r="O159" s="347"/>
      <c r="P159" s="347"/>
      <c r="Q159" s="347"/>
    </row>
    <row r="160" spans="1:17" x14ac:dyDescent="0.2">
      <c r="A160" s="312">
        <v>35</v>
      </c>
      <c r="B160" s="423" t="s">
        <v>1357</v>
      </c>
      <c r="C160" s="424" t="s">
        <v>1358</v>
      </c>
      <c r="D160" s="347">
        <v>49393380</v>
      </c>
      <c r="E160" s="50"/>
      <c r="F160" s="347">
        <v>46332385</v>
      </c>
      <c r="G160" s="50"/>
      <c r="H160" s="347">
        <v>2097571</v>
      </c>
      <c r="I160" s="347"/>
      <c r="J160" s="50">
        <v>963423</v>
      </c>
      <c r="K160" s="50">
        <v>488702</v>
      </c>
      <c r="L160" s="347">
        <v>474721</v>
      </c>
      <c r="M160" s="347"/>
      <c r="N160" s="347"/>
      <c r="O160" s="347"/>
      <c r="P160" s="347"/>
      <c r="Q160" s="347"/>
    </row>
    <row r="161" spans="1:17" x14ac:dyDescent="0.2">
      <c r="A161" s="312">
        <v>36</v>
      </c>
      <c r="B161" s="423" t="s">
        <v>1359</v>
      </c>
      <c r="C161" s="424" t="s">
        <v>1360</v>
      </c>
      <c r="D161" s="347">
        <v>1113844785</v>
      </c>
      <c r="E161" s="50"/>
      <c r="F161" s="347">
        <v>1044928837</v>
      </c>
      <c r="G161" s="50"/>
      <c r="H161" s="347">
        <v>47139984</v>
      </c>
      <c r="I161" s="347"/>
      <c r="J161" s="50">
        <v>21775964</v>
      </c>
      <c r="K161" s="50">
        <v>11045987</v>
      </c>
      <c r="L161" s="347">
        <v>10729977</v>
      </c>
      <c r="M161" s="347"/>
      <c r="N161" s="347"/>
      <c r="O161" s="347"/>
      <c r="P161" s="347"/>
      <c r="Q161" s="347"/>
    </row>
    <row r="162" spans="1:17" x14ac:dyDescent="0.2">
      <c r="A162" s="312">
        <v>37</v>
      </c>
      <c r="B162" s="423" t="s">
        <v>858</v>
      </c>
      <c r="C162" s="427" t="s">
        <v>1921</v>
      </c>
      <c r="D162" s="347">
        <v>355388706</v>
      </c>
      <c r="E162" s="50"/>
      <c r="F162" s="347">
        <v>341731105</v>
      </c>
      <c r="G162" s="50"/>
      <c r="H162" s="347">
        <v>10176438</v>
      </c>
      <c r="I162" s="347"/>
      <c r="J162" s="50">
        <v>3481163</v>
      </c>
      <c r="K162" s="50">
        <v>3481163</v>
      </c>
      <c r="L162" s="347">
        <v>0</v>
      </c>
      <c r="M162" s="347"/>
      <c r="N162" s="347"/>
      <c r="O162" s="347"/>
      <c r="P162" s="347"/>
      <c r="Q162" s="347"/>
    </row>
    <row r="163" spans="1:17" x14ac:dyDescent="0.2">
      <c r="A163" s="312">
        <v>38</v>
      </c>
      <c r="B163" s="423" t="s">
        <v>859</v>
      </c>
      <c r="C163" s="427" t="s">
        <v>1922</v>
      </c>
      <c r="D163" s="347">
        <v>253074205</v>
      </c>
      <c r="E163" s="50"/>
      <c r="F163" s="347">
        <v>247685954</v>
      </c>
      <c r="G163" s="50"/>
      <c r="H163" s="347">
        <v>5388250</v>
      </c>
      <c r="I163" s="347"/>
      <c r="J163" s="50">
        <v>0</v>
      </c>
      <c r="K163" s="50">
        <v>0</v>
      </c>
      <c r="L163" s="347">
        <v>0</v>
      </c>
      <c r="M163" s="347"/>
      <c r="N163" s="347"/>
      <c r="O163" s="347"/>
      <c r="P163" s="347"/>
      <c r="Q163" s="347"/>
    </row>
    <row r="164" spans="1:17" x14ac:dyDescent="0.2">
      <c r="A164" s="312">
        <v>39</v>
      </c>
      <c r="B164" s="423" t="s">
        <v>860</v>
      </c>
      <c r="C164" s="427" t="s">
        <v>1923</v>
      </c>
      <c r="D164" s="347">
        <v>147331333</v>
      </c>
      <c r="E164" s="50"/>
      <c r="F164" s="347">
        <v>143087299</v>
      </c>
      <c r="G164" s="50"/>
      <c r="H164" s="347">
        <v>4244034</v>
      </c>
      <c r="I164" s="347"/>
      <c r="J164" s="50">
        <v>0</v>
      </c>
      <c r="K164" s="50">
        <v>0</v>
      </c>
      <c r="L164" s="347">
        <v>0</v>
      </c>
      <c r="M164" s="347"/>
      <c r="N164" s="347"/>
      <c r="O164" s="347"/>
      <c r="P164" s="347"/>
      <c r="Q164" s="347"/>
    </row>
    <row r="165" spans="1:17" x14ac:dyDescent="0.2">
      <c r="A165" s="312">
        <v>40</v>
      </c>
      <c r="B165" s="423" t="s">
        <v>861</v>
      </c>
      <c r="C165" s="427" t="s">
        <v>1924</v>
      </c>
      <c r="D165" s="347">
        <v>81388221</v>
      </c>
      <c r="E165" s="50"/>
      <c r="F165" s="347">
        <v>77153432</v>
      </c>
      <c r="G165" s="50"/>
      <c r="H165" s="347">
        <v>4187481</v>
      </c>
      <c r="I165" s="347"/>
      <c r="J165" s="50">
        <v>47308</v>
      </c>
      <c r="K165" s="50">
        <v>20456</v>
      </c>
      <c r="L165" s="347">
        <v>26852</v>
      </c>
      <c r="M165" s="347"/>
      <c r="N165" s="347"/>
      <c r="O165" s="347"/>
      <c r="P165" s="347"/>
      <c r="Q165" s="347"/>
    </row>
    <row r="166" spans="1:17" x14ac:dyDescent="0.2">
      <c r="A166" s="312">
        <v>41</v>
      </c>
      <c r="B166" s="423" t="s">
        <v>862</v>
      </c>
      <c r="C166" s="427" t="s">
        <v>1925</v>
      </c>
      <c r="D166" s="347">
        <v>159234</v>
      </c>
      <c r="E166" s="50"/>
      <c r="F166" s="347">
        <v>159234</v>
      </c>
      <c r="G166" s="50"/>
      <c r="H166" s="347">
        <v>0</v>
      </c>
      <c r="I166" s="347"/>
      <c r="J166" s="50">
        <v>0</v>
      </c>
      <c r="K166" s="50">
        <v>0</v>
      </c>
      <c r="L166" s="347">
        <v>0</v>
      </c>
      <c r="M166" s="347"/>
      <c r="N166" s="347"/>
      <c r="O166" s="347"/>
      <c r="P166" s="347"/>
      <c r="Q166" s="347"/>
    </row>
    <row r="167" spans="1:17" x14ac:dyDescent="0.2">
      <c r="A167" s="312">
        <v>42</v>
      </c>
      <c r="B167" s="423" t="s">
        <v>863</v>
      </c>
      <c r="C167" s="427" t="s">
        <v>1926</v>
      </c>
      <c r="D167" s="347">
        <v>337620039</v>
      </c>
      <c r="E167" s="50"/>
      <c r="F167" s="347">
        <v>326558524</v>
      </c>
      <c r="G167" s="50"/>
      <c r="H167" s="347">
        <v>11061515</v>
      </c>
      <c r="I167" s="347"/>
      <c r="J167" s="50">
        <v>0</v>
      </c>
      <c r="K167" s="50">
        <v>0</v>
      </c>
      <c r="L167" s="347">
        <v>0</v>
      </c>
      <c r="M167" s="347"/>
      <c r="N167" s="347"/>
      <c r="O167" s="347"/>
      <c r="P167" s="347"/>
      <c r="Q167" s="347"/>
    </row>
    <row r="168" spans="1:17" x14ac:dyDescent="0.2">
      <c r="A168" s="312">
        <v>43</v>
      </c>
      <c r="B168" s="423" t="s">
        <v>864</v>
      </c>
      <c r="C168" s="427" t="s">
        <v>1927</v>
      </c>
      <c r="D168" s="347">
        <v>37892980</v>
      </c>
      <c r="E168" s="50"/>
      <c r="F168" s="347">
        <v>36035833</v>
      </c>
      <c r="G168" s="50"/>
      <c r="H168" s="347">
        <v>1841877</v>
      </c>
      <c r="I168" s="347"/>
      <c r="J168" s="50">
        <v>15270</v>
      </c>
      <c r="K168" s="50">
        <v>6108</v>
      </c>
      <c r="L168" s="347">
        <v>9162</v>
      </c>
      <c r="M168" s="347"/>
      <c r="N168" s="347"/>
      <c r="O168" s="347"/>
      <c r="P168" s="347"/>
      <c r="Q168" s="347"/>
    </row>
    <row r="169" spans="1:17" x14ac:dyDescent="0.2">
      <c r="A169" s="312">
        <v>44</v>
      </c>
      <c r="B169" s="423" t="s">
        <v>865</v>
      </c>
      <c r="C169" s="427" t="s">
        <v>1928</v>
      </c>
      <c r="D169" s="347">
        <v>10959826</v>
      </c>
      <c r="E169" s="50"/>
      <c r="F169" s="347">
        <v>10870488</v>
      </c>
      <c r="G169" s="50"/>
      <c r="H169" s="347">
        <v>89338</v>
      </c>
      <c r="I169" s="347"/>
      <c r="J169" s="50">
        <v>0</v>
      </c>
      <c r="K169" s="50">
        <v>0</v>
      </c>
      <c r="L169" s="347">
        <v>0</v>
      </c>
      <c r="M169" s="347"/>
      <c r="N169" s="347"/>
      <c r="O169" s="347"/>
      <c r="P169" s="347"/>
      <c r="Q169" s="347"/>
    </row>
    <row r="170" spans="1:17" x14ac:dyDescent="0.2">
      <c r="A170" s="312">
        <v>45</v>
      </c>
      <c r="B170" s="423" t="s">
        <v>866</v>
      </c>
      <c r="C170" s="424" t="s">
        <v>867</v>
      </c>
      <c r="D170" s="347">
        <v>3714069770</v>
      </c>
      <c r="E170" s="50"/>
      <c r="F170" s="347">
        <v>3450624884</v>
      </c>
      <c r="G170" s="50"/>
      <c r="H170" s="347">
        <v>258583911</v>
      </c>
      <c r="I170" s="347"/>
      <c r="J170" s="50">
        <v>4860975</v>
      </c>
      <c r="K170" s="50">
        <v>4700121</v>
      </c>
      <c r="L170" s="347">
        <v>160854</v>
      </c>
      <c r="M170" s="347"/>
      <c r="N170" s="347"/>
      <c r="O170" s="347"/>
      <c r="P170" s="347"/>
      <c r="Q170" s="347"/>
    </row>
    <row r="171" spans="1:17" x14ac:dyDescent="0.2">
      <c r="A171" s="45"/>
      <c r="B171" s="45"/>
      <c r="C171" s="311"/>
      <c r="D171" s="45"/>
      <c r="E171" s="45"/>
      <c r="F171" s="45"/>
      <c r="G171" s="45"/>
      <c r="H171" s="45"/>
      <c r="I171" s="45"/>
      <c r="J171" s="45"/>
      <c r="K171" s="45"/>
      <c r="L171" s="45"/>
      <c r="M171" s="45"/>
      <c r="N171" s="45"/>
      <c r="O171" s="45"/>
      <c r="P171" s="45"/>
      <c r="Q171" s="45"/>
    </row>
    <row r="172" spans="1:17" x14ac:dyDescent="0.2">
      <c r="A172" s="45"/>
      <c r="B172" s="431" t="s">
        <v>868</v>
      </c>
      <c r="C172" s="311"/>
      <c r="D172" s="45"/>
      <c r="E172" s="45"/>
      <c r="F172" s="45"/>
      <c r="G172" s="45"/>
      <c r="H172" s="45"/>
      <c r="I172" s="45"/>
      <c r="J172" s="45"/>
      <c r="K172" s="45"/>
      <c r="L172" s="45"/>
      <c r="M172" s="45"/>
      <c r="N172" s="45"/>
      <c r="O172" s="45"/>
      <c r="P172" s="45"/>
      <c r="Q172" s="45"/>
    </row>
    <row r="173" spans="1:17" x14ac:dyDescent="0.2">
      <c r="A173" s="45"/>
      <c r="B173" s="430" t="s">
        <v>1267</v>
      </c>
      <c r="C173" s="311"/>
      <c r="D173" s="45"/>
      <c r="E173" s="45"/>
      <c r="F173" s="45"/>
      <c r="G173" s="45"/>
      <c r="H173" s="45"/>
      <c r="I173" s="45"/>
      <c r="J173" s="45"/>
      <c r="K173" s="45"/>
      <c r="L173" s="45"/>
      <c r="M173" s="45"/>
      <c r="N173" s="45"/>
      <c r="O173" s="45"/>
      <c r="P173" s="45"/>
      <c r="Q173" s="45"/>
    </row>
    <row r="174" spans="1:17" x14ac:dyDescent="0.2">
      <c r="A174" s="312">
        <v>1</v>
      </c>
      <c r="B174" s="423" t="s">
        <v>869</v>
      </c>
      <c r="C174" s="427" t="s">
        <v>1929</v>
      </c>
      <c r="D174" s="347">
        <v>1223256</v>
      </c>
      <c r="E174" s="50"/>
      <c r="F174" s="347">
        <v>1162136</v>
      </c>
      <c r="G174" s="50"/>
      <c r="H174" s="347">
        <v>61120</v>
      </c>
      <c r="I174" s="347"/>
      <c r="J174" s="50">
        <v>0</v>
      </c>
      <c r="K174" s="50">
        <v>0</v>
      </c>
      <c r="L174" s="347">
        <v>0</v>
      </c>
      <c r="M174" s="347"/>
      <c r="N174" s="347"/>
      <c r="O174" s="347"/>
      <c r="P174" s="347"/>
      <c r="Q174" s="347"/>
    </row>
    <row r="175" spans="1:17" x14ac:dyDescent="0.2">
      <c r="A175" s="312">
        <v>2</v>
      </c>
      <c r="B175" s="423" t="s">
        <v>870</v>
      </c>
      <c r="C175" s="424" t="s">
        <v>871</v>
      </c>
      <c r="D175" s="347">
        <v>24197154</v>
      </c>
      <c r="E175" s="50"/>
      <c r="F175" s="375">
        <v>0</v>
      </c>
      <c r="G175" s="375"/>
      <c r="H175" s="375">
        <v>0</v>
      </c>
      <c r="I175" s="347"/>
      <c r="J175" s="50">
        <v>24197154</v>
      </c>
      <c r="K175" s="50">
        <v>12350192</v>
      </c>
      <c r="L175" s="375">
        <v>11846962</v>
      </c>
      <c r="M175" s="375"/>
      <c r="N175" s="347"/>
      <c r="O175" s="347"/>
      <c r="P175" s="347"/>
      <c r="Q175" s="347"/>
    </row>
    <row r="176" spans="1:17" x14ac:dyDescent="0.2">
      <c r="A176" s="310">
        <v>3</v>
      </c>
      <c r="B176" s="307" t="s">
        <v>872</v>
      </c>
      <c r="C176" s="422" t="s">
        <v>873</v>
      </c>
      <c r="D176" s="370">
        <v>76228081</v>
      </c>
      <c r="E176" s="71"/>
      <c r="F176" s="377">
        <v>0</v>
      </c>
      <c r="G176" s="377"/>
      <c r="H176" s="370">
        <v>76228081</v>
      </c>
      <c r="I176" s="370"/>
      <c r="J176" s="71">
        <v>0</v>
      </c>
      <c r="K176" s="71">
        <v>0</v>
      </c>
      <c r="L176" s="377">
        <v>0</v>
      </c>
      <c r="M176" s="370"/>
      <c r="N176" s="370"/>
      <c r="O176" s="377"/>
      <c r="P176" s="377"/>
      <c r="Q176" s="377"/>
    </row>
    <row r="177" spans="1:17" x14ac:dyDescent="0.2">
      <c r="A177" s="310">
        <v>4</v>
      </c>
      <c r="B177" s="307" t="s">
        <v>874</v>
      </c>
      <c r="C177" s="422" t="s">
        <v>875</v>
      </c>
      <c r="D177" s="370">
        <v>1707060044</v>
      </c>
      <c r="E177" s="71"/>
      <c r="F177" s="370">
        <v>1606634809</v>
      </c>
      <c r="G177" s="71"/>
      <c r="H177" s="370">
        <v>76228081</v>
      </c>
      <c r="I177" s="370"/>
      <c r="J177" s="71">
        <v>24197154</v>
      </c>
      <c r="K177" s="71">
        <v>12350192</v>
      </c>
      <c r="L177" s="370">
        <v>11846962</v>
      </c>
      <c r="M177" s="370"/>
      <c r="N177" s="370"/>
      <c r="O177" s="370"/>
      <c r="P177" s="370"/>
      <c r="Q177" s="370"/>
    </row>
    <row r="178" spans="1:17" x14ac:dyDescent="0.2">
      <c r="A178" s="310">
        <v>5</v>
      </c>
      <c r="B178" s="307" t="s">
        <v>876</v>
      </c>
      <c r="C178" s="422" t="s">
        <v>877</v>
      </c>
      <c r="D178" s="370">
        <v>1</v>
      </c>
      <c r="E178" s="71"/>
      <c r="F178" s="377">
        <v>0</v>
      </c>
      <c r="G178" s="377"/>
      <c r="H178" s="377">
        <v>1</v>
      </c>
      <c r="I178" s="370"/>
      <c r="J178" s="71">
        <v>0</v>
      </c>
      <c r="K178" s="71">
        <v>0</v>
      </c>
      <c r="L178" s="377">
        <v>0</v>
      </c>
      <c r="M178" s="377"/>
      <c r="N178" s="370"/>
      <c r="O178" s="377"/>
      <c r="P178" s="377"/>
      <c r="Q178" s="377"/>
    </row>
    <row r="179" spans="1:17" x14ac:dyDescent="0.2">
      <c r="A179" s="310">
        <v>6</v>
      </c>
      <c r="B179" s="307" t="s">
        <v>878</v>
      </c>
      <c r="C179" s="422" t="s">
        <v>879</v>
      </c>
      <c r="D179" s="370">
        <v>1682862890</v>
      </c>
      <c r="E179" s="71"/>
      <c r="F179" s="370">
        <v>1606634809</v>
      </c>
      <c r="G179" s="71"/>
      <c r="H179" s="370">
        <v>76228081</v>
      </c>
      <c r="I179" s="370"/>
      <c r="J179" s="71">
        <v>0</v>
      </c>
      <c r="K179" s="71">
        <v>0</v>
      </c>
      <c r="L179" s="370">
        <v>0</v>
      </c>
      <c r="M179" s="370"/>
      <c r="N179" s="370"/>
      <c r="O179" s="377"/>
      <c r="P179" s="377"/>
      <c r="Q179" s="377"/>
    </row>
    <row r="180" spans="1:17" x14ac:dyDescent="0.2">
      <c r="A180" s="312">
        <v>7</v>
      </c>
      <c r="B180" s="423" t="s">
        <v>927</v>
      </c>
      <c r="C180" s="424" t="s">
        <v>928</v>
      </c>
      <c r="D180" s="347">
        <v>2187042871</v>
      </c>
      <c r="E180" s="50"/>
      <c r="F180" s="347">
        <v>2183514400</v>
      </c>
      <c r="G180" s="50"/>
      <c r="H180" s="347">
        <v>0</v>
      </c>
      <c r="I180" s="347"/>
      <c r="J180" s="50">
        <v>3528471</v>
      </c>
      <c r="K180" s="50">
        <v>3501619</v>
      </c>
      <c r="L180" s="347">
        <v>26852</v>
      </c>
      <c r="M180" s="347"/>
      <c r="N180" s="347"/>
      <c r="O180" s="347"/>
      <c r="P180" s="347"/>
      <c r="Q180" s="347"/>
    </row>
    <row r="181" spans="1:17" x14ac:dyDescent="0.2">
      <c r="A181" s="312">
        <v>8</v>
      </c>
      <c r="B181" s="423" t="s">
        <v>27</v>
      </c>
      <c r="C181" s="424" t="s">
        <v>28</v>
      </c>
      <c r="D181" s="347">
        <v>106702055</v>
      </c>
      <c r="E181" s="50"/>
      <c r="F181" s="347">
        <v>0</v>
      </c>
      <c r="G181" s="50"/>
      <c r="H181" s="347">
        <v>106702055</v>
      </c>
      <c r="I181" s="347"/>
      <c r="J181" s="50">
        <v>0</v>
      </c>
      <c r="K181" s="50">
        <v>0</v>
      </c>
      <c r="L181" s="347">
        <v>0</v>
      </c>
      <c r="M181" s="347"/>
      <c r="N181" s="347"/>
      <c r="O181" s="347"/>
      <c r="P181" s="347"/>
      <c r="Q181" s="347"/>
    </row>
    <row r="182" spans="1:17" x14ac:dyDescent="0.2">
      <c r="A182" s="312">
        <v>9</v>
      </c>
      <c r="B182" s="423" t="s">
        <v>29</v>
      </c>
      <c r="C182" s="424" t="s">
        <v>30</v>
      </c>
      <c r="D182" s="347">
        <v>107534</v>
      </c>
      <c r="E182" s="50"/>
      <c r="F182" s="347">
        <v>107534</v>
      </c>
      <c r="G182" s="50"/>
      <c r="H182" s="347">
        <v>0</v>
      </c>
      <c r="I182" s="347"/>
      <c r="J182" s="50">
        <v>0</v>
      </c>
      <c r="K182" s="50">
        <v>0</v>
      </c>
      <c r="L182" s="347">
        <v>0</v>
      </c>
      <c r="M182" s="347"/>
      <c r="N182" s="347"/>
      <c r="O182" s="347"/>
      <c r="P182" s="347"/>
      <c r="Q182" s="347"/>
    </row>
    <row r="183" spans="1:17" x14ac:dyDescent="0.2">
      <c r="A183" s="312">
        <v>10</v>
      </c>
      <c r="B183" s="423" t="s">
        <v>31</v>
      </c>
      <c r="C183" s="424" t="s">
        <v>32</v>
      </c>
      <c r="D183" s="347">
        <v>6984839359</v>
      </c>
      <c r="E183" s="50"/>
      <c r="F183" s="347">
        <v>6539627357</v>
      </c>
      <c r="G183" s="50"/>
      <c r="H183" s="347">
        <v>357505782</v>
      </c>
      <c r="I183" s="347"/>
      <c r="J183" s="50">
        <v>87706220</v>
      </c>
      <c r="K183" s="50">
        <v>46221270</v>
      </c>
      <c r="L183" s="347">
        <v>41484949</v>
      </c>
      <c r="M183" s="347"/>
      <c r="N183" s="347"/>
      <c r="O183" s="347"/>
      <c r="P183" s="347"/>
      <c r="Q183" s="347"/>
    </row>
    <row r="184" spans="1:17" x14ac:dyDescent="0.2">
      <c r="A184" s="312">
        <v>11</v>
      </c>
      <c r="B184" s="423" t="s">
        <v>33</v>
      </c>
      <c r="C184" s="424" t="s">
        <v>34</v>
      </c>
      <c r="D184" s="347">
        <v>6227209458</v>
      </c>
      <c r="E184" s="50"/>
      <c r="F184" s="347">
        <v>5830686181</v>
      </c>
      <c r="G184" s="50"/>
      <c r="H184" s="347">
        <v>318632787</v>
      </c>
      <c r="I184" s="347"/>
      <c r="J184" s="50">
        <v>77890490</v>
      </c>
      <c r="K184" s="50">
        <v>41081352</v>
      </c>
      <c r="L184" s="347">
        <v>36809138</v>
      </c>
      <c r="M184" s="347"/>
      <c r="N184" s="347"/>
      <c r="O184" s="347"/>
      <c r="P184" s="347"/>
      <c r="Q184" s="347"/>
    </row>
    <row r="185" spans="1:17" x14ac:dyDescent="0.2">
      <c r="A185" s="312">
        <v>12</v>
      </c>
      <c r="B185" s="423" t="s">
        <v>35</v>
      </c>
      <c r="C185" s="424" t="s">
        <v>519</v>
      </c>
      <c r="D185" s="347">
        <v>336337</v>
      </c>
      <c r="E185" s="50"/>
      <c r="F185" s="347">
        <v>259523</v>
      </c>
      <c r="G185" s="50"/>
      <c r="H185" s="347">
        <v>0</v>
      </c>
      <c r="I185" s="347"/>
      <c r="J185" s="50">
        <v>76815</v>
      </c>
      <c r="K185" s="50">
        <v>38965</v>
      </c>
      <c r="L185" s="347">
        <v>37850</v>
      </c>
      <c r="M185" s="347"/>
      <c r="N185" s="347"/>
      <c r="O185" s="347"/>
      <c r="P185" s="347"/>
      <c r="Q185" s="347"/>
    </row>
    <row r="186" spans="1:17" x14ac:dyDescent="0.2">
      <c r="A186" s="312">
        <v>13</v>
      </c>
      <c r="B186" s="423" t="s">
        <v>36</v>
      </c>
      <c r="C186" s="424" t="s">
        <v>2137</v>
      </c>
      <c r="D186" s="347">
        <v>-21857193</v>
      </c>
      <c r="E186" s="50"/>
      <c r="F186" s="347">
        <v>-20510025</v>
      </c>
      <c r="G186" s="50"/>
      <c r="H186" s="347">
        <v>-1057655</v>
      </c>
      <c r="I186" s="347"/>
      <c r="J186" s="50">
        <v>-289513</v>
      </c>
      <c r="K186" s="50">
        <v>-151485</v>
      </c>
      <c r="L186" s="347">
        <v>-138028</v>
      </c>
      <c r="M186" s="347"/>
      <c r="N186" s="347"/>
      <c r="O186" s="347"/>
      <c r="P186" s="347"/>
      <c r="Q186" s="347"/>
    </row>
    <row r="187" spans="1:17" x14ac:dyDescent="0.2">
      <c r="A187" s="312">
        <v>14</v>
      </c>
      <c r="B187" s="423" t="s">
        <v>37</v>
      </c>
      <c r="C187" s="427" t="s">
        <v>1930</v>
      </c>
      <c r="D187" s="347">
        <v>350176427</v>
      </c>
      <c r="E187" s="50"/>
      <c r="F187" s="347">
        <v>329561764</v>
      </c>
      <c r="G187" s="50"/>
      <c r="H187" s="347">
        <v>13529586</v>
      </c>
      <c r="I187" s="347"/>
      <c r="J187" s="50">
        <v>7085076</v>
      </c>
      <c r="K187" s="50">
        <v>3629601</v>
      </c>
      <c r="L187" s="347">
        <v>3455475</v>
      </c>
      <c r="M187" s="347"/>
      <c r="N187" s="347"/>
      <c r="O187" s="347"/>
      <c r="P187" s="347"/>
      <c r="Q187" s="347"/>
    </row>
    <row r="188" spans="1:17" x14ac:dyDescent="0.2">
      <c r="A188" s="312">
        <v>15</v>
      </c>
      <c r="B188" s="423" t="s">
        <v>38</v>
      </c>
      <c r="C188" s="427" t="s">
        <v>1931</v>
      </c>
      <c r="D188" s="347">
        <v>79315959</v>
      </c>
      <c r="E188" s="50"/>
      <c r="F188" s="347">
        <v>74976830</v>
      </c>
      <c r="G188" s="50"/>
      <c r="H188" s="347">
        <v>2851406</v>
      </c>
      <c r="I188" s="347"/>
      <c r="J188" s="50">
        <v>1487723</v>
      </c>
      <c r="K188" s="50">
        <v>761853</v>
      </c>
      <c r="L188" s="347">
        <v>725870</v>
      </c>
      <c r="M188" s="347"/>
      <c r="N188" s="347"/>
      <c r="O188" s="347"/>
      <c r="P188" s="347"/>
      <c r="Q188" s="347"/>
    </row>
    <row r="189" spans="1:17" x14ac:dyDescent="0.2">
      <c r="A189" s="312">
        <v>16</v>
      </c>
      <c r="B189" s="423" t="s">
        <v>39</v>
      </c>
      <c r="C189" s="427" t="s">
        <v>1932</v>
      </c>
      <c r="D189" s="347">
        <v>11310</v>
      </c>
      <c r="E189" s="50"/>
      <c r="F189" s="347">
        <v>10609</v>
      </c>
      <c r="G189" s="50"/>
      <c r="H189" s="347">
        <v>480</v>
      </c>
      <c r="I189" s="347"/>
      <c r="J189" s="50">
        <v>221</v>
      </c>
      <c r="K189" s="50">
        <v>112</v>
      </c>
      <c r="L189" s="347">
        <v>109</v>
      </c>
      <c r="M189" s="347"/>
      <c r="N189" s="347"/>
      <c r="O189" s="347"/>
      <c r="P189" s="347"/>
      <c r="Q189" s="347"/>
    </row>
    <row r="190" spans="1:17" x14ac:dyDescent="0.2">
      <c r="A190" s="312">
        <v>17</v>
      </c>
      <c r="B190" s="423" t="s">
        <v>40</v>
      </c>
      <c r="C190" s="427" t="s">
        <v>1933</v>
      </c>
      <c r="D190" s="347">
        <v>422005</v>
      </c>
      <c r="E190" s="50"/>
      <c r="F190" s="347">
        <v>396157</v>
      </c>
      <c r="G190" s="50"/>
      <c r="H190" s="347">
        <v>17549</v>
      </c>
      <c r="I190" s="347"/>
      <c r="J190" s="50">
        <v>8299</v>
      </c>
      <c r="K190" s="50">
        <v>4220</v>
      </c>
      <c r="L190" s="347">
        <v>4079</v>
      </c>
      <c r="M190" s="347"/>
      <c r="N190" s="347"/>
      <c r="O190" s="347"/>
      <c r="P190" s="347"/>
      <c r="Q190" s="347"/>
    </row>
    <row r="191" spans="1:17" x14ac:dyDescent="0.2">
      <c r="A191" s="312">
        <v>18</v>
      </c>
      <c r="B191" s="423" t="s">
        <v>41</v>
      </c>
      <c r="C191" s="427" t="s">
        <v>1934</v>
      </c>
      <c r="D191" s="347">
        <v>114457438</v>
      </c>
      <c r="E191" s="50"/>
      <c r="F191" s="347">
        <v>107796268</v>
      </c>
      <c r="G191" s="50"/>
      <c r="H191" s="347">
        <v>4332439</v>
      </c>
      <c r="I191" s="347"/>
      <c r="J191" s="50">
        <v>2328732</v>
      </c>
      <c r="K191" s="50">
        <v>1195192</v>
      </c>
      <c r="L191" s="347">
        <v>1133540</v>
      </c>
      <c r="M191" s="347"/>
      <c r="N191" s="347"/>
      <c r="O191" s="347"/>
      <c r="P191" s="347"/>
      <c r="Q191" s="347"/>
    </row>
    <row r="192" spans="1:17" x14ac:dyDescent="0.2">
      <c r="A192" s="312">
        <v>19</v>
      </c>
      <c r="B192" s="423" t="s">
        <v>42</v>
      </c>
      <c r="C192" s="427" t="s">
        <v>1935</v>
      </c>
      <c r="D192" s="347">
        <v>15157969</v>
      </c>
      <c r="E192" s="50"/>
      <c r="F192" s="347">
        <v>14093149</v>
      </c>
      <c r="G192" s="50"/>
      <c r="H192" s="347">
        <v>724171</v>
      </c>
      <c r="I192" s="347"/>
      <c r="J192" s="50">
        <v>340649</v>
      </c>
      <c r="K192" s="50">
        <v>172796</v>
      </c>
      <c r="L192" s="347">
        <v>167853</v>
      </c>
      <c r="M192" s="347"/>
      <c r="N192" s="347"/>
      <c r="O192" s="347"/>
      <c r="P192" s="347"/>
      <c r="Q192" s="347"/>
    </row>
    <row r="193" spans="1:17" x14ac:dyDescent="0.2">
      <c r="A193" s="312">
        <v>20</v>
      </c>
      <c r="B193" s="423" t="s">
        <v>43</v>
      </c>
      <c r="C193" s="424" t="s">
        <v>44</v>
      </c>
      <c r="D193" s="347">
        <v>0</v>
      </c>
      <c r="E193" s="50"/>
      <c r="F193" s="347">
        <v>0</v>
      </c>
      <c r="G193" s="50"/>
      <c r="H193" s="347">
        <v>0</v>
      </c>
      <c r="I193" s="347"/>
      <c r="J193" s="50">
        <v>0</v>
      </c>
      <c r="K193" s="50">
        <v>0</v>
      </c>
      <c r="L193" s="347">
        <v>0</v>
      </c>
      <c r="M193" s="347"/>
      <c r="N193" s="347"/>
      <c r="O193" s="347"/>
      <c r="P193" s="347"/>
      <c r="Q193" s="347"/>
    </row>
    <row r="194" spans="1:17" x14ac:dyDescent="0.2">
      <c r="A194" s="312">
        <v>21</v>
      </c>
      <c r="B194" s="423" t="s">
        <v>45</v>
      </c>
      <c r="C194" s="424" t="s">
        <v>46</v>
      </c>
      <c r="D194" s="347">
        <v>0</v>
      </c>
      <c r="E194" s="50"/>
      <c r="F194" s="347">
        <v>0</v>
      </c>
      <c r="G194" s="50"/>
      <c r="H194" s="347">
        <v>0</v>
      </c>
      <c r="I194" s="347"/>
      <c r="J194" s="50">
        <v>0</v>
      </c>
      <c r="K194" s="50">
        <v>0</v>
      </c>
      <c r="L194" s="347">
        <v>0</v>
      </c>
      <c r="M194" s="347"/>
      <c r="N194" s="347"/>
      <c r="O194" s="347"/>
      <c r="P194" s="347"/>
      <c r="Q194" s="347"/>
    </row>
    <row r="195" spans="1:17" x14ac:dyDescent="0.2">
      <c r="A195" s="312">
        <v>22</v>
      </c>
      <c r="B195" s="423" t="s">
        <v>47</v>
      </c>
      <c r="C195" s="424" t="s">
        <v>48</v>
      </c>
      <c r="D195" s="347">
        <v>0</v>
      </c>
      <c r="E195" s="50"/>
      <c r="F195" s="347">
        <v>0</v>
      </c>
      <c r="G195" s="50"/>
      <c r="H195" s="347">
        <v>0</v>
      </c>
      <c r="I195" s="347"/>
      <c r="J195" s="50">
        <v>0</v>
      </c>
      <c r="K195" s="50">
        <v>0</v>
      </c>
      <c r="L195" s="347">
        <v>0</v>
      </c>
      <c r="M195" s="347"/>
      <c r="N195" s="347"/>
      <c r="O195" s="347"/>
      <c r="P195" s="347"/>
      <c r="Q195" s="347"/>
    </row>
    <row r="196" spans="1:17" x14ac:dyDescent="0.2">
      <c r="A196" s="312">
        <v>23</v>
      </c>
      <c r="B196" s="423" t="s">
        <v>49</v>
      </c>
      <c r="C196" s="424" t="s">
        <v>50</v>
      </c>
      <c r="D196" s="347">
        <v>0</v>
      </c>
      <c r="E196" s="50"/>
      <c r="F196" s="347">
        <v>0</v>
      </c>
      <c r="G196" s="50"/>
      <c r="H196" s="347">
        <v>0</v>
      </c>
      <c r="I196" s="347"/>
      <c r="J196" s="50">
        <v>0</v>
      </c>
      <c r="K196" s="50">
        <v>0</v>
      </c>
      <c r="L196" s="347">
        <v>0</v>
      </c>
      <c r="M196" s="347"/>
      <c r="N196" s="347"/>
      <c r="O196" s="347"/>
      <c r="P196" s="347"/>
      <c r="Q196" s="347"/>
    </row>
    <row r="197" spans="1:17" x14ac:dyDescent="0.2">
      <c r="A197" s="312">
        <v>24</v>
      </c>
      <c r="B197" s="423" t="s">
        <v>51</v>
      </c>
      <c r="C197" s="424" t="s">
        <v>52</v>
      </c>
      <c r="D197" s="347">
        <v>0</v>
      </c>
      <c r="E197" s="50"/>
      <c r="F197" s="347">
        <v>0</v>
      </c>
      <c r="G197" s="50"/>
      <c r="H197" s="347">
        <v>0</v>
      </c>
      <c r="I197" s="347"/>
      <c r="J197" s="50">
        <v>0</v>
      </c>
      <c r="K197" s="50">
        <v>0</v>
      </c>
      <c r="L197" s="347">
        <v>0</v>
      </c>
      <c r="M197" s="347"/>
      <c r="N197" s="347"/>
      <c r="O197" s="347"/>
      <c r="P197" s="347"/>
      <c r="Q197" s="347"/>
    </row>
    <row r="198" spans="1:17" x14ac:dyDescent="0.2">
      <c r="A198" s="312">
        <v>25</v>
      </c>
      <c r="B198" s="423" t="s">
        <v>510</v>
      </c>
      <c r="C198" s="424" t="s">
        <v>511</v>
      </c>
      <c r="D198" s="347">
        <v>0</v>
      </c>
      <c r="E198" s="50"/>
      <c r="F198" s="347">
        <v>0</v>
      </c>
      <c r="G198" s="50"/>
      <c r="H198" s="347">
        <v>0</v>
      </c>
      <c r="I198" s="347"/>
      <c r="J198" s="50">
        <v>0</v>
      </c>
      <c r="K198" s="50">
        <v>0</v>
      </c>
      <c r="L198" s="347">
        <v>0</v>
      </c>
      <c r="M198" s="347"/>
      <c r="N198" s="347"/>
      <c r="O198" s="347"/>
      <c r="P198" s="347"/>
      <c r="Q198" s="347"/>
    </row>
    <row r="199" spans="1:17" x14ac:dyDescent="0.2">
      <c r="A199" s="312">
        <v>26</v>
      </c>
      <c r="B199" s="423" t="s">
        <v>512</v>
      </c>
      <c r="C199" s="427" t="s">
        <v>1936</v>
      </c>
      <c r="D199" s="347">
        <v>33221052</v>
      </c>
      <c r="E199" s="50"/>
      <c r="F199" s="347">
        <v>29664967</v>
      </c>
      <c r="G199" s="50"/>
      <c r="H199" s="347">
        <v>3556085</v>
      </c>
      <c r="I199" s="347"/>
      <c r="J199" s="50">
        <v>0</v>
      </c>
      <c r="K199" s="50">
        <v>0</v>
      </c>
      <c r="L199" s="347">
        <v>0</v>
      </c>
      <c r="M199" s="347"/>
      <c r="N199" s="347"/>
      <c r="O199" s="347"/>
      <c r="P199" s="347"/>
      <c r="Q199" s="347"/>
    </row>
    <row r="200" spans="1:17" x14ac:dyDescent="0.2">
      <c r="A200" s="312">
        <v>27</v>
      </c>
      <c r="B200" s="423" t="s">
        <v>513</v>
      </c>
      <c r="C200" s="427" t="s">
        <v>1937</v>
      </c>
      <c r="D200" s="347">
        <v>14440349</v>
      </c>
      <c r="E200" s="50"/>
      <c r="F200" s="347">
        <v>12894609</v>
      </c>
      <c r="G200" s="50"/>
      <c r="H200" s="347">
        <v>1545740</v>
      </c>
      <c r="I200" s="347"/>
      <c r="J200" s="50">
        <v>0</v>
      </c>
      <c r="K200" s="50">
        <v>0</v>
      </c>
      <c r="L200" s="347">
        <v>0</v>
      </c>
      <c r="M200" s="347"/>
      <c r="N200" s="347"/>
      <c r="O200" s="347"/>
      <c r="P200" s="347"/>
      <c r="Q200" s="347"/>
    </row>
    <row r="201" spans="1:17" x14ac:dyDescent="0.2">
      <c r="A201" s="312">
        <v>28</v>
      </c>
      <c r="B201" s="423" t="s">
        <v>514</v>
      </c>
      <c r="C201" s="424" t="s">
        <v>515</v>
      </c>
      <c r="D201" s="347">
        <v>8937860</v>
      </c>
      <c r="E201" s="50"/>
      <c r="F201" s="347">
        <v>7981124</v>
      </c>
      <c r="G201" s="50"/>
      <c r="H201" s="347">
        <v>956736</v>
      </c>
      <c r="I201" s="347"/>
      <c r="J201" s="50">
        <v>0</v>
      </c>
      <c r="K201" s="50">
        <v>0</v>
      </c>
      <c r="L201" s="347">
        <v>0</v>
      </c>
      <c r="M201" s="347"/>
      <c r="N201" s="347"/>
      <c r="O201" s="347"/>
      <c r="P201" s="347"/>
      <c r="Q201" s="347"/>
    </row>
    <row r="202" spans="1:17" x14ac:dyDescent="0.2">
      <c r="A202" s="312">
        <v>29</v>
      </c>
      <c r="B202" s="423" t="s">
        <v>516</v>
      </c>
      <c r="C202" s="424" t="s">
        <v>517</v>
      </c>
      <c r="D202" s="347">
        <v>0</v>
      </c>
      <c r="E202" s="50"/>
      <c r="F202" s="347">
        <v>0</v>
      </c>
      <c r="G202" s="50"/>
      <c r="H202" s="347">
        <v>0</v>
      </c>
      <c r="I202" s="347"/>
      <c r="J202" s="50">
        <v>0</v>
      </c>
      <c r="K202" s="50">
        <v>0</v>
      </c>
      <c r="L202" s="347">
        <v>0</v>
      </c>
      <c r="M202" s="347"/>
      <c r="N202" s="347"/>
      <c r="O202" s="347"/>
      <c r="P202" s="347"/>
      <c r="Q202" s="347"/>
    </row>
    <row r="203" spans="1:17" x14ac:dyDescent="0.2">
      <c r="A203" s="312">
        <v>30</v>
      </c>
      <c r="B203" s="423" t="s">
        <v>518</v>
      </c>
      <c r="C203" s="427" t="s">
        <v>1938</v>
      </c>
      <c r="D203" s="347">
        <v>28582703</v>
      </c>
      <c r="E203" s="50"/>
      <c r="F203" s="347">
        <v>27063796</v>
      </c>
      <c r="G203" s="50"/>
      <c r="H203" s="347">
        <v>1476510</v>
      </c>
      <c r="I203" s="347"/>
      <c r="J203" s="50">
        <v>42397</v>
      </c>
      <c r="K203" s="50">
        <v>38917</v>
      </c>
      <c r="L203" s="347">
        <v>3481</v>
      </c>
      <c r="M203" s="347"/>
      <c r="N203" s="347"/>
      <c r="O203" s="347"/>
      <c r="P203" s="347"/>
      <c r="Q203" s="347"/>
    </row>
    <row r="204" spans="1:17" x14ac:dyDescent="0.2">
      <c r="A204" s="312">
        <v>31</v>
      </c>
      <c r="B204" s="423" t="s">
        <v>529</v>
      </c>
      <c r="C204" s="427" t="s">
        <v>1939</v>
      </c>
      <c r="D204" s="347">
        <v>32722450</v>
      </c>
      <c r="E204" s="50"/>
      <c r="F204" s="347">
        <v>30666271</v>
      </c>
      <c r="G204" s="50"/>
      <c r="H204" s="347">
        <v>2040757</v>
      </c>
      <c r="I204" s="347"/>
      <c r="J204" s="50">
        <v>15422</v>
      </c>
      <c r="K204" s="50">
        <v>15414</v>
      </c>
      <c r="L204" s="347">
        <v>7</v>
      </c>
      <c r="M204" s="347"/>
      <c r="N204" s="347"/>
      <c r="O204" s="347"/>
      <c r="P204" s="347"/>
      <c r="Q204" s="347"/>
    </row>
    <row r="205" spans="1:17" x14ac:dyDescent="0.2">
      <c r="A205" s="312">
        <v>32</v>
      </c>
      <c r="B205" s="423" t="s">
        <v>530</v>
      </c>
      <c r="C205" s="424" t="s">
        <v>531</v>
      </c>
      <c r="D205" s="347">
        <v>22389321</v>
      </c>
      <c r="E205" s="50"/>
      <c r="F205" s="347">
        <v>21313408</v>
      </c>
      <c r="G205" s="50"/>
      <c r="H205" s="347">
        <v>1041474</v>
      </c>
      <c r="I205" s="347"/>
      <c r="J205" s="50">
        <v>34440</v>
      </c>
      <c r="K205" s="50">
        <v>34178</v>
      </c>
      <c r="L205" s="347">
        <v>262</v>
      </c>
      <c r="M205" s="347"/>
      <c r="N205" s="347"/>
      <c r="O205" s="347"/>
      <c r="P205" s="347"/>
      <c r="Q205" s="347"/>
    </row>
    <row r="206" spans="1:17" x14ac:dyDescent="0.2">
      <c r="A206" s="312">
        <v>33</v>
      </c>
      <c r="B206" s="423" t="s">
        <v>532</v>
      </c>
      <c r="C206" s="424" t="s">
        <v>533</v>
      </c>
      <c r="D206" s="347">
        <v>0</v>
      </c>
      <c r="E206" s="50"/>
      <c r="F206" s="347">
        <v>0</v>
      </c>
      <c r="G206" s="50"/>
      <c r="H206" s="347">
        <v>0</v>
      </c>
      <c r="I206" s="347"/>
      <c r="J206" s="50">
        <v>0</v>
      </c>
      <c r="K206" s="50">
        <v>0</v>
      </c>
      <c r="L206" s="347">
        <v>0</v>
      </c>
      <c r="M206" s="347"/>
      <c r="N206" s="347"/>
      <c r="O206" s="347"/>
      <c r="P206" s="347"/>
      <c r="Q206" s="347"/>
    </row>
    <row r="207" spans="1:17" x14ac:dyDescent="0.2">
      <c r="A207" s="312">
        <v>34</v>
      </c>
      <c r="B207" s="423" t="s">
        <v>534</v>
      </c>
      <c r="C207" s="427" t="s">
        <v>1940</v>
      </c>
      <c r="D207" s="347">
        <v>33181838</v>
      </c>
      <c r="E207" s="50"/>
      <c r="F207" s="347">
        <v>31555586</v>
      </c>
      <c r="G207" s="50"/>
      <c r="H207" s="347">
        <v>1612881</v>
      </c>
      <c r="I207" s="347"/>
      <c r="J207" s="50">
        <v>13371</v>
      </c>
      <c r="K207" s="50">
        <v>5349</v>
      </c>
      <c r="L207" s="347">
        <v>8023</v>
      </c>
      <c r="M207" s="347"/>
      <c r="N207" s="347"/>
      <c r="O207" s="347"/>
      <c r="P207" s="347"/>
      <c r="Q207" s="347"/>
    </row>
    <row r="208" spans="1:17" x14ac:dyDescent="0.2">
      <c r="A208" s="312">
        <v>35</v>
      </c>
      <c r="B208" s="423" t="s">
        <v>535</v>
      </c>
      <c r="C208" s="424" t="s">
        <v>536</v>
      </c>
      <c r="D208" s="347">
        <v>4212138</v>
      </c>
      <c r="E208" s="50"/>
      <c r="F208" s="347">
        <v>4005700</v>
      </c>
      <c r="G208" s="50"/>
      <c r="H208" s="347">
        <v>204741</v>
      </c>
      <c r="I208" s="347"/>
      <c r="J208" s="50">
        <v>1697</v>
      </c>
      <c r="K208" s="50">
        <v>679</v>
      </c>
      <c r="L208" s="347">
        <v>1018</v>
      </c>
      <c r="M208" s="347"/>
      <c r="N208" s="347"/>
      <c r="O208" s="347"/>
      <c r="P208" s="347"/>
      <c r="Q208" s="347"/>
    </row>
    <row r="209" spans="1:17" x14ac:dyDescent="0.2">
      <c r="A209" s="312">
        <v>36</v>
      </c>
      <c r="B209" s="423" t="s">
        <v>537</v>
      </c>
      <c r="C209" s="427" t="s">
        <v>1941</v>
      </c>
      <c r="D209" s="347">
        <v>14016966</v>
      </c>
      <c r="E209" s="50"/>
      <c r="F209" s="347">
        <v>13851559</v>
      </c>
      <c r="G209" s="50"/>
      <c r="H209" s="347">
        <v>165407</v>
      </c>
      <c r="I209" s="347"/>
      <c r="J209" s="50">
        <v>0</v>
      </c>
      <c r="K209" s="50">
        <v>0</v>
      </c>
      <c r="L209" s="347">
        <v>0</v>
      </c>
      <c r="M209" s="347"/>
      <c r="N209" s="347"/>
      <c r="O209" s="347"/>
      <c r="P209" s="347"/>
      <c r="Q209" s="347"/>
    </row>
    <row r="210" spans="1:17" x14ac:dyDescent="0.2">
      <c r="A210" s="312">
        <v>37</v>
      </c>
      <c r="B210" s="423" t="s">
        <v>538</v>
      </c>
      <c r="C210" s="424" t="s">
        <v>539</v>
      </c>
      <c r="D210" s="347">
        <v>4212138</v>
      </c>
      <c r="E210" s="50"/>
      <c r="F210" s="347">
        <v>4005700</v>
      </c>
      <c r="G210" s="50"/>
      <c r="H210" s="347">
        <v>204741</v>
      </c>
      <c r="I210" s="347"/>
      <c r="J210" s="50">
        <v>1697</v>
      </c>
      <c r="K210" s="50">
        <v>679</v>
      </c>
      <c r="L210" s="347">
        <v>1018</v>
      </c>
      <c r="M210" s="347"/>
      <c r="N210" s="347"/>
      <c r="O210" s="347"/>
      <c r="P210" s="347"/>
      <c r="Q210" s="347"/>
    </row>
    <row r="211" spans="1:17" x14ac:dyDescent="0.2">
      <c r="A211" s="312">
        <v>38</v>
      </c>
      <c r="B211" s="423" t="s">
        <v>540</v>
      </c>
      <c r="C211" s="427" t="s">
        <v>1942</v>
      </c>
      <c r="D211" s="347">
        <v>1223256</v>
      </c>
      <c r="E211" s="50"/>
      <c r="F211" s="347">
        <v>1162136</v>
      </c>
      <c r="G211" s="50"/>
      <c r="H211" s="347">
        <v>61120</v>
      </c>
      <c r="I211" s="347"/>
      <c r="J211" s="50">
        <v>0</v>
      </c>
      <c r="K211" s="50">
        <v>0</v>
      </c>
      <c r="L211" s="347">
        <v>0</v>
      </c>
      <c r="M211" s="347"/>
      <c r="N211" s="347"/>
      <c r="O211" s="347"/>
      <c r="P211" s="347"/>
      <c r="Q211" s="347"/>
    </row>
    <row r="212" spans="1:17" x14ac:dyDescent="0.2">
      <c r="A212" s="312">
        <v>39</v>
      </c>
      <c r="B212" s="423" t="s">
        <v>541</v>
      </c>
      <c r="C212" s="424" t="s">
        <v>542</v>
      </c>
      <c r="D212" s="347">
        <v>2198790</v>
      </c>
      <c r="E212" s="50"/>
      <c r="F212" s="347">
        <v>2172843</v>
      </c>
      <c r="G212" s="50"/>
      <c r="H212" s="347">
        <v>25947</v>
      </c>
      <c r="I212" s="347"/>
      <c r="J212" s="50">
        <v>0</v>
      </c>
      <c r="K212" s="50">
        <v>0</v>
      </c>
      <c r="L212" s="347">
        <v>0</v>
      </c>
      <c r="M212" s="347"/>
      <c r="N212" s="347"/>
      <c r="O212" s="347"/>
      <c r="P212" s="347"/>
      <c r="Q212" s="347"/>
    </row>
    <row r="213" spans="1:17" x14ac:dyDescent="0.2">
      <c r="A213" s="312">
        <v>40</v>
      </c>
      <c r="B213" s="423" t="s">
        <v>543</v>
      </c>
      <c r="C213" s="424" t="s">
        <v>544</v>
      </c>
      <c r="D213" s="347">
        <v>119630777</v>
      </c>
      <c r="E213" s="50"/>
      <c r="F213" s="347">
        <v>112308775</v>
      </c>
      <c r="G213" s="50"/>
      <c r="H213" s="347">
        <v>5897677</v>
      </c>
      <c r="I213" s="347"/>
      <c r="J213" s="50">
        <v>1424325</v>
      </c>
      <c r="K213" s="50">
        <v>742812</v>
      </c>
      <c r="L213" s="347">
        <v>681513</v>
      </c>
      <c r="M213" s="347"/>
      <c r="N213" s="347"/>
      <c r="O213" s="347"/>
      <c r="P213" s="347"/>
      <c r="Q213" s="347"/>
    </row>
    <row r="214" spans="1:17" x14ac:dyDescent="0.2">
      <c r="A214" s="45"/>
      <c r="B214" s="45"/>
      <c r="C214" s="311"/>
      <c r="D214" s="50"/>
      <c r="E214" s="50"/>
      <c r="F214" s="50"/>
      <c r="G214" s="50"/>
      <c r="H214" s="50"/>
      <c r="I214" s="50"/>
      <c r="J214" s="50"/>
      <c r="K214" s="50"/>
      <c r="L214" s="50"/>
      <c r="M214" s="50"/>
      <c r="N214" s="50"/>
      <c r="O214" s="50"/>
      <c r="P214" s="50"/>
      <c r="Q214" s="50"/>
    </row>
    <row r="215" spans="1:17" x14ac:dyDescent="0.2">
      <c r="A215" s="45"/>
      <c r="B215" s="431" t="s">
        <v>868</v>
      </c>
      <c r="C215" s="45"/>
      <c r="D215" s="50"/>
      <c r="E215" s="50"/>
      <c r="F215" s="50"/>
      <c r="G215" s="50"/>
      <c r="H215" s="50"/>
      <c r="I215" s="50"/>
      <c r="J215" s="50"/>
      <c r="K215" s="50"/>
      <c r="L215" s="50"/>
      <c r="M215" s="50"/>
      <c r="N215" s="50"/>
      <c r="O215" s="50"/>
      <c r="P215" s="50"/>
      <c r="Q215" s="50"/>
    </row>
    <row r="216" spans="1:17" x14ac:dyDescent="0.2">
      <c r="A216" s="45"/>
      <c r="B216" s="430" t="s">
        <v>1267</v>
      </c>
      <c r="C216" s="45"/>
      <c r="D216" s="50"/>
      <c r="E216" s="50"/>
      <c r="F216" s="50"/>
      <c r="G216" s="50"/>
      <c r="H216" s="50"/>
      <c r="I216" s="50"/>
      <c r="J216" s="50"/>
      <c r="K216" s="50"/>
      <c r="L216" s="50"/>
      <c r="M216" s="50"/>
      <c r="N216" s="50"/>
      <c r="O216" s="50"/>
      <c r="P216" s="50"/>
      <c r="Q216" s="50"/>
    </row>
    <row r="217" spans="1:17" x14ac:dyDescent="0.2">
      <c r="A217" s="312">
        <v>1</v>
      </c>
      <c r="B217" s="423" t="s">
        <v>2194</v>
      </c>
      <c r="C217" s="424" t="s">
        <v>546</v>
      </c>
      <c r="D217" s="347">
        <v>3525210</v>
      </c>
      <c r="E217" s="50"/>
      <c r="F217" s="347">
        <v>3317156</v>
      </c>
      <c r="G217" s="50"/>
      <c r="H217" s="347">
        <v>167720</v>
      </c>
      <c r="I217" s="347"/>
      <c r="J217" s="50">
        <v>40334</v>
      </c>
      <c r="K217" s="50">
        <v>21031</v>
      </c>
      <c r="L217" s="347">
        <v>19303</v>
      </c>
      <c r="M217" s="347"/>
      <c r="N217" s="347"/>
      <c r="O217" s="347"/>
      <c r="P217" s="347"/>
      <c r="Q217" s="347"/>
    </row>
    <row r="218" spans="1:17" x14ac:dyDescent="0.2">
      <c r="A218" s="312">
        <v>2</v>
      </c>
      <c r="B218" s="423" t="s">
        <v>547</v>
      </c>
      <c r="C218" s="424" t="s">
        <v>548</v>
      </c>
      <c r="D218" s="347">
        <v>13167109</v>
      </c>
      <c r="E218" s="50"/>
      <c r="F218" s="347">
        <v>13058416</v>
      </c>
      <c r="G218" s="50"/>
      <c r="H218" s="347">
        <v>108693</v>
      </c>
      <c r="I218" s="347"/>
      <c r="J218" s="50">
        <v>0</v>
      </c>
      <c r="K218" s="50">
        <v>0</v>
      </c>
      <c r="L218" s="347">
        <v>0</v>
      </c>
      <c r="M218" s="347"/>
      <c r="N218" s="347"/>
      <c r="O218" s="347"/>
      <c r="P218" s="347"/>
      <c r="Q218" s="347"/>
    </row>
    <row r="219" spans="1:17" x14ac:dyDescent="0.2">
      <c r="A219" s="312">
        <v>3</v>
      </c>
      <c r="B219" s="423" t="s">
        <v>938</v>
      </c>
      <c r="C219" s="424" t="s">
        <v>939</v>
      </c>
      <c r="D219" s="347">
        <v>2187150405</v>
      </c>
      <c r="E219" s="50"/>
      <c r="F219" s="347">
        <v>2183621934</v>
      </c>
      <c r="G219" s="50"/>
      <c r="H219" s="347">
        <v>0</v>
      </c>
      <c r="I219" s="347"/>
      <c r="J219" s="50">
        <v>3528471</v>
      </c>
      <c r="K219" s="50">
        <v>3501619</v>
      </c>
      <c r="L219" s="347">
        <v>26852</v>
      </c>
      <c r="M219" s="347"/>
      <c r="N219" s="347"/>
      <c r="O219" s="347"/>
      <c r="P219" s="347"/>
      <c r="Q219" s="347"/>
    </row>
    <row r="220" spans="1:17" x14ac:dyDescent="0.2">
      <c r="A220" s="312">
        <v>4</v>
      </c>
      <c r="B220" s="423" t="s">
        <v>940</v>
      </c>
      <c r="C220" s="424" t="s">
        <v>941</v>
      </c>
      <c r="D220" s="347">
        <v>90909156</v>
      </c>
      <c r="E220" s="50"/>
      <c r="F220" s="347">
        <v>90909156</v>
      </c>
      <c r="G220" s="375"/>
      <c r="H220" s="375">
        <v>0</v>
      </c>
      <c r="I220" s="347"/>
      <c r="J220" s="50">
        <v>0</v>
      </c>
      <c r="K220" s="50">
        <v>0</v>
      </c>
      <c r="L220" s="375">
        <v>0</v>
      </c>
      <c r="M220" s="375"/>
      <c r="N220" s="347"/>
      <c r="O220" s="375"/>
      <c r="P220" s="375"/>
      <c r="Q220" s="375"/>
    </row>
    <row r="221" spans="1:17" x14ac:dyDescent="0.2">
      <c r="A221" s="312">
        <v>5</v>
      </c>
      <c r="B221" s="423" t="s">
        <v>942</v>
      </c>
      <c r="C221" s="424" t="s">
        <v>943</v>
      </c>
      <c r="D221" s="347">
        <v>4670387</v>
      </c>
      <c r="E221" s="50"/>
      <c r="F221" s="375">
        <v>0</v>
      </c>
      <c r="G221" s="375"/>
      <c r="H221" s="347">
        <v>4670387</v>
      </c>
      <c r="I221" s="347"/>
      <c r="J221" s="50">
        <v>0</v>
      </c>
      <c r="K221" s="50">
        <v>0</v>
      </c>
      <c r="L221" s="375">
        <v>0</v>
      </c>
      <c r="M221" s="347"/>
      <c r="N221" s="347"/>
      <c r="O221" s="375"/>
      <c r="P221" s="375"/>
      <c r="Q221" s="375"/>
    </row>
    <row r="222" spans="1:17" x14ac:dyDescent="0.2">
      <c r="A222" s="312">
        <v>6</v>
      </c>
      <c r="B222" s="423" t="s">
        <v>944</v>
      </c>
      <c r="C222" s="424" t="s">
        <v>945</v>
      </c>
      <c r="D222" s="347">
        <v>0</v>
      </c>
      <c r="E222" s="50"/>
      <c r="F222" s="375">
        <v>0</v>
      </c>
      <c r="G222" s="375"/>
      <c r="H222" s="375">
        <v>0</v>
      </c>
      <c r="I222" s="347"/>
      <c r="J222" s="50">
        <v>0</v>
      </c>
      <c r="K222" s="50">
        <v>0</v>
      </c>
      <c r="L222" s="375">
        <v>0</v>
      </c>
      <c r="M222" s="375"/>
      <c r="N222" s="347"/>
      <c r="O222" s="375"/>
      <c r="P222" s="375"/>
      <c r="Q222" s="375"/>
    </row>
    <row r="223" spans="1:17" x14ac:dyDescent="0.2">
      <c r="A223" s="312">
        <v>7</v>
      </c>
      <c r="B223" s="423" t="s">
        <v>946</v>
      </c>
      <c r="C223" s="424" t="s">
        <v>53</v>
      </c>
      <c r="D223" s="347">
        <v>1346509</v>
      </c>
      <c r="E223" s="50"/>
      <c r="F223" s="375">
        <v>0</v>
      </c>
      <c r="G223" s="375"/>
      <c r="H223" s="375">
        <v>0</v>
      </c>
      <c r="I223" s="347"/>
      <c r="J223" s="50">
        <v>1346509</v>
      </c>
      <c r="K223" s="50">
        <v>703022</v>
      </c>
      <c r="L223" s="375">
        <v>643487</v>
      </c>
      <c r="M223" s="375"/>
      <c r="N223" s="347"/>
      <c r="O223" s="347"/>
      <c r="P223" s="347"/>
      <c r="Q223" s="375"/>
    </row>
    <row r="224" spans="1:17" x14ac:dyDescent="0.2">
      <c r="A224" s="312">
        <v>8</v>
      </c>
      <c r="B224" s="426" t="s">
        <v>2138</v>
      </c>
      <c r="C224" s="424" t="s">
        <v>2139</v>
      </c>
      <c r="D224" s="347">
        <v>-1568547</v>
      </c>
      <c r="E224" s="50"/>
      <c r="F224" s="375">
        <v>-1546714</v>
      </c>
      <c r="G224" s="375"/>
      <c r="H224" s="375">
        <v>0</v>
      </c>
      <c r="I224" s="347"/>
      <c r="J224" s="50">
        <v>-21833</v>
      </c>
      <c r="K224" s="50">
        <v>-11424</v>
      </c>
      <c r="L224" s="375">
        <v>-10409</v>
      </c>
      <c r="M224" s="375"/>
      <c r="N224" s="347"/>
      <c r="O224" s="375"/>
      <c r="P224" s="375"/>
      <c r="Q224" s="375"/>
    </row>
    <row r="225" spans="1:17" x14ac:dyDescent="0.2">
      <c r="A225" s="312">
        <v>9</v>
      </c>
      <c r="B225" s="423" t="s">
        <v>2140</v>
      </c>
      <c r="C225" s="424" t="s">
        <v>2141</v>
      </c>
      <c r="D225" s="347">
        <v>181987112</v>
      </c>
      <c r="E225" s="50"/>
      <c r="F225" s="347">
        <v>173228434</v>
      </c>
      <c r="G225" s="50"/>
      <c r="H225" s="347">
        <v>8758678</v>
      </c>
      <c r="I225" s="347"/>
      <c r="J225" s="50">
        <v>0</v>
      </c>
      <c r="K225" s="50">
        <v>0</v>
      </c>
      <c r="L225" s="347">
        <v>0</v>
      </c>
      <c r="M225" s="347"/>
      <c r="N225" s="347"/>
      <c r="O225" s="347"/>
      <c r="P225" s="347"/>
      <c r="Q225" s="347"/>
    </row>
    <row r="226" spans="1:17" x14ac:dyDescent="0.2">
      <c r="A226" s="312">
        <v>10</v>
      </c>
      <c r="B226" s="423" t="s">
        <v>2142</v>
      </c>
      <c r="C226" s="424" t="s">
        <v>2143</v>
      </c>
      <c r="D226" s="347">
        <v>1316177147</v>
      </c>
      <c r="E226" s="50"/>
      <c r="F226" s="347">
        <v>1258772521</v>
      </c>
      <c r="G226" s="50"/>
      <c r="H226" s="347">
        <v>57404626</v>
      </c>
      <c r="I226" s="347"/>
      <c r="J226" s="50">
        <v>0</v>
      </c>
      <c r="K226" s="50">
        <v>0</v>
      </c>
      <c r="L226" s="347">
        <v>0</v>
      </c>
      <c r="M226" s="347"/>
      <c r="N226" s="347"/>
      <c r="O226" s="347"/>
      <c r="P226" s="347"/>
      <c r="Q226" s="347"/>
    </row>
    <row r="227" spans="1:17" x14ac:dyDescent="0.2">
      <c r="A227" s="312">
        <v>11</v>
      </c>
      <c r="B227" s="45"/>
      <c r="C227" s="311"/>
      <c r="D227" s="50"/>
      <c r="E227" s="50"/>
      <c r="F227" s="50"/>
      <c r="G227" s="50"/>
      <c r="H227" s="50"/>
      <c r="I227" s="50"/>
      <c r="J227" s="50"/>
      <c r="K227" s="50"/>
      <c r="L227" s="50"/>
      <c r="M227" s="50"/>
      <c r="N227" s="50"/>
      <c r="O227" s="50"/>
      <c r="P227" s="50"/>
      <c r="Q227" s="50"/>
    </row>
    <row r="228" spans="1:17" x14ac:dyDescent="0.2">
      <c r="A228" s="312">
        <v>12</v>
      </c>
      <c r="B228" s="45"/>
      <c r="C228" s="45"/>
      <c r="D228" s="50"/>
      <c r="E228" s="50"/>
      <c r="F228" s="50"/>
      <c r="G228" s="50"/>
      <c r="H228" s="50"/>
      <c r="I228" s="50"/>
      <c r="J228" s="50"/>
      <c r="K228" s="50"/>
      <c r="L228" s="50"/>
      <c r="M228" s="50"/>
      <c r="N228" s="50"/>
      <c r="O228" s="50"/>
      <c r="P228" s="50"/>
      <c r="Q228" s="50"/>
    </row>
    <row r="229" spans="1:17" x14ac:dyDescent="0.2">
      <c r="A229" s="312">
        <v>13</v>
      </c>
      <c r="B229" s="45"/>
      <c r="C229" s="45"/>
      <c r="D229" s="50"/>
      <c r="E229" s="50"/>
      <c r="F229" s="50"/>
      <c r="G229" s="50"/>
      <c r="H229" s="50"/>
      <c r="I229" s="50"/>
      <c r="J229" s="50"/>
      <c r="K229" s="50"/>
      <c r="L229" s="50"/>
      <c r="M229" s="50"/>
      <c r="N229" s="50"/>
      <c r="O229" s="50"/>
      <c r="P229" s="50"/>
      <c r="Q229" s="50"/>
    </row>
    <row r="230" spans="1:17" x14ac:dyDescent="0.2">
      <c r="A230" s="312">
        <v>14</v>
      </c>
      <c r="B230" s="45"/>
      <c r="C230" s="45"/>
      <c r="D230" s="50"/>
      <c r="E230" s="50"/>
      <c r="F230" s="50"/>
      <c r="G230" s="50"/>
      <c r="H230" s="50"/>
      <c r="I230" s="50"/>
      <c r="J230" s="50"/>
      <c r="K230" s="50"/>
      <c r="L230" s="50"/>
      <c r="M230" s="50"/>
      <c r="N230" s="50"/>
      <c r="O230" s="50"/>
      <c r="P230" s="50"/>
      <c r="Q230" s="50"/>
    </row>
    <row r="231" spans="1:17" x14ac:dyDescent="0.2">
      <c r="A231" s="312">
        <v>15</v>
      </c>
      <c r="B231" s="45"/>
      <c r="C231" s="45"/>
      <c r="D231" s="50"/>
      <c r="E231" s="50"/>
      <c r="F231" s="50"/>
      <c r="G231" s="50"/>
      <c r="H231" s="50"/>
      <c r="I231" s="50"/>
      <c r="J231" s="50"/>
      <c r="K231" s="50"/>
      <c r="L231" s="50"/>
      <c r="M231" s="50"/>
      <c r="N231" s="50"/>
      <c r="O231" s="50"/>
      <c r="P231" s="50"/>
      <c r="Q231" s="50"/>
    </row>
    <row r="232" spans="1:17" x14ac:dyDescent="0.2">
      <c r="A232" s="312">
        <v>16</v>
      </c>
      <c r="B232" s="45"/>
      <c r="C232" s="45"/>
      <c r="D232" s="50"/>
      <c r="E232" s="50"/>
      <c r="F232" s="50"/>
      <c r="G232" s="50"/>
      <c r="H232" s="50"/>
      <c r="I232" s="50"/>
      <c r="J232" s="50"/>
      <c r="K232" s="50"/>
      <c r="L232" s="50"/>
      <c r="M232" s="50"/>
      <c r="N232" s="50"/>
      <c r="O232" s="50"/>
      <c r="P232" s="50"/>
      <c r="Q232" s="50"/>
    </row>
    <row r="233" spans="1:17" x14ac:dyDescent="0.2">
      <c r="A233" s="312">
        <v>17</v>
      </c>
      <c r="B233" s="45"/>
      <c r="C233" s="45"/>
      <c r="D233" s="50"/>
      <c r="E233" s="50"/>
      <c r="F233" s="50"/>
      <c r="G233" s="50"/>
      <c r="H233" s="50"/>
      <c r="I233" s="50"/>
      <c r="J233" s="50"/>
      <c r="K233" s="50"/>
      <c r="L233" s="50"/>
      <c r="M233" s="50"/>
      <c r="N233" s="50"/>
      <c r="O233" s="50"/>
      <c r="P233" s="50"/>
      <c r="Q233" s="50"/>
    </row>
    <row r="234" spans="1:17" x14ac:dyDescent="0.2">
      <c r="A234" s="312">
        <v>18</v>
      </c>
      <c r="B234" s="45"/>
      <c r="C234" s="311"/>
      <c r="D234" s="50"/>
      <c r="E234" s="50"/>
      <c r="F234" s="50"/>
      <c r="G234" s="50"/>
      <c r="H234" s="50"/>
      <c r="I234" s="50"/>
      <c r="J234" s="50"/>
      <c r="K234" s="50"/>
      <c r="L234" s="50"/>
      <c r="M234" s="50"/>
      <c r="N234" s="50"/>
      <c r="O234" s="50"/>
      <c r="P234" s="50"/>
      <c r="Q234" s="50"/>
    </row>
    <row r="235" spans="1:17" x14ac:dyDescent="0.2">
      <c r="A235" s="312">
        <v>19</v>
      </c>
      <c r="B235" s="45"/>
      <c r="C235" s="311"/>
      <c r="D235" s="50"/>
      <c r="E235" s="50"/>
      <c r="F235" s="50"/>
      <c r="G235" s="50"/>
      <c r="H235" s="50"/>
      <c r="I235" s="50"/>
      <c r="J235" s="50"/>
      <c r="K235" s="50"/>
      <c r="L235" s="50"/>
      <c r="M235" s="50"/>
      <c r="N235" s="50"/>
      <c r="O235" s="50"/>
      <c r="P235" s="50"/>
      <c r="Q235" s="50"/>
    </row>
    <row r="236" spans="1:17" x14ac:dyDescent="0.2">
      <c r="A236" s="312">
        <v>20</v>
      </c>
      <c r="B236" s="45"/>
      <c r="C236" s="311"/>
      <c r="D236" s="50"/>
      <c r="E236" s="50"/>
      <c r="F236" s="50"/>
      <c r="G236" s="50"/>
      <c r="H236" s="50"/>
      <c r="I236" s="50"/>
      <c r="J236" s="50"/>
      <c r="K236" s="50"/>
      <c r="L236" s="50"/>
      <c r="M236" s="50"/>
      <c r="N236" s="50"/>
      <c r="O236" s="50"/>
      <c r="P236" s="50"/>
      <c r="Q236" s="50"/>
    </row>
    <row r="237" spans="1:17" x14ac:dyDescent="0.2">
      <c r="A237" s="312">
        <v>21</v>
      </c>
      <c r="B237" s="45"/>
      <c r="C237" s="311"/>
      <c r="D237" s="50"/>
      <c r="E237" s="50"/>
      <c r="F237" s="50"/>
      <c r="G237" s="50"/>
      <c r="H237" s="50"/>
      <c r="I237" s="50"/>
      <c r="J237" s="50"/>
      <c r="K237" s="50"/>
      <c r="L237" s="50"/>
      <c r="M237" s="50"/>
      <c r="N237" s="50"/>
      <c r="O237" s="50"/>
      <c r="P237" s="50"/>
      <c r="Q237" s="50"/>
    </row>
    <row r="238" spans="1:17" x14ac:dyDescent="0.2">
      <c r="A238" s="312">
        <v>22</v>
      </c>
      <c r="B238" s="45"/>
      <c r="C238" s="311"/>
      <c r="D238" s="50"/>
      <c r="E238" s="50"/>
      <c r="F238" s="50"/>
      <c r="G238" s="50"/>
      <c r="H238" s="50"/>
      <c r="I238" s="50"/>
      <c r="J238" s="50"/>
      <c r="K238" s="50"/>
      <c r="L238" s="50"/>
      <c r="M238" s="50"/>
      <c r="N238" s="50"/>
      <c r="O238" s="50"/>
      <c r="P238" s="50"/>
      <c r="Q238" s="50"/>
    </row>
    <row r="239" spans="1:17" x14ac:dyDescent="0.2">
      <c r="A239" s="312">
        <v>23</v>
      </c>
      <c r="B239" s="45"/>
      <c r="C239" s="311"/>
      <c r="D239" s="50"/>
      <c r="E239" s="50"/>
      <c r="F239" s="50"/>
      <c r="G239" s="50"/>
      <c r="H239" s="50"/>
      <c r="I239" s="50"/>
      <c r="J239" s="50"/>
      <c r="K239" s="50"/>
      <c r="L239" s="50"/>
      <c r="M239" s="50"/>
      <c r="N239" s="50"/>
      <c r="O239" s="50"/>
      <c r="P239" s="50"/>
      <c r="Q239" s="50"/>
    </row>
    <row r="240" spans="1:17" x14ac:dyDescent="0.2">
      <c r="A240" s="312">
        <v>24</v>
      </c>
      <c r="B240" s="45"/>
      <c r="C240" s="311"/>
      <c r="D240" s="50"/>
      <c r="E240" s="50"/>
      <c r="F240" s="50"/>
      <c r="G240" s="50"/>
      <c r="H240" s="50"/>
      <c r="I240" s="50"/>
      <c r="J240" s="50"/>
      <c r="K240" s="50"/>
      <c r="L240" s="50"/>
      <c r="M240" s="50"/>
      <c r="N240" s="50"/>
      <c r="O240" s="50"/>
      <c r="P240" s="50"/>
      <c r="Q240" s="50"/>
    </row>
    <row r="241" spans="1:17" x14ac:dyDescent="0.2">
      <c r="A241" s="312">
        <v>25</v>
      </c>
      <c r="B241" s="45"/>
      <c r="C241" s="311"/>
      <c r="D241" s="50"/>
      <c r="E241" s="50"/>
      <c r="F241" s="50"/>
      <c r="G241" s="50"/>
      <c r="H241" s="50"/>
      <c r="I241" s="50"/>
      <c r="J241" s="50"/>
      <c r="K241" s="50"/>
      <c r="L241" s="50"/>
      <c r="M241" s="50"/>
      <c r="N241" s="50"/>
      <c r="O241" s="50"/>
      <c r="P241" s="50"/>
      <c r="Q241" s="50"/>
    </row>
    <row r="242" spans="1:17" x14ac:dyDescent="0.2">
      <c r="A242" s="312">
        <v>26</v>
      </c>
      <c r="B242" s="45"/>
      <c r="C242" s="311"/>
      <c r="D242" s="50"/>
      <c r="E242" s="50"/>
      <c r="F242" s="50"/>
      <c r="G242" s="50"/>
      <c r="H242" s="50"/>
      <c r="I242" s="50"/>
      <c r="J242" s="50"/>
      <c r="K242" s="50"/>
      <c r="L242" s="50"/>
      <c r="M242" s="50"/>
      <c r="N242" s="50"/>
      <c r="O242" s="50"/>
      <c r="P242" s="50"/>
      <c r="Q242" s="50"/>
    </row>
    <row r="243" spans="1:17" x14ac:dyDescent="0.2">
      <c r="A243" s="312">
        <v>27</v>
      </c>
      <c r="B243" s="45"/>
      <c r="C243" s="311"/>
      <c r="D243" s="50"/>
      <c r="E243" s="50"/>
      <c r="F243" s="50"/>
      <c r="G243" s="50"/>
      <c r="H243" s="50"/>
      <c r="I243" s="50"/>
      <c r="J243" s="50"/>
      <c r="K243" s="50"/>
      <c r="L243" s="50"/>
      <c r="M243" s="50"/>
      <c r="N243" s="50"/>
      <c r="O243" s="50"/>
      <c r="P243" s="50"/>
      <c r="Q243" s="50"/>
    </row>
    <row r="244" spans="1:17" x14ac:dyDescent="0.2">
      <c r="A244" s="312">
        <v>28</v>
      </c>
      <c r="B244" s="45"/>
      <c r="C244" s="311"/>
      <c r="D244" s="50"/>
      <c r="E244" s="50"/>
      <c r="F244" s="50"/>
      <c r="G244" s="50"/>
      <c r="H244" s="50"/>
      <c r="I244" s="50"/>
      <c r="J244" s="50"/>
      <c r="K244" s="50"/>
      <c r="L244" s="50"/>
      <c r="M244" s="50"/>
      <c r="N244" s="50"/>
      <c r="O244" s="50"/>
      <c r="P244" s="50"/>
      <c r="Q244" s="50"/>
    </row>
    <row r="245" spans="1:17" x14ac:dyDescent="0.2">
      <c r="A245" s="312">
        <v>29</v>
      </c>
      <c r="B245" s="45"/>
      <c r="C245" s="311"/>
      <c r="D245" s="50"/>
      <c r="E245" s="50"/>
      <c r="F245" s="50"/>
      <c r="G245" s="50"/>
      <c r="H245" s="50"/>
      <c r="I245" s="50"/>
      <c r="J245" s="50"/>
      <c r="K245" s="50"/>
      <c r="L245" s="50"/>
      <c r="M245" s="50"/>
      <c r="N245" s="50"/>
      <c r="O245" s="50"/>
      <c r="P245" s="50"/>
      <c r="Q245" s="50"/>
    </row>
    <row r="246" spans="1:17" x14ac:dyDescent="0.2">
      <c r="A246" s="312">
        <v>30</v>
      </c>
      <c r="B246" s="45"/>
      <c r="C246" s="311"/>
      <c r="D246" s="50"/>
      <c r="E246" s="50"/>
      <c r="F246" s="50"/>
      <c r="G246" s="50"/>
      <c r="H246" s="50"/>
      <c r="I246" s="50"/>
      <c r="J246" s="50"/>
      <c r="K246" s="50"/>
      <c r="L246" s="50"/>
      <c r="M246" s="50"/>
      <c r="N246" s="50"/>
      <c r="O246" s="50"/>
      <c r="P246" s="50"/>
      <c r="Q246" s="50"/>
    </row>
    <row r="247" spans="1:17" x14ac:dyDescent="0.2">
      <c r="A247" s="312">
        <v>31</v>
      </c>
      <c r="B247" s="45"/>
      <c r="C247" s="311"/>
      <c r="D247" s="50"/>
      <c r="E247" s="50"/>
      <c r="F247" s="50"/>
      <c r="G247" s="50"/>
      <c r="H247" s="50"/>
      <c r="I247" s="50"/>
      <c r="J247" s="50"/>
      <c r="K247" s="50"/>
      <c r="L247" s="50"/>
      <c r="M247" s="50"/>
      <c r="N247" s="50"/>
      <c r="O247" s="50"/>
      <c r="P247" s="50"/>
      <c r="Q247" s="50"/>
    </row>
    <row r="248" spans="1:17" x14ac:dyDescent="0.2">
      <c r="A248" s="312">
        <v>32</v>
      </c>
      <c r="B248" s="45"/>
      <c r="C248" s="311"/>
      <c r="D248" s="50"/>
      <c r="E248" s="50"/>
      <c r="F248" s="50"/>
      <c r="G248" s="50"/>
      <c r="H248" s="50"/>
      <c r="I248" s="50"/>
      <c r="J248" s="50"/>
      <c r="K248" s="50"/>
      <c r="L248" s="50"/>
      <c r="M248" s="50"/>
      <c r="N248" s="50"/>
      <c r="O248" s="50"/>
      <c r="P248" s="50"/>
      <c r="Q248" s="50"/>
    </row>
    <row r="249" spans="1:17" x14ac:dyDescent="0.2">
      <c r="A249" s="312">
        <v>33</v>
      </c>
      <c r="B249" s="45"/>
      <c r="C249" s="311"/>
      <c r="D249" s="50"/>
      <c r="E249" s="50"/>
      <c r="F249" s="50"/>
      <c r="G249" s="50"/>
      <c r="H249" s="50"/>
      <c r="I249" s="50"/>
      <c r="J249" s="50"/>
      <c r="K249" s="50"/>
      <c r="L249" s="50"/>
      <c r="M249" s="50"/>
      <c r="N249" s="50"/>
      <c r="O249" s="50"/>
      <c r="P249" s="50"/>
      <c r="Q249" s="50"/>
    </row>
    <row r="250" spans="1:17" x14ac:dyDescent="0.2">
      <c r="A250" s="312">
        <v>34</v>
      </c>
      <c r="B250" s="45"/>
      <c r="C250" s="311"/>
      <c r="D250" s="50"/>
      <c r="E250" s="50"/>
      <c r="F250" s="50"/>
      <c r="G250" s="50"/>
      <c r="H250" s="50"/>
      <c r="I250" s="50"/>
      <c r="J250" s="50"/>
      <c r="K250" s="50"/>
      <c r="L250" s="50"/>
      <c r="M250" s="50"/>
      <c r="N250" s="50"/>
      <c r="O250" s="50"/>
      <c r="P250" s="50"/>
      <c r="Q250" s="50"/>
    </row>
    <row r="251" spans="1:17" x14ac:dyDescent="0.2">
      <c r="A251" s="312">
        <v>35</v>
      </c>
      <c r="B251" s="45"/>
      <c r="C251" s="311"/>
      <c r="D251" s="50"/>
      <c r="E251" s="50"/>
      <c r="F251" s="50"/>
      <c r="G251" s="50"/>
      <c r="H251" s="50"/>
      <c r="I251" s="50"/>
      <c r="J251" s="50"/>
      <c r="K251" s="50"/>
      <c r="L251" s="50"/>
      <c r="M251" s="50"/>
      <c r="N251" s="50"/>
      <c r="O251" s="50"/>
      <c r="P251" s="50"/>
      <c r="Q251" s="50"/>
    </row>
    <row r="252" spans="1:17" x14ac:dyDescent="0.2">
      <c r="A252" s="312">
        <v>36</v>
      </c>
      <c r="B252" s="45"/>
      <c r="C252" s="311"/>
      <c r="D252" s="50"/>
      <c r="E252" s="50"/>
      <c r="F252" s="50"/>
      <c r="G252" s="50"/>
      <c r="H252" s="50"/>
      <c r="I252" s="50"/>
      <c r="J252" s="50"/>
      <c r="K252" s="50"/>
      <c r="L252" s="50"/>
      <c r="M252" s="50"/>
      <c r="N252" s="50"/>
      <c r="O252" s="50"/>
      <c r="P252" s="50"/>
      <c r="Q252" s="50"/>
    </row>
    <row r="253" spans="1:17" x14ac:dyDescent="0.2">
      <c r="A253" s="312">
        <v>37</v>
      </c>
      <c r="B253" s="45"/>
      <c r="C253" s="311"/>
      <c r="D253" s="50"/>
      <c r="E253" s="50"/>
      <c r="F253" s="50"/>
      <c r="G253" s="50"/>
      <c r="H253" s="50"/>
      <c r="I253" s="50"/>
      <c r="J253" s="50"/>
      <c r="K253" s="50"/>
      <c r="L253" s="50"/>
      <c r="M253" s="50"/>
      <c r="N253" s="50"/>
      <c r="O253" s="50"/>
      <c r="P253" s="50"/>
      <c r="Q253" s="50"/>
    </row>
    <row r="254" spans="1:17" x14ac:dyDescent="0.2">
      <c r="A254" s="312">
        <v>38</v>
      </c>
      <c r="B254" s="45"/>
      <c r="C254" s="311"/>
      <c r="D254" s="50"/>
      <c r="E254" s="50"/>
      <c r="F254" s="50"/>
      <c r="G254" s="50"/>
      <c r="H254" s="50"/>
      <c r="I254" s="50"/>
      <c r="J254" s="50"/>
      <c r="K254" s="50"/>
      <c r="L254" s="50"/>
      <c r="M254" s="50"/>
      <c r="N254" s="50"/>
      <c r="O254" s="50"/>
      <c r="P254" s="50"/>
      <c r="Q254" s="50"/>
    </row>
    <row r="255" spans="1:17" x14ac:dyDescent="0.2">
      <c r="A255" s="312">
        <v>39</v>
      </c>
      <c r="B255" s="45"/>
      <c r="C255" s="311"/>
      <c r="D255" s="50"/>
      <c r="E255" s="50"/>
      <c r="F255" s="50"/>
      <c r="G255" s="50"/>
      <c r="H255" s="50"/>
      <c r="I255" s="50"/>
      <c r="J255" s="50"/>
      <c r="K255" s="50"/>
      <c r="L255" s="50"/>
      <c r="M255" s="50"/>
      <c r="N255" s="50"/>
      <c r="O255" s="50"/>
      <c r="P255" s="50"/>
      <c r="Q255" s="50"/>
    </row>
    <row r="256" spans="1:17" x14ac:dyDescent="0.2">
      <c r="A256" s="312">
        <v>40</v>
      </c>
      <c r="B256" s="45"/>
      <c r="C256" s="311"/>
      <c r="D256" s="50"/>
      <c r="E256" s="50"/>
      <c r="F256" s="50"/>
      <c r="G256" s="50"/>
      <c r="H256" s="50"/>
      <c r="I256" s="50"/>
      <c r="J256" s="50"/>
      <c r="K256" s="50"/>
      <c r="L256" s="50"/>
      <c r="M256" s="50"/>
      <c r="N256" s="50"/>
      <c r="O256" s="50"/>
      <c r="P256" s="50"/>
      <c r="Q256" s="50"/>
    </row>
    <row r="257" spans="1:21" x14ac:dyDescent="0.2">
      <c r="A257" s="45"/>
      <c r="B257" s="45"/>
      <c r="C257" s="45"/>
      <c r="D257" s="50"/>
      <c r="E257" s="50"/>
      <c r="F257" s="50"/>
      <c r="G257" s="50"/>
      <c r="H257" s="50"/>
      <c r="I257" s="50"/>
      <c r="J257" s="50"/>
      <c r="K257" s="50"/>
      <c r="L257" s="50"/>
      <c r="M257" s="50"/>
      <c r="N257" s="50"/>
      <c r="O257" s="50"/>
      <c r="P257" s="50"/>
      <c r="Q257" s="50"/>
    </row>
    <row r="258" spans="1:21" x14ac:dyDescent="0.2">
      <c r="A258" s="45"/>
      <c r="B258" s="425" t="s">
        <v>54</v>
      </c>
      <c r="C258" s="311"/>
      <c r="D258" s="50"/>
      <c r="E258" s="50"/>
      <c r="F258" s="50"/>
      <c r="G258" s="50"/>
      <c r="H258" s="50"/>
      <c r="I258" s="50"/>
      <c r="J258" s="50"/>
      <c r="K258" s="50"/>
      <c r="L258" s="50"/>
      <c r="M258" s="50"/>
      <c r="N258" s="50"/>
      <c r="O258" s="50"/>
      <c r="P258" s="50"/>
      <c r="Q258" s="50"/>
    </row>
    <row r="259" spans="1:21" x14ac:dyDescent="0.2">
      <c r="A259" s="45"/>
      <c r="B259" s="430" t="s">
        <v>1267</v>
      </c>
      <c r="C259" s="311"/>
      <c r="D259" s="50"/>
      <c r="E259" s="50"/>
      <c r="F259" s="50"/>
      <c r="G259" s="50"/>
      <c r="H259" s="50"/>
      <c r="I259" s="50"/>
      <c r="J259" s="50"/>
      <c r="K259" s="50"/>
      <c r="L259" s="50"/>
      <c r="M259" s="50"/>
      <c r="N259" s="50"/>
      <c r="O259" s="50"/>
      <c r="P259" s="50"/>
      <c r="Q259" s="50"/>
    </row>
    <row r="260" spans="1:21" x14ac:dyDescent="0.2">
      <c r="A260" s="310">
        <v>1</v>
      </c>
      <c r="B260" s="315" t="s">
        <v>1943</v>
      </c>
      <c r="C260" s="308"/>
      <c r="D260" s="370">
        <v>681840252</v>
      </c>
      <c r="E260" s="71"/>
      <c r="F260" s="373">
        <v>640474467</v>
      </c>
      <c r="G260" s="376"/>
      <c r="H260" s="373">
        <v>41365784</v>
      </c>
      <c r="I260" s="370"/>
      <c r="J260" s="71">
        <v>0</v>
      </c>
      <c r="K260" s="71">
        <v>0</v>
      </c>
      <c r="L260" s="373">
        <v>0</v>
      </c>
      <c r="M260" s="374"/>
      <c r="N260" s="370"/>
      <c r="O260" s="373"/>
      <c r="P260" s="373"/>
      <c r="Q260" s="374"/>
    </row>
    <row r="261" spans="1:21" x14ac:dyDescent="0.2">
      <c r="A261" s="310">
        <v>2</v>
      </c>
      <c r="B261" s="315" t="s">
        <v>2144</v>
      </c>
      <c r="C261" s="308"/>
      <c r="D261" s="370">
        <v>445420512</v>
      </c>
      <c r="E261" s="71"/>
      <c r="F261" s="373">
        <v>426915076</v>
      </c>
      <c r="G261" s="376"/>
      <c r="H261" s="373">
        <v>18505436</v>
      </c>
      <c r="I261" s="370"/>
      <c r="J261" s="71">
        <v>0</v>
      </c>
      <c r="K261" s="71">
        <v>0</v>
      </c>
      <c r="L261" s="373">
        <v>0</v>
      </c>
      <c r="M261" s="374"/>
      <c r="N261" s="370"/>
      <c r="O261" s="373"/>
      <c r="P261" s="373"/>
      <c r="Q261" s="374"/>
    </row>
    <row r="262" spans="1:21" x14ac:dyDescent="0.2">
      <c r="A262" s="310">
        <v>3</v>
      </c>
      <c r="B262" s="315" t="s">
        <v>1944</v>
      </c>
      <c r="C262" s="308"/>
      <c r="D262" s="370">
        <v>0</v>
      </c>
      <c r="E262" s="71"/>
      <c r="F262" s="373">
        <v>0</v>
      </c>
      <c r="G262" s="376"/>
      <c r="H262" s="373">
        <v>0</v>
      </c>
      <c r="I262" s="370"/>
      <c r="J262" s="71">
        <v>0</v>
      </c>
      <c r="K262" s="71">
        <v>0</v>
      </c>
      <c r="L262" s="373">
        <v>0</v>
      </c>
      <c r="M262" s="374"/>
      <c r="N262" s="370"/>
      <c r="O262" s="373"/>
      <c r="P262" s="373"/>
      <c r="Q262" s="374"/>
    </row>
    <row r="263" spans="1:21" x14ac:dyDescent="0.2">
      <c r="A263" s="310">
        <v>4</v>
      </c>
      <c r="B263" s="315" t="s">
        <v>1945</v>
      </c>
      <c r="C263" s="308"/>
      <c r="D263" s="370">
        <v>391032442</v>
      </c>
      <c r="E263" s="71"/>
      <c r="F263" s="373">
        <v>382727598</v>
      </c>
      <c r="G263" s="376"/>
      <c r="H263" s="373">
        <v>8304845</v>
      </c>
      <c r="I263" s="370"/>
      <c r="J263" s="71">
        <v>0</v>
      </c>
      <c r="K263" s="71">
        <v>0</v>
      </c>
      <c r="L263" s="373">
        <v>0</v>
      </c>
      <c r="M263" s="374"/>
      <c r="N263" s="370"/>
      <c r="O263" s="373"/>
      <c r="P263" s="373"/>
      <c r="Q263" s="374"/>
    </row>
    <row r="264" spans="1:21" x14ac:dyDescent="0.2">
      <c r="A264" s="310">
        <v>5</v>
      </c>
      <c r="B264" s="315" t="s">
        <v>1946</v>
      </c>
      <c r="C264" s="308"/>
      <c r="D264" s="370">
        <v>0</v>
      </c>
      <c r="E264" s="71"/>
      <c r="F264" s="373">
        <v>0</v>
      </c>
      <c r="G264" s="376"/>
      <c r="H264" s="373">
        <v>0</v>
      </c>
      <c r="I264" s="370"/>
      <c r="J264" s="71">
        <v>0</v>
      </c>
      <c r="K264" s="71">
        <v>0</v>
      </c>
      <c r="L264" s="373">
        <v>0</v>
      </c>
      <c r="M264" s="374"/>
      <c r="N264" s="370"/>
      <c r="O264" s="373"/>
      <c r="P264" s="373"/>
      <c r="Q264" s="374"/>
    </row>
    <row r="265" spans="1:21" x14ac:dyDescent="0.2">
      <c r="A265" s="310">
        <v>6</v>
      </c>
      <c r="B265" s="315" t="s">
        <v>1947</v>
      </c>
      <c r="C265" s="308"/>
      <c r="D265" s="370">
        <v>13155302</v>
      </c>
      <c r="E265" s="71"/>
      <c r="F265" s="373">
        <v>12736465</v>
      </c>
      <c r="G265" s="376"/>
      <c r="H265" s="373">
        <v>418837</v>
      </c>
      <c r="I265" s="370"/>
      <c r="J265" s="71">
        <v>0</v>
      </c>
      <c r="K265" s="71">
        <v>0</v>
      </c>
      <c r="L265" s="373">
        <v>0</v>
      </c>
      <c r="M265" s="374"/>
      <c r="N265" s="370"/>
      <c r="O265" s="373"/>
      <c r="P265" s="373"/>
      <c r="Q265" s="374"/>
    </row>
    <row r="266" spans="1:21" x14ac:dyDescent="0.2">
      <c r="A266" s="310">
        <v>7</v>
      </c>
      <c r="B266" s="315" t="s">
        <v>1948</v>
      </c>
      <c r="C266" s="308"/>
      <c r="D266" s="370">
        <v>138862829</v>
      </c>
      <c r="E266" s="71"/>
      <c r="F266" s="373">
        <v>131716194</v>
      </c>
      <c r="G266" s="376"/>
      <c r="H266" s="373">
        <v>7146634</v>
      </c>
      <c r="I266" s="370"/>
      <c r="J266" s="71">
        <v>0</v>
      </c>
      <c r="K266" s="71">
        <v>0</v>
      </c>
      <c r="L266" s="373">
        <v>0</v>
      </c>
      <c r="M266" s="374"/>
      <c r="N266" s="370"/>
      <c r="O266" s="373"/>
      <c r="P266" s="373"/>
      <c r="Q266" s="374"/>
    </row>
    <row r="267" spans="1:21" x14ac:dyDescent="0.2">
      <c r="A267" s="310">
        <v>8</v>
      </c>
      <c r="B267" s="315" t="s">
        <v>1949</v>
      </c>
      <c r="C267" s="308"/>
      <c r="D267" s="370">
        <v>0</v>
      </c>
      <c r="E267" s="71"/>
      <c r="F267" s="373">
        <v>0</v>
      </c>
      <c r="G267" s="376"/>
      <c r="H267" s="373">
        <v>0</v>
      </c>
      <c r="I267" s="370"/>
      <c r="J267" s="71">
        <v>0</v>
      </c>
      <c r="K267" s="71">
        <v>0</v>
      </c>
      <c r="L267" s="373">
        <v>0</v>
      </c>
      <c r="M267" s="374"/>
      <c r="N267" s="370"/>
      <c r="O267" s="373"/>
      <c r="P267" s="373"/>
      <c r="Q267" s="374"/>
    </row>
    <row r="268" spans="1:21" x14ac:dyDescent="0.2">
      <c r="A268" s="310">
        <v>9</v>
      </c>
      <c r="B268" s="315" t="s">
        <v>1950</v>
      </c>
      <c r="C268" s="308"/>
      <c r="D268" s="370">
        <v>23936454</v>
      </c>
      <c r="E268" s="71"/>
      <c r="F268" s="373">
        <v>0</v>
      </c>
      <c r="G268" s="376"/>
      <c r="H268" s="373">
        <v>0</v>
      </c>
      <c r="I268" s="370"/>
      <c r="J268" s="71">
        <v>23936454</v>
      </c>
      <c r="K268" s="71">
        <v>12216381</v>
      </c>
      <c r="L268" s="373">
        <v>11720073</v>
      </c>
      <c r="M268" s="374"/>
      <c r="N268" s="370"/>
      <c r="O268" s="373"/>
      <c r="P268" s="373"/>
      <c r="Q268" s="374"/>
    </row>
    <row r="269" spans="1:21" x14ac:dyDescent="0.2">
      <c r="A269" s="312">
        <v>10</v>
      </c>
      <c r="B269" s="423" t="s">
        <v>55</v>
      </c>
      <c r="C269" s="311"/>
      <c r="D269" s="347">
        <v>0</v>
      </c>
      <c r="E269" s="50"/>
      <c r="F269" s="378">
        <v>0</v>
      </c>
      <c r="G269" s="378"/>
      <c r="H269" s="378">
        <v>0</v>
      </c>
      <c r="I269" s="347"/>
      <c r="J269" s="50">
        <v>0</v>
      </c>
      <c r="K269" s="50">
        <v>0</v>
      </c>
      <c r="L269" s="378">
        <v>0</v>
      </c>
      <c r="M269" s="378"/>
      <c r="N269" s="347"/>
      <c r="O269" s="378"/>
      <c r="P269" s="378"/>
      <c r="Q269" s="378"/>
    </row>
    <row r="270" spans="1:21" x14ac:dyDescent="0.2">
      <c r="A270" s="312">
        <v>11</v>
      </c>
      <c r="B270" s="432" t="s">
        <v>1951</v>
      </c>
      <c r="C270" s="311"/>
      <c r="D270" s="347">
        <v>0</v>
      </c>
      <c r="E270" s="50"/>
      <c r="F270" s="378">
        <v>0</v>
      </c>
      <c r="G270" s="378"/>
      <c r="H270" s="373">
        <v>0</v>
      </c>
      <c r="I270" s="347"/>
      <c r="J270" s="50">
        <v>0</v>
      </c>
      <c r="K270" s="50">
        <v>0</v>
      </c>
      <c r="L270" s="378">
        <v>0</v>
      </c>
      <c r="M270" s="378"/>
      <c r="N270" s="347"/>
      <c r="O270" s="373"/>
      <c r="P270" s="373"/>
      <c r="Q270" s="378"/>
      <c r="U270" s="319"/>
    </row>
    <row r="271" spans="1:21" x14ac:dyDescent="0.2">
      <c r="A271" s="312">
        <v>12</v>
      </c>
      <c r="B271" s="45"/>
      <c r="C271" s="311"/>
      <c r="D271" s="311"/>
      <c r="E271" s="311"/>
      <c r="F271" s="311"/>
      <c r="G271" s="311"/>
      <c r="H271" s="311"/>
      <c r="I271" s="311"/>
      <c r="J271" s="311"/>
      <c r="K271" s="311"/>
      <c r="L271" s="311"/>
      <c r="M271" s="311"/>
      <c r="N271" s="311"/>
      <c r="O271" s="311"/>
      <c r="P271" s="311"/>
      <c r="Q271" s="311"/>
    </row>
    <row r="272" spans="1:21" x14ac:dyDescent="0.2">
      <c r="A272" s="312">
        <v>13</v>
      </c>
      <c r="B272" s="45"/>
      <c r="C272" s="311"/>
      <c r="D272" s="311"/>
      <c r="E272" s="311"/>
      <c r="F272" s="311"/>
      <c r="G272" s="311"/>
      <c r="H272" s="311"/>
      <c r="I272" s="311"/>
      <c r="J272" s="311"/>
      <c r="K272" s="311"/>
      <c r="L272" s="311"/>
      <c r="M272" s="311"/>
      <c r="N272" s="311"/>
      <c r="O272" s="311"/>
      <c r="P272" s="311"/>
      <c r="Q272" s="311"/>
    </row>
    <row r="273" spans="1:17" x14ac:dyDescent="0.2">
      <c r="A273" s="45"/>
      <c r="B273" s="45"/>
      <c r="C273" s="311"/>
      <c r="D273" s="45"/>
      <c r="E273" s="45"/>
      <c r="F273" s="45"/>
      <c r="G273" s="45"/>
      <c r="H273" s="45"/>
      <c r="I273" s="45"/>
      <c r="J273" s="45"/>
      <c r="K273" s="45"/>
      <c r="L273" s="45"/>
      <c r="M273" s="45"/>
      <c r="N273" s="45"/>
      <c r="O273" s="45"/>
      <c r="P273" s="45"/>
      <c r="Q273" s="45"/>
    </row>
    <row r="274" spans="1:17" x14ac:dyDescent="0.2">
      <c r="A274" s="45"/>
      <c r="B274" s="45"/>
      <c r="C274" s="311"/>
      <c r="D274" s="45"/>
      <c r="E274" s="45"/>
      <c r="F274" s="45"/>
      <c r="G274" s="45"/>
      <c r="H274" s="45"/>
      <c r="I274" s="45"/>
      <c r="J274" s="45"/>
      <c r="K274" s="45"/>
      <c r="L274" s="45"/>
      <c r="M274" s="45"/>
      <c r="N274" s="45"/>
      <c r="O274" s="45"/>
      <c r="P274" s="45"/>
      <c r="Q274" s="45"/>
    </row>
    <row r="275" spans="1:17" x14ac:dyDescent="0.2">
      <c r="A275" s="45"/>
      <c r="B275" s="45"/>
      <c r="C275" s="311"/>
      <c r="D275" s="45"/>
      <c r="E275" s="45"/>
      <c r="F275" s="45"/>
      <c r="G275" s="45"/>
      <c r="H275" s="45"/>
      <c r="I275" s="45"/>
      <c r="J275" s="45"/>
      <c r="K275" s="45"/>
      <c r="L275" s="45"/>
      <c r="M275" s="45"/>
      <c r="N275" s="45"/>
      <c r="O275" s="45"/>
      <c r="P275" s="45"/>
      <c r="Q275" s="45"/>
    </row>
    <row r="276" spans="1:17" x14ac:dyDescent="0.2">
      <c r="A276" s="45"/>
      <c r="B276" s="45"/>
      <c r="C276" s="311"/>
      <c r="D276" s="45"/>
      <c r="E276" s="45"/>
      <c r="F276" s="45"/>
      <c r="G276" s="45"/>
      <c r="H276" s="45"/>
      <c r="I276" s="45"/>
      <c r="J276" s="45"/>
      <c r="K276" s="45"/>
      <c r="L276" s="45"/>
      <c r="M276" s="45"/>
      <c r="N276" s="45"/>
      <c r="O276" s="45"/>
      <c r="P276" s="45"/>
      <c r="Q276" s="45"/>
    </row>
    <row r="277" spans="1:17" x14ac:dyDescent="0.2">
      <c r="A277" s="45"/>
      <c r="B277" s="45"/>
      <c r="C277" s="311"/>
      <c r="D277" s="45"/>
      <c r="E277" s="45"/>
      <c r="F277" s="45"/>
      <c r="G277" s="45"/>
      <c r="H277" s="45"/>
      <c r="I277" s="45"/>
      <c r="J277" s="45"/>
      <c r="K277" s="45"/>
      <c r="L277" s="45"/>
      <c r="M277" s="45"/>
      <c r="N277" s="45"/>
      <c r="O277" s="45"/>
      <c r="P277" s="45"/>
      <c r="Q277" s="45"/>
    </row>
    <row r="278" spans="1:17" x14ac:dyDescent="0.2">
      <c r="A278" s="45"/>
      <c r="B278" s="425" t="s">
        <v>56</v>
      </c>
      <c r="C278" s="311"/>
      <c r="D278" s="45"/>
      <c r="E278" s="45"/>
      <c r="F278" s="45"/>
      <c r="G278" s="45"/>
      <c r="H278" s="45"/>
      <c r="I278" s="45"/>
      <c r="J278" s="45"/>
      <c r="K278" s="45"/>
      <c r="L278" s="45"/>
      <c r="M278" s="45"/>
      <c r="N278" s="45"/>
      <c r="O278" s="45"/>
      <c r="P278" s="45"/>
      <c r="Q278" s="45"/>
    </row>
    <row r="279" spans="1:17" x14ac:dyDescent="0.2">
      <c r="A279" s="45"/>
      <c r="B279" s="45"/>
      <c r="C279" s="311"/>
      <c r="D279" s="45"/>
      <c r="E279" s="45"/>
      <c r="F279" s="45"/>
      <c r="G279" s="45"/>
      <c r="H279" s="45"/>
      <c r="I279" s="45"/>
      <c r="J279" s="45"/>
      <c r="K279" s="45"/>
      <c r="L279" s="45"/>
      <c r="M279" s="45"/>
      <c r="N279" s="45"/>
      <c r="O279" s="45"/>
      <c r="P279" s="45"/>
      <c r="Q279" s="45"/>
    </row>
    <row r="280" spans="1:17" x14ac:dyDescent="0.2">
      <c r="A280" s="45"/>
      <c r="B280" s="425" t="s">
        <v>57</v>
      </c>
      <c r="C280" s="311"/>
      <c r="D280" s="45"/>
      <c r="E280" s="45"/>
      <c r="F280" s="45"/>
      <c r="G280" s="45"/>
      <c r="H280" s="45"/>
      <c r="I280" s="45"/>
      <c r="J280" s="45"/>
      <c r="K280" s="45"/>
      <c r="L280" s="45"/>
      <c r="M280" s="45"/>
      <c r="N280" s="45"/>
      <c r="O280" s="45"/>
      <c r="P280" s="45"/>
      <c r="Q280" s="45"/>
    </row>
    <row r="281" spans="1:17" x14ac:dyDescent="0.2">
      <c r="A281" s="45"/>
      <c r="B281" s="430" t="s">
        <v>1267</v>
      </c>
      <c r="C281" s="311"/>
      <c r="D281" s="45"/>
      <c r="E281" s="45"/>
      <c r="F281" s="45"/>
      <c r="G281" s="45"/>
      <c r="H281" s="45"/>
      <c r="I281" s="45"/>
      <c r="J281" s="45"/>
      <c r="K281" s="45"/>
      <c r="L281" s="45"/>
      <c r="M281" s="45"/>
      <c r="N281" s="45"/>
      <c r="O281" s="45"/>
      <c r="P281" s="45"/>
      <c r="Q281" s="45"/>
    </row>
    <row r="282" spans="1:17" x14ac:dyDescent="0.2">
      <c r="A282" s="45"/>
      <c r="B282" s="425" t="s">
        <v>1268</v>
      </c>
      <c r="C282" s="45"/>
      <c r="D282" s="45"/>
      <c r="E282" s="45"/>
      <c r="F282" s="45"/>
      <c r="G282" s="45"/>
      <c r="H282" s="45"/>
      <c r="I282" s="45"/>
      <c r="J282" s="45"/>
      <c r="K282" s="45"/>
      <c r="L282" s="45"/>
      <c r="M282" s="45"/>
      <c r="N282" s="45"/>
      <c r="O282" s="45"/>
      <c r="P282" s="45"/>
      <c r="Q282" s="45"/>
    </row>
    <row r="283" spans="1:17" x14ac:dyDescent="0.2">
      <c r="A283" s="312">
        <v>1</v>
      </c>
      <c r="B283" s="423" t="s">
        <v>1269</v>
      </c>
      <c r="C283" s="424" t="s">
        <v>1270</v>
      </c>
      <c r="D283" s="321">
        <v>1</v>
      </c>
      <c r="E283" s="45"/>
      <c r="F283" s="321">
        <v>0.93811</v>
      </c>
      <c r="G283" s="321"/>
      <c r="H283" s="321">
        <v>4.249E-2</v>
      </c>
      <c r="I283" s="321"/>
      <c r="J283" s="45">
        <v>1.9400000000000001E-2</v>
      </c>
      <c r="K283" s="321">
        <v>9.8399999999999998E-3</v>
      </c>
      <c r="L283" s="321">
        <v>9.5600000000000008E-3</v>
      </c>
      <c r="M283" s="321"/>
      <c r="N283" s="321"/>
      <c r="O283" s="321"/>
      <c r="P283" s="321"/>
      <c r="Q283" s="321"/>
    </row>
    <row r="284" spans="1:17" x14ac:dyDescent="0.2">
      <c r="A284" s="312">
        <v>2</v>
      </c>
      <c r="B284" s="423" t="s">
        <v>1271</v>
      </c>
      <c r="C284" s="424" t="s">
        <v>1272</v>
      </c>
      <c r="D284" s="321">
        <v>1</v>
      </c>
      <c r="E284" s="45"/>
      <c r="F284" s="321">
        <v>0.51436999999999999</v>
      </c>
      <c r="G284" s="321"/>
      <c r="H284" s="321">
        <v>0.33338000000000001</v>
      </c>
      <c r="I284" s="321"/>
      <c r="J284" s="45">
        <v>0.15225</v>
      </c>
      <c r="K284" s="321">
        <v>7.7229999999999993E-2</v>
      </c>
      <c r="L284" s="321">
        <v>7.5020000000000003E-2</v>
      </c>
      <c r="M284" s="321"/>
      <c r="N284" s="321"/>
      <c r="O284" s="321"/>
      <c r="P284" s="321"/>
      <c r="Q284" s="321"/>
    </row>
    <row r="285" spans="1:17" x14ac:dyDescent="0.2">
      <c r="A285" s="312">
        <v>3</v>
      </c>
      <c r="B285" s="423" t="s">
        <v>1273</v>
      </c>
      <c r="C285" s="424" t="s">
        <v>1274</v>
      </c>
      <c r="D285" s="321">
        <v>1</v>
      </c>
      <c r="E285" s="45"/>
      <c r="F285" s="321">
        <v>0</v>
      </c>
      <c r="G285" s="321"/>
      <c r="H285" s="321">
        <v>1</v>
      </c>
      <c r="I285" s="321"/>
      <c r="J285" s="45">
        <v>0</v>
      </c>
      <c r="K285" s="321">
        <v>0</v>
      </c>
      <c r="L285" s="321">
        <v>0</v>
      </c>
      <c r="M285" s="321"/>
      <c r="N285" s="321"/>
      <c r="O285" s="321"/>
      <c r="P285" s="321"/>
      <c r="Q285" s="321"/>
    </row>
    <row r="286" spans="1:17" x14ac:dyDescent="0.2">
      <c r="A286" s="312">
        <v>4</v>
      </c>
      <c r="B286" s="423" t="s">
        <v>1275</v>
      </c>
      <c r="C286" s="424" t="s">
        <v>1276</v>
      </c>
      <c r="D286" s="321">
        <v>1</v>
      </c>
      <c r="E286" s="45"/>
      <c r="F286" s="321">
        <v>0.97974000000000006</v>
      </c>
      <c r="G286" s="321"/>
      <c r="H286" s="321">
        <v>0</v>
      </c>
      <c r="I286" s="321"/>
      <c r="J286" s="45">
        <v>2.026E-2</v>
      </c>
      <c r="K286" s="321">
        <v>1.0279999999999999E-2</v>
      </c>
      <c r="L286" s="321">
        <v>9.9799999999999993E-3</v>
      </c>
      <c r="M286" s="321"/>
      <c r="N286" s="321"/>
      <c r="O286" s="321"/>
      <c r="P286" s="321"/>
      <c r="Q286" s="321"/>
    </row>
    <row r="287" spans="1:17" x14ac:dyDescent="0.2">
      <c r="A287" s="312">
        <v>5</v>
      </c>
      <c r="B287" s="423" t="s">
        <v>1277</v>
      </c>
      <c r="C287" s="424" t="s">
        <v>1278</v>
      </c>
      <c r="D287" s="321">
        <v>1</v>
      </c>
      <c r="E287" s="45"/>
      <c r="F287" s="321">
        <v>0.77161000000000002</v>
      </c>
      <c r="G287" s="321"/>
      <c r="H287" s="321">
        <v>0</v>
      </c>
      <c r="I287" s="321"/>
      <c r="J287" s="45">
        <v>0.22839000000000001</v>
      </c>
      <c r="K287" s="321">
        <v>0.11584999999999999</v>
      </c>
      <c r="L287" s="321">
        <v>0.11254</v>
      </c>
      <c r="M287" s="321"/>
      <c r="N287" s="321"/>
      <c r="O287" s="321"/>
      <c r="P287" s="321"/>
      <c r="Q287" s="321"/>
    </row>
    <row r="288" spans="1:17" x14ac:dyDescent="0.2">
      <c r="A288" s="312">
        <v>6</v>
      </c>
      <c r="B288" s="423" t="s">
        <v>1279</v>
      </c>
      <c r="C288" s="424" t="s">
        <v>1280</v>
      </c>
      <c r="D288" s="321">
        <v>1</v>
      </c>
      <c r="E288" s="45"/>
      <c r="F288" s="321">
        <v>0.97974000000000006</v>
      </c>
      <c r="G288" s="321"/>
      <c r="H288" s="321">
        <v>0</v>
      </c>
      <c r="I288" s="321"/>
      <c r="J288" s="45">
        <v>2.026E-2</v>
      </c>
      <c r="K288" s="321">
        <v>1.0279999999999999E-2</v>
      </c>
      <c r="L288" s="321">
        <v>9.9799999999999993E-3</v>
      </c>
      <c r="M288" s="321"/>
      <c r="N288" s="321"/>
      <c r="O288" s="321"/>
      <c r="P288" s="321"/>
      <c r="Q288" s="321"/>
    </row>
    <row r="289" spans="1:17" x14ac:dyDescent="0.2">
      <c r="A289" s="45"/>
      <c r="B289" s="425" t="s">
        <v>1281</v>
      </c>
      <c r="C289" s="45"/>
      <c r="D289" s="45"/>
      <c r="E289" s="45"/>
      <c r="F289" s="45"/>
      <c r="G289" s="45"/>
      <c r="H289" s="45"/>
      <c r="I289" s="45"/>
      <c r="J289" s="45"/>
      <c r="K289" s="45"/>
      <c r="L289" s="45"/>
      <c r="M289" s="45"/>
      <c r="N289" s="45"/>
      <c r="O289" s="45"/>
      <c r="P289" s="45"/>
      <c r="Q289" s="45"/>
    </row>
    <row r="290" spans="1:17" x14ac:dyDescent="0.2">
      <c r="A290" s="312">
        <v>7</v>
      </c>
      <c r="B290" s="423" t="s">
        <v>1282</v>
      </c>
      <c r="C290" s="424" t="s">
        <v>1283</v>
      </c>
      <c r="D290" s="321">
        <v>1</v>
      </c>
      <c r="E290" s="45"/>
      <c r="F290" s="321">
        <v>0.93811</v>
      </c>
      <c r="G290" s="321"/>
      <c r="H290" s="321">
        <v>4.249E-2</v>
      </c>
      <c r="I290" s="321"/>
      <c r="J290" s="45">
        <v>1.9400000000000001E-2</v>
      </c>
      <c r="K290" s="321">
        <v>9.8399999999999998E-3</v>
      </c>
      <c r="L290" s="321">
        <v>9.5600000000000008E-3</v>
      </c>
      <c r="M290" s="321"/>
      <c r="N290" s="321"/>
      <c r="O290" s="321"/>
      <c r="P290" s="321"/>
      <c r="Q290" s="321"/>
    </row>
    <row r="291" spans="1:17" x14ac:dyDescent="0.2">
      <c r="A291" s="312">
        <v>8</v>
      </c>
      <c r="B291" s="423" t="s">
        <v>1284</v>
      </c>
      <c r="C291" s="424" t="s">
        <v>1285</v>
      </c>
      <c r="D291" s="321">
        <v>1</v>
      </c>
      <c r="E291" s="45"/>
      <c r="F291" s="321">
        <v>0</v>
      </c>
      <c r="G291" s="321"/>
      <c r="H291" s="321">
        <v>1</v>
      </c>
      <c r="I291" s="321"/>
      <c r="J291" s="45">
        <v>0</v>
      </c>
      <c r="K291" s="321">
        <v>0</v>
      </c>
      <c r="L291" s="321">
        <v>0</v>
      </c>
      <c r="M291" s="321"/>
      <c r="N291" s="321"/>
      <c r="O291" s="321"/>
      <c r="P291" s="321"/>
      <c r="Q291" s="321"/>
    </row>
    <row r="292" spans="1:17" x14ac:dyDescent="0.2">
      <c r="A292" s="312">
        <v>9</v>
      </c>
      <c r="B292" s="426" t="s">
        <v>1849</v>
      </c>
      <c r="C292" s="427" t="s">
        <v>1850</v>
      </c>
      <c r="D292" s="321">
        <v>1</v>
      </c>
      <c r="E292" s="45"/>
      <c r="F292" s="321">
        <v>0.95667000000000002</v>
      </c>
      <c r="G292" s="321"/>
      <c r="H292" s="321">
        <v>4.333E-2</v>
      </c>
      <c r="I292" s="321"/>
      <c r="J292" s="45">
        <v>0</v>
      </c>
      <c r="K292" s="321">
        <v>0</v>
      </c>
      <c r="L292" s="321">
        <v>0</v>
      </c>
      <c r="M292" s="321"/>
      <c r="N292" s="321"/>
      <c r="O292" s="321"/>
      <c r="P292" s="321"/>
      <c r="Q292" s="321"/>
    </row>
    <row r="293" spans="1:17" x14ac:dyDescent="0.2">
      <c r="A293" s="312">
        <v>10</v>
      </c>
      <c r="B293" s="423" t="s">
        <v>1286</v>
      </c>
      <c r="C293" s="424" t="s">
        <v>1287</v>
      </c>
      <c r="D293" s="321">
        <v>1</v>
      </c>
      <c r="E293" s="45"/>
      <c r="F293" s="321">
        <v>0</v>
      </c>
      <c r="G293" s="321"/>
      <c r="H293" s="321">
        <v>0.68649000000000004</v>
      </c>
      <c r="I293" s="321"/>
      <c r="J293" s="45">
        <v>0.31351000000000001</v>
      </c>
      <c r="K293" s="321">
        <v>0.15903</v>
      </c>
      <c r="L293" s="321">
        <v>0.15448000000000001</v>
      </c>
      <c r="M293" s="321"/>
      <c r="N293" s="321"/>
      <c r="O293" s="321"/>
      <c r="P293" s="321"/>
      <c r="Q293" s="321"/>
    </row>
    <row r="294" spans="1:17" x14ac:dyDescent="0.2">
      <c r="A294" s="312">
        <v>11</v>
      </c>
      <c r="B294" s="426" t="s">
        <v>2133</v>
      </c>
      <c r="C294" s="427" t="s">
        <v>2134</v>
      </c>
      <c r="D294" s="321">
        <v>1</v>
      </c>
      <c r="E294" s="45"/>
      <c r="F294" s="321">
        <v>1</v>
      </c>
      <c r="G294" s="321"/>
      <c r="H294" s="321">
        <v>0</v>
      </c>
      <c r="I294" s="321"/>
      <c r="J294" s="45">
        <v>0</v>
      </c>
      <c r="K294" s="321">
        <v>0</v>
      </c>
      <c r="L294" s="321">
        <v>0</v>
      </c>
      <c r="M294" s="321"/>
      <c r="N294" s="321"/>
      <c r="O294" s="321"/>
      <c r="P294" s="321"/>
      <c r="Q294" s="321"/>
    </row>
    <row r="295" spans="1:17" x14ac:dyDescent="0.2">
      <c r="A295" s="312"/>
      <c r="B295" s="45"/>
      <c r="C295" s="45"/>
      <c r="D295" s="45"/>
      <c r="E295" s="45"/>
      <c r="F295" s="45"/>
      <c r="G295" s="45"/>
      <c r="H295" s="45"/>
      <c r="I295" s="45"/>
      <c r="J295" s="45"/>
      <c r="K295" s="45"/>
      <c r="L295" s="45"/>
      <c r="M295" s="45"/>
      <c r="N295" s="45"/>
      <c r="O295" s="45"/>
      <c r="P295" s="45"/>
      <c r="Q295" s="45"/>
    </row>
    <row r="296" spans="1:17" x14ac:dyDescent="0.2">
      <c r="A296" s="45"/>
      <c r="B296" s="425" t="s">
        <v>1288</v>
      </c>
      <c r="C296" s="45"/>
      <c r="D296" s="45"/>
      <c r="E296" s="45"/>
      <c r="F296" s="45"/>
      <c r="G296" s="45"/>
      <c r="H296" s="45"/>
      <c r="I296" s="45"/>
      <c r="J296" s="45"/>
      <c r="K296" s="45"/>
      <c r="L296" s="45"/>
      <c r="M296" s="45"/>
      <c r="N296" s="45"/>
      <c r="O296" s="45"/>
      <c r="P296" s="45"/>
      <c r="Q296" s="45"/>
    </row>
    <row r="297" spans="1:17" x14ac:dyDescent="0.2">
      <c r="A297" s="312">
        <v>12</v>
      </c>
      <c r="B297" s="423" t="s">
        <v>1851</v>
      </c>
      <c r="C297" s="424" t="s">
        <v>1852</v>
      </c>
      <c r="D297" s="321">
        <v>1</v>
      </c>
      <c r="E297" s="45"/>
      <c r="F297" s="321">
        <v>0.999</v>
      </c>
      <c r="G297" s="321"/>
      <c r="H297" s="321">
        <v>0</v>
      </c>
      <c r="I297" s="321"/>
      <c r="J297" s="45">
        <v>1E-3</v>
      </c>
      <c r="K297" s="321">
        <v>1E-3</v>
      </c>
      <c r="L297" s="321">
        <v>0</v>
      </c>
      <c r="M297" s="321"/>
      <c r="N297" s="321"/>
      <c r="O297" s="321"/>
      <c r="P297" s="321"/>
      <c r="Q297" s="321"/>
    </row>
    <row r="298" spans="1:17" x14ac:dyDescent="0.2">
      <c r="A298" s="312">
        <v>13</v>
      </c>
      <c r="B298" s="423" t="s">
        <v>1853</v>
      </c>
      <c r="C298" s="424" t="s">
        <v>1854</v>
      </c>
      <c r="D298" s="321">
        <v>1</v>
      </c>
      <c r="E298" s="45"/>
      <c r="F298" s="321">
        <v>0.98802000000000001</v>
      </c>
      <c r="G298" s="321"/>
      <c r="H298" s="321">
        <v>0</v>
      </c>
      <c r="I298" s="321"/>
      <c r="J298" s="45">
        <v>1.1979999999999999E-2</v>
      </c>
      <c r="K298" s="321">
        <v>1.1979999999999999E-2</v>
      </c>
      <c r="L298" s="321">
        <v>0</v>
      </c>
      <c r="M298" s="321"/>
      <c r="N298" s="321"/>
      <c r="O298" s="321"/>
      <c r="P298" s="321"/>
      <c r="Q298" s="321"/>
    </row>
    <row r="299" spans="1:17" x14ac:dyDescent="0.2">
      <c r="A299" s="312">
        <v>14</v>
      </c>
      <c r="B299" s="423" t="s">
        <v>1855</v>
      </c>
      <c r="C299" s="424" t="s">
        <v>1856</v>
      </c>
      <c r="D299" s="321">
        <v>1</v>
      </c>
      <c r="E299" s="45"/>
      <c r="F299" s="321">
        <v>0.98982999999999999</v>
      </c>
      <c r="G299" s="321"/>
      <c r="H299" s="321">
        <v>0</v>
      </c>
      <c r="I299" s="321"/>
      <c r="J299" s="45">
        <v>1.017E-2</v>
      </c>
      <c r="K299" s="321">
        <v>1.017E-2</v>
      </c>
      <c r="L299" s="321">
        <v>0</v>
      </c>
      <c r="M299" s="321"/>
      <c r="N299" s="321"/>
      <c r="O299" s="321"/>
      <c r="P299" s="321"/>
      <c r="Q299" s="321"/>
    </row>
    <row r="300" spans="1:17" x14ac:dyDescent="0.2">
      <c r="A300" s="312">
        <v>15</v>
      </c>
      <c r="B300" s="423" t="s">
        <v>1857</v>
      </c>
      <c r="C300" s="424" t="s">
        <v>1858</v>
      </c>
      <c r="D300" s="321">
        <v>1</v>
      </c>
      <c r="E300" s="45"/>
      <c r="F300" s="321">
        <v>1</v>
      </c>
      <c r="G300" s="321"/>
      <c r="H300" s="321">
        <v>0</v>
      </c>
      <c r="I300" s="321"/>
      <c r="J300" s="45">
        <v>0</v>
      </c>
      <c r="K300" s="321">
        <v>0</v>
      </c>
      <c r="L300" s="321">
        <v>0</v>
      </c>
      <c r="M300" s="321"/>
      <c r="N300" s="321"/>
      <c r="O300" s="321"/>
      <c r="P300" s="321"/>
      <c r="Q300" s="321"/>
    </row>
    <row r="301" spans="1:17" x14ac:dyDescent="0.2">
      <c r="A301" s="312">
        <v>16</v>
      </c>
      <c r="B301" s="423" t="s">
        <v>1859</v>
      </c>
      <c r="C301" s="424" t="s">
        <v>1860</v>
      </c>
      <c r="D301" s="321">
        <v>1</v>
      </c>
      <c r="E301" s="45"/>
      <c r="F301" s="321">
        <v>1</v>
      </c>
      <c r="G301" s="321"/>
      <c r="H301" s="321">
        <v>0</v>
      </c>
      <c r="I301" s="321"/>
      <c r="J301" s="45">
        <v>0</v>
      </c>
      <c r="K301" s="321">
        <v>0</v>
      </c>
      <c r="L301" s="321">
        <v>0</v>
      </c>
      <c r="M301" s="321"/>
      <c r="N301" s="321"/>
      <c r="O301" s="321"/>
      <c r="P301" s="321"/>
      <c r="Q301" s="321"/>
    </row>
    <row r="302" spans="1:17" x14ac:dyDescent="0.2">
      <c r="A302" s="312">
        <v>17</v>
      </c>
      <c r="B302" s="423" t="s">
        <v>1861</v>
      </c>
      <c r="C302" s="424" t="s">
        <v>1862</v>
      </c>
      <c r="D302" s="321">
        <v>1</v>
      </c>
      <c r="E302" s="45"/>
      <c r="F302" s="321">
        <v>1</v>
      </c>
      <c r="G302" s="321"/>
      <c r="H302" s="321">
        <v>0</v>
      </c>
      <c r="I302" s="321"/>
      <c r="J302" s="45">
        <v>0</v>
      </c>
      <c r="K302" s="321">
        <v>0</v>
      </c>
      <c r="L302" s="321">
        <v>0</v>
      </c>
      <c r="M302" s="321"/>
      <c r="N302" s="321"/>
      <c r="O302" s="321"/>
      <c r="P302" s="321"/>
      <c r="Q302" s="321"/>
    </row>
    <row r="303" spans="1:17" x14ac:dyDescent="0.2">
      <c r="A303" s="312">
        <v>18</v>
      </c>
      <c r="B303" s="423" t="s">
        <v>1863</v>
      </c>
      <c r="C303" s="424" t="s">
        <v>1864</v>
      </c>
      <c r="D303" s="321">
        <v>1</v>
      </c>
      <c r="E303" s="45"/>
      <c r="F303" s="321">
        <v>1</v>
      </c>
      <c r="G303" s="321"/>
      <c r="H303" s="321">
        <v>0</v>
      </c>
      <c r="I303" s="321"/>
      <c r="J303" s="45">
        <v>0</v>
      </c>
      <c r="K303" s="321">
        <v>0</v>
      </c>
      <c r="L303" s="321">
        <v>0</v>
      </c>
      <c r="M303" s="321"/>
      <c r="N303" s="321"/>
      <c r="O303" s="321"/>
      <c r="P303" s="321"/>
      <c r="Q303" s="321"/>
    </row>
    <row r="304" spans="1:17" x14ac:dyDescent="0.2">
      <c r="A304" s="312">
        <v>19</v>
      </c>
      <c r="B304" s="423" t="s">
        <v>1865</v>
      </c>
      <c r="C304" s="424" t="s">
        <v>1364</v>
      </c>
      <c r="D304" s="321">
        <v>1</v>
      </c>
      <c r="E304" s="45"/>
      <c r="F304" s="321">
        <v>1</v>
      </c>
      <c r="G304" s="321"/>
      <c r="H304" s="321">
        <v>0</v>
      </c>
      <c r="I304" s="321"/>
      <c r="J304" s="45">
        <v>0</v>
      </c>
      <c r="K304" s="321">
        <v>0</v>
      </c>
      <c r="L304" s="321">
        <v>0</v>
      </c>
      <c r="M304" s="321"/>
      <c r="N304" s="321"/>
      <c r="O304" s="321"/>
      <c r="P304" s="321"/>
      <c r="Q304" s="321"/>
    </row>
    <row r="305" spans="1:17" x14ac:dyDescent="0.2">
      <c r="A305" s="312">
        <v>20</v>
      </c>
      <c r="B305" s="426" t="s">
        <v>1866</v>
      </c>
      <c r="C305" s="427" t="s">
        <v>1786</v>
      </c>
      <c r="D305" s="321">
        <v>1</v>
      </c>
      <c r="E305" s="45"/>
      <c r="F305" s="321">
        <v>1</v>
      </c>
      <c r="G305" s="321"/>
      <c r="H305" s="321">
        <v>0</v>
      </c>
      <c r="I305" s="321"/>
      <c r="J305" s="45">
        <v>0</v>
      </c>
      <c r="K305" s="321">
        <v>0</v>
      </c>
      <c r="L305" s="321">
        <v>0</v>
      </c>
      <c r="M305" s="321"/>
      <c r="N305" s="321"/>
      <c r="O305" s="321"/>
      <c r="P305" s="321"/>
      <c r="Q305" s="321"/>
    </row>
    <row r="306" spans="1:17" x14ac:dyDescent="0.2">
      <c r="A306" s="312">
        <v>21</v>
      </c>
      <c r="B306" s="423" t="s">
        <v>1867</v>
      </c>
      <c r="C306" s="424" t="s">
        <v>1868</v>
      </c>
      <c r="D306" s="321">
        <v>1</v>
      </c>
      <c r="E306" s="45"/>
      <c r="F306" s="321">
        <v>0</v>
      </c>
      <c r="G306" s="321"/>
      <c r="H306" s="321">
        <v>1</v>
      </c>
      <c r="I306" s="321"/>
      <c r="J306" s="45">
        <v>0</v>
      </c>
      <c r="K306" s="321">
        <v>0</v>
      </c>
      <c r="L306" s="321">
        <v>0</v>
      </c>
      <c r="M306" s="321"/>
      <c r="N306" s="321"/>
      <c r="O306" s="321"/>
      <c r="P306" s="321"/>
      <c r="Q306" s="321"/>
    </row>
    <row r="307" spans="1:17" x14ac:dyDescent="0.2">
      <c r="A307" s="312">
        <v>22</v>
      </c>
      <c r="B307" s="423" t="s">
        <v>1869</v>
      </c>
      <c r="C307" s="424" t="s">
        <v>1870</v>
      </c>
      <c r="D307" s="321">
        <v>1</v>
      </c>
      <c r="E307" s="45"/>
      <c r="F307" s="321">
        <v>0</v>
      </c>
      <c r="G307" s="321"/>
      <c r="H307" s="321">
        <v>1</v>
      </c>
      <c r="I307" s="321"/>
      <c r="J307" s="45">
        <v>0</v>
      </c>
      <c r="K307" s="321">
        <v>0</v>
      </c>
      <c r="L307" s="321">
        <v>0</v>
      </c>
      <c r="M307" s="321"/>
      <c r="N307" s="321"/>
      <c r="O307" s="321"/>
      <c r="P307" s="321"/>
      <c r="Q307" s="321"/>
    </row>
    <row r="308" spans="1:17" x14ac:dyDescent="0.2">
      <c r="A308" s="312">
        <v>23</v>
      </c>
      <c r="B308" s="423" t="s">
        <v>1871</v>
      </c>
      <c r="C308" s="424" t="s">
        <v>1872</v>
      </c>
      <c r="D308" s="321">
        <v>1</v>
      </c>
      <c r="E308" s="45"/>
      <c r="F308" s="321">
        <v>0</v>
      </c>
      <c r="G308" s="321"/>
      <c r="H308" s="321">
        <v>1</v>
      </c>
      <c r="I308" s="321"/>
      <c r="J308" s="45">
        <v>0</v>
      </c>
      <c r="K308" s="321">
        <v>0</v>
      </c>
      <c r="L308" s="321">
        <v>0</v>
      </c>
      <c r="M308" s="321"/>
      <c r="N308" s="321"/>
      <c r="O308" s="321"/>
      <c r="P308" s="321"/>
      <c r="Q308" s="321"/>
    </row>
    <row r="309" spans="1:17" x14ac:dyDescent="0.2">
      <c r="A309" s="312">
        <v>24</v>
      </c>
      <c r="B309" s="315" t="s">
        <v>2190</v>
      </c>
      <c r="C309" s="422" t="s">
        <v>2191</v>
      </c>
      <c r="D309" s="321">
        <v>1</v>
      </c>
      <c r="E309" s="45"/>
      <c r="F309" s="321">
        <v>0.61606000000000005</v>
      </c>
      <c r="G309" s="321"/>
      <c r="H309" s="321">
        <v>0.38394</v>
      </c>
      <c r="I309" s="321"/>
      <c r="J309" s="45">
        <v>0</v>
      </c>
      <c r="K309" s="321">
        <v>0</v>
      </c>
      <c r="L309" s="321">
        <v>0</v>
      </c>
      <c r="M309" s="321"/>
      <c r="N309" s="321"/>
      <c r="O309" s="321"/>
      <c r="P309" s="321"/>
      <c r="Q309" s="321"/>
    </row>
    <row r="310" spans="1:17" x14ac:dyDescent="0.2">
      <c r="A310" s="312">
        <v>25</v>
      </c>
      <c r="B310" s="423" t="s">
        <v>1873</v>
      </c>
      <c r="C310" s="424" t="s">
        <v>1874</v>
      </c>
      <c r="D310" s="321">
        <v>1</v>
      </c>
      <c r="E310" s="45"/>
      <c r="F310" s="321">
        <v>0</v>
      </c>
      <c r="G310" s="321"/>
      <c r="H310" s="321">
        <v>1</v>
      </c>
      <c r="I310" s="321"/>
      <c r="J310" s="45">
        <v>0</v>
      </c>
      <c r="K310" s="321">
        <v>0</v>
      </c>
      <c r="L310" s="321">
        <v>0</v>
      </c>
      <c r="M310" s="321"/>
      <c r="N310" s="321"/>
      <c r="O310" s="321"/>
      <c r="P310" s="321"/>
      <c r="Q310" s="321"/>
    </row>
    <row r="311" spans="1:17" x14ac:dyDescent="0.2">
      <c r="A311" s="312">
        <v>26</v>
      </c>
      <c r="B311" s="423" t="s">
        <v>1875</v>
      </c>
      <c r="C311" s="424" t="s">
        <v>1876</v>
      </c>
      <c r="D311" s="321">
        <v>1</v>
      </c>
      <c r="E311" s="45"/>
      <c r="F311" s="321">
        <v>0</v>
      </c>
      <c r="G311" s="321"/>
      <c r="H311" s="321">
        <v>1</v>
      </c>
      <c r="I311" s="321"/>
      <c r="J311" s="45">
        <v>0</v>
      </c>
      <c r="K311" s="321">
        <v>0</v>
      </c>
      <c r="L311" s="321">
        <v>0</v>
      </c>
      <c r="M311" s="321"/>
      <c r="N311" s="321"/>
      <c r="O311" s="321"/>
      <c r="P311" s="321"/>
      <c r="Q311" s="321"/>
    </row>
    <row r="312" spans="1:17" x14ac:dyDescent="0.2">
      <c r="A312" s="312">
        <v>27</v>
      </c>
      <c r="B312" s="423" t="s">
        <v>1877</v>
      </c>
      <c r="C312" s="424" t="s">
        <v>1878</v>
      </c>
      <c r="D312" s="321">
        <v>1</v>
      </c>
      <c r="E312" s="45"/>
      <c r="F312" s="321">
        <v>0</v>
      </c>
      <c r="G312" s="321"/>
      <c r="H312" s="321">
        <v>1</v>
      </c>
      <c r="I312" s="321"/>
      <c r="J312" s="45">
        <v>0</v>
      </c>
      <c r="K312" s="321">
        <v>0</v>
      </c>
      <c r="L312" s="321">
        <v>0</v>
      </c>
      <c r="M312" s="321"/>
      <c r="N312" s="321"/>
      <c r="O312" s="321"/>
      <c r="P312" s="321"/>
      <c r="Q312" s="321"/>
    </row>
    <row r="313" spans="1:17" x14ac:dyDescent="0.2">
      <c r="A313" s="312">
        <v>28</v>
      </c>
      <c r="B313" s="423" t="s">
        <v>1879</v>
      </c>
      <c r="C313" s="424" t="s">
        <v>1365</v>
      </c>
      <c r="D313" s="321">
        <v>1</v>
      </c>
      <c r="E313" s="45"/>
      <c r="F313" s="321">
        <v>0</v>
      </c>
      <c r="G313" s="321"/>
      <c r="H313" s="321">
        <v>1</v>
      </c>
      <c r="I313" s="321"/>
      <c r="J313" s="45">
        <v>0</v>
      </c>
      <c r="K313" s="321">
        <v>0</v>
      </c>
      <c r="L313" s="321">
        <v>0</v>
      </c>
      <c r="M313" s="321"/>
      <c r="N313" s="321"/>
      <c r="O313" s="321"/>
      <c r="P313" s="321"/>
      <c r="Q313" s="321"/>
    </row>
    <row r="314" spans="1:17" x14ac:dyDescent="0.2">
      <c r="A314" s="312">
        <v>29</v>
      </c>
      <c r="B314" s="423" t="s">
        <v>1880</v>
      </c>
      <c r="C314" s="424" t="s">
        <v>1881</v>
      </c>
      <c r="D314" s="321">
        <v>1</v>
      </c>
      <c r="E314" s="45"/>
      <c r="F314" s="321">
        <v>1</v>
      </c>
      <c r="G314" s="321"/>
      <c r="H314" s="321">
        <v>0</v>
      </c>
      <c r="I314" s="321"/>
      <c r="J314" s="45">
        <v>0</v>
      </c>
      <c r="K314" s="321">
        <v>0</v>
      </c>
      <c r="L314" s="321">
        <v>0</v>
      </c>
      <c r="M314" s="321"/>
      <c r="N314" s="321"/>
      <c r="O314" s="321"/>
      <c r="P314" s="321"/>
      <c r="Q314" s="321"/>
    </row>
    <row r="315" spans="1:17" x14ac:dyDescent="0.2">
      <c r="A315" s="312">
        <v>30</v>
      </c>
      <c r="B315" s="423" t="s">
        <v>1882</v>
      </c>
      <c r="C315" s="424" t="s">
        <v>1883</v>
      </c>
      <c r="D315" s="321">
        <v>1</v>
      </c>
      <c r="E315" s="45"/>
      <c r="F315" s="321">
        <v>1</v>
      </c>
      <c r="G315" s="321"/>
      <c r="H315" s="321">
        <v>0</v>
      </c>
      <c r="I315" s="321"/>
      <c r="J315" s="45">
        <v>0</v>
      </c>
      <c r="K315" s="321">
        <v>0</v>
      </c>
      <c r="L315" s="321">
        <v>0</v>
      </c>
      <c r="M315" s="321"/>
      <c r="N315" s="321"/>
      <c r="O315" s="321"/>
      <c r="P315" s="321"/>
      <c r="Q315" s="321"/>
    </row>
    <row r="316" spans="1:17" x14ac:dyDescent="0.2">
      <c r="A316" s="312">
        <v>31</v>
      </c>
      <c r="B316" s="423" t="s">
        <v>1884</v>
      </c>
      <c r="C316" s="424" t="s">
        <v>1885</v>
      </c>
      <c r="D316" s="321">
        <v>1</v>
      </c>
      <c r="E316" s="45"/>
      <c r="F316" s="321">
        <v>1</v>
      </c>
      <c r="G316" s="321"/>
      <c r="H316" s="321">
        <v>0</v>
      </c>
      <c r="I316" s="321"/>
      <c r="J316" s="45">
        <v>0</v>
      </c>
      <c r="K316" s="321">
        <v>0</v>
      </c>
      <c r="L316" s="321">
        <v>0</v>
      </c>
      <c r="M316" s="321"/>
      <c r="N316" s="321"/>
      <c r="O316" s="321"/>
      <c r="P316" s="321"/>
      <c r="Q316" s="321"/>
    </row>
    <row r="317" spans="1:17" x14ac:dyDescent="0.2">
      <c r="A317" s="312">
        <v>32</v>
      </c>
      <c r="B317" s="423" t="s">
        <v>1886</v>
      </c>
      <c r="C317" s="424" t="s">
        <v>1887</v>
      </c>
      <c r="D317" s="321">
        <v>1</v>
      </c>
      <c r="E317" s="45"/>
      <c r="F317" s="321">
        <v>1</v>
      </c>
      <c r="G317" s="321"/>
      <c r="H317" s="321">
        <v>0</v>
      </c>
      <c r="I317" s="321"/>
      <c r="J317" s="45">
        <v>0</v>
      </c>
      <c r="K317" s="321">
        <v>0</v>
      </c>
      <c r="L317" s="321">
        <v>0</v>
      </c>
      <c r="M317" s="321"/>
      <c r="N317" s="321"/>
      <c r="O317" s="321"/>
      <c r="P317" s="321"/>
      <c r="Q317" s="321"/>
    </row>
    <row r="318" spans="1:17" x14ac:dyDescent="0.2">
      <c r="A318" s="312">
        <v>33</v>
      </c>
      <c r="B318" s="423" t="s">
        <v>1888</v>
      </c>
      <c r="C318" s="424" t="s">
        <v>1889</v>
      </c>
      <c r="D318" s="321">
        <v>1</v>
      </c>
      <c r="E318" s="45"/>
      <c r="F318" s="321">
        <v>1</v>
      </c>
      <c r="G318" s="321"/>
      <c r="H318" s="321">
        <v>0</v>
      </c>
      <c r="I318" s="321"/>
      <c r="J318" s="45">
        <v>0</v>
      </c>
      <c r="K318" s="321">
        <v>0</v>
      </c>
      <c r="L318" s="321">
        <v>0</v>
      </c>
      <c r="M318" s="321"/>
      <c r="N318" s="321"/>
      <c r="O318" s="321"/>
      <c r="P318" s="321"/>
      <c r="Q318" s="321"/>
    </row>
    <row r="319" spans="1:17" x14ac:dyDescent="0.2">
      <c r="A319" s="312">
        <v>34</v>
      </c>
      <c r="B319" s="423" t="s">
        <v>1890</v>
      </c>
      <c r="C319" s="424" t="s">
        <v>1891</v>
      </c>
      <c r="D319" s="321">
        <v>0</v>
      </c>
      <c r="E319" s="45"/>
      <c r="F319" s="321">
        <v>0</v>
      </c>
      <c r="G319" s="321"/>
      <c r="H319" s="321">
        <v>0</v>
      </c>
      <c r="I319" s="321"/>
      <c r="J319" s="45">
        <v>0</v>
      </c>
      <c r="K319" s="321">
        <v>0</v>
      </c>
      <c r="L319" s="321">
        <v>0</v>
      </c>
      <c r="M319" s="321"/>
      <c r="N319" s="321"/>
      <c r="O319" s="321"/>
      <c r="P319" s="321"/>
      <c r="Q319" s="321"/>
    </row>
    <row r="320" spans="1:17" x14ac:dyDescent="0.2">
      <c r="A320" s="312">
        <v>35</v>
      </c>
      <c r="B320" s="423" t="s">
        <v>1892</v>
      </c>
      <c r="C320" s="424" t="s">
        <v>1893</v>
      </c>
      <c r="D320" s="321">
        <v>0</v>
      </c>
      <c r="E320" s="45"/>
      <c r="F320" s="321">
        <v>0</v>
      </c>
      <c r="G320" s="321"/>
      <c r="H320" s="321">
        <v>0</v>
      </c>
      <c r="I320" s="321"/>
      <c r="J320" s="45">
        <v>0</v>
      </c>
      <c r="K320" s="321">
        <v>0</v>
      </c>
      <c r="L320" s="321">
        <v>0</v>
      </c>
      <c r="M320" s="321"/>
      <c r="N320" s="321"/>
      <c r="O320" s="321"/>
      <c r="P320" s="321"/>
      <c r="Q320" s="321"/>
    </row>
    <row r="321" spans="1:17" x14ac:dyDescent="0.2">
      <c r="A321" s="312">
        <v>36</v>
      </c>
      <c r="B321" s="423" t="s">
        <v>1894</v>
      </c>
      <c r="C321" s="424" t="s">
        <v>1895</v>
      </c>
      <c r="D321" s="321">
        <v>0</v>
      </c>
      <c r="E321" s="45"/>
      <c r="F321" s="321">
        <v>0</v>
      </c>
      <c r="G321" s="321"/>
      <c r="H321" s="321">
        <v>0</v>
      </c>
      <c r="I321" s="321"/>
      <c r="J321" s="45">
        <v>0</v>
      </c>
      <c r="K321" s="321">
        <v>0</v>
      </c>
      <c r="L321" s="321">
        <v>0</v>
      </c>
      <c r="M321" s="321"/>
      <c r="N321" s="321"/>
      <c r="O321" s="321"/>
      <c r="P321" s="321"/>
      <c r="Q321" s="321"/>
    </row>
    <row r="322" spans="1:17" x14ac:dyDescent="0.2">
      <c r="A322" s="312">
        <v>37</v>
      </c>
      <c r="B322" s="423" t="s">
        <v>1896</v>
      </c>
      <c r="C322" s="424" t="s">
        <v>1897</v>
      </c>
      <c r="D322" s="321">
        <v>0</v>
      </c>
      <c r="E322" s="45"/>
      <c r="F322" s="321">
        <v>0</v>
      </c>
      <c r="G322" s="321"/>
      <c r="H322" s="321">
        <v>0</v>
      </c>
      <c r="I322" s="321"/>
      <c r="J322" s="45">
        <v>0</v>
      </c>
      <c r="K322" s="321">
        <v>0</v>
      </c>
      <c r="L322" s="321">
        <v>0</v>
      </c>
      <c r="M322" s="321"/>
      <c r="N322" s="321"/>
      <c r="O322" s="321"/>
      <c r="P322" s="321"/>
      <c r="Q322" s="321"/>
    </row>
    <row r="323" spans="1:17" x14ac:dyDescent="0.2">
      <c r="A323" s="312">
        <v>38</v>
      </c>
      <c r="B323" s="423" t="s">
        <v>58</v>
      </c>
      <c r="C323" s="424" t="s">
        <v>1367</v>
      </c>
      <c r="D323" s="321">
        <v>1</v>
      </c>
      <c r="E323" s="45"/>
      <c r="F323" s="321">
        <v>4.4000000000000002E-4</v>
      </c>
      <c r="G323" s="321"/>
      <c r="H323" s="321">
        <v>0.99956</v>
      </c>
      <c r="I323" s="321"/>
      <c r="J323" s="45">
        <v>0</v>
      </c>
      <c r="K323" s="321">
        <v>0</v>
      </c>
      <c r="L323" s="321">
        <v>0</v>
      </c>
      <c r="M323" s="321"/>
      <c r="N323" s="321"/>
      <c r="O323" s="321"/>
      <c r="P323" s="321"/>
      <c r="Q323" s="321"/>
    </row>
    <row r="324" spans="1:17" x14ac:dyDescent="0.2">
      <c r="A324" s="312">
        <v>39</v>
      </c>
      <c r="B324" s="423" t="s">
        <v>59</v>
      </c>
      <c r="C324" s="424" t="s">
        <v>1369</v>
      </c>
      <c r="D324" s="321">
        <v>1</v>
      </c>
      <c r="E324" s="45"/>
      <c r="F324" s="321">
        <v>0</v>
      </c>
      <c r="G324" s="321"/>
      <c r="H324" s="321">
        <v>1</v>
      </c>
      <c r="I324" s="321"/>
      <c r="J324" s="45">
        <v>0</v>
      </c>
      <c r="K324" s="321">
        <v>0</v>
      </c>
      <c r="L324" s="321">
        <v>0</v>
      </c>
      <c r="M324" s="321"/>
      <c r="N324" s="321"/>
      <c r="O324" s="321"/>
      <c r="P324" s="321"/>
      <c r="Q324" s="321"/>
    </row>
    <row r="325" spans="1:17" x14ac:dyDescent="0.2">
      <c r="A325" s="312">
        <v>40</v>
      </c>
      <c r="B325" s="423" t="s">
        <v>60</v>
      </c>
      <c r="C325" s="424" t="s">
        <v>1370</v>
      </c>
      <c r="D325" s="321">
        <v>1</v>
      </c>
      <c r="E325" s="45"/>
      <c r="F325" s="321">
        <v>0</v>
      </c>
      <c r="G325" s="321"/>
      <c r="H325" s="321">
        <v>1</v>
      </c>
      <c r="I325" s="321"/>
      <c r="J325" s="45">
        <v>0</v>
      </c>
      <c r="K325" s="321">
        <v>0</v>
      </c>
      <c r="L325" s="321">
        <v>0</v>
      </c>
      <c r="M325" s="321"/>
      <c r="N325" s="321"/>
      <c r="O325" s="321"/>
      <c r="P325" s="321"/>
      <c r="Q325" s="321"/>
    </row>
    <row r="326" spans="1:17" x14ac:dyDescent="0.2">
      <c r="A326" s="312">
        <v>41</v>
      </c>
      <c r="B326" s="423" t="s">
        <v>1450</v>
      </c>
      <c r="C326" s="424" t="s">
        <v>1371</v>
      </c>
      <c r="D326" s="321">
        <v>0</v>
      </c>
      <c r="E326" s="45"/>
      <c r="F326" s="321">
        <v>0</v>
      </c>
      <c r="G326" s="321"/>
      <c r="H326" s="321">
        <v>0</v>
      </c>
      <c r="I326" s="321"/>
      <c r="J326" s="45">
        <v>0</v>
      </c>
      <c r="K326" s="321">
        <v>0</v>
      </c>
      <c r="L326" s="321">
        <v>0</v>
      </c>
      <c r="M326" s="321"/>
      <c r="N326" s="321"/>
      <c r="O326" s="321"/>
      <c r="P326" s="321"/>
      <c r="Q326" s="321"/>
    </row>
    <row r="327" spans="1:17" x14ac:dyDescent="0.2">
      <c r="A327" s="312">
        <v>42</v>
      </c>
      <c r="B327" s="426" t="s">
        <v>1898</v>
      </c>
      <c r="C327" s="427" t="s">
        <v>1899</v>
      </c>
      <c r="D327" s="321">
        <v>1</v>
      </c>
      <c r="E327" s="45"/>
      <c r="F327" s="321">
        <v>0.74419999999999997</v>
      </c>
      <c r="G327" s="321"/>
      <c r="H327" s="321">
        <v>0.19958999999999999</v>
      </c>
      <c r="I327" s="321"/>
      <c r="J327" s="45">
        <v>5.6219999999999999E-2</v>
      </c>
      <c r="K327" s="321">
        <v>5.6219999999999999E-2</v>
      </c>
      <c r="L327" s="321">
        <v>0</v>
      </c>
      <c r="M327" s="321"/>
      <c r="N327" s="321"/>
      <c r="O327" s="321"/>
      <c r="P327" s="321"/>
      <c r="Q327" s="321"/>
    </row>
    <row r="328" spans="1:17" x14ac:dyDescent="0.2">
      <c r="A328" s="312">
        <v>43</v>
      </c>
      <c r="B328" s="426" t="s">
        <v>1900</v>
      </c>
      <c r="C328" s="427" t="s">
        <v>1901</v>
      </c>
      <c r="D328" s="321">
        <v>1</v>
      </c>
      <c r="E328" s="45"/>
      <c r="F328" s="321">
        <v>0.96403000000000005</v>
      </c>
      <c r="G328" s="321"/>
      <c r="H328" s="321">
        <v>3.5970000000000002E-2</v>
      </c>
      <c r="I328" s="321"/>
      <c r="J328" s="45">
        <v>0</v>
      </c>
      <c r="K328" s="321">
        <v>0</v>
      </c>
      <c r="L328" s="321">
        <v>0</v>
      </c>
      <c r="M328" s="321"/>
      <c r="N328" s="321"/>
      <c r="O328" s="321"/>
      <c r="P328" s="321"/>
      <c r="Q328" s="321"/>
    </row>
    <row r="329" spans="1:17" x14ac:dyDescent="0.2">
      <c r="A329" s="312">
        <v>44</v>
      </c>
      <c r="B329" s="426" t="s">
        <v>1902</v>
      </c>
      <c r="C329" s="427" t="s">
        <v>1903</v>
      </c>
      <c r="D329" s="321">
        <v>1</v>
      </c>
      <c r="E329" s="45"/>
      <c r="F329" s="321">
        <v>1</v>
      </c>
      <c r="G329" s="321"/>
      <c r="H329" s="321">
        <v>0</v>
      </c>
      <c r="I329" s="321"/>
      <c r="J329" s="45">
        <v>0</v>
      </c>
      <c r="K329" s="321">
        <v>0</v>
      </c>
      <c r="L329" s="321">
        <v>0</v>
      </c>
      <c r="M329" s="321"/>
      <c r="N329" s="321"/>
      <c r="O329" s="321"/>
      <c r="P329" s="321"/>
      <c r="Q329" s="321"/>
    </row>
    <row r="330" spans="1:17" x14ac:dyDescent="0.2">
      <c r="A330" s="312">
        <v>45</v>
      </c>
      <c r="B330" s="426" t="s">
        <v>1952</v>
      </c>
      <c r="C330" s="428" t="s">
        <v>1905</v>
      </c>
      <c r="D330" s="321">
        <v>1</v>
      </c>
      <c r="E330" s="45"/>
      <c r="F330" s="321">
        <v>0.96748000000000001</v>
      </c>
      <c r="G330" s="321"/>
      <c r="H330" s="321">
        <v>3.252E-2</v>
      </c>
      <c r="I330" s="321"/>
      <c r="J330" s="45">
        <v>0</v>
      </c>
      <c r="K330" s="321">
        <v>0</v>
      </c>
      <c r="L330" s="321">
        <v>0</v>
      </c>
      <c r="M330" s="321"/>
      <c r="N330" s="321"/>
      <c r="O330" s="321"/>
      <c r="P330" s="321"/>
      <c r="Q330" s="321"/>
    </row>
    <row r="331" spans="1:17" x14ac:dyDescent="0.2">
      <c r="A331" s="312">
        <v>46</v>
      </c>
      <c r="B331" s="426" t="s">
        <v>1953</v>
      </c>
      <c r="C331" s="428" t="s">
        <v>1907</v>
      </c>
      <c r="D331" s="321">
        <v>1</v>
      </c>
      <c r="E331" s="45"/>
      <c r="F331" s="321">
        <v>0.99894000000000005</v>
      </c>
      <c r="G331" s="321"/>
      <c r="H331" s="321">
        <v>1.06E-3</v>
      </c>
      <c r="I331" s="321"/>
      <c r="J331" s="45">
        <v>0</v>
      </c>
      <c r="K331" s="321">
        <v>0</v>
      </c>
      <c r="L331" s="321">
        <v>0</v>
      </c>
      <c r="M331" s="321"/>
      <c r="N331" s="321"/>
      <c r="O331" s="321"/>
      <c r="P331" s="321"/>
      <c r="Q331" s="321"/>
    </row>
    <row r="332" spans="1:17" x14ac:dyDescent="0.2">
      <c r="A332" s="312">
        <v>47</v>
      </c>
      <c r="B332" s="426" t="s">
        <v>1954</v>
      </c>
      <c r="C332" s="428" t="s">
        <v>1909</v>
      </c>
      <c r="D332" s="321">
        <v>1</v>
      </c>
      <c r="E332" s="45"/>
      <c r="F332" s="321">
        <v>0.88571999999999995</v>
      </c>
      <c r="G332" s="321"/>
      <c r="H332" s="321">
        <v>0.11428000000000001</v>
      </c>
      <c r="I332" s="321"/>
      <c r="J332" s="45">
        <v>0</v>
      </c>
      <c r="K332" s="321">
        <v>0</v>
      </c>
      <c r="L332" s="321">
        <v>0</v>
      </c>
      <c r="M332" s="321"/>
      <c r="N332" s="321"/>
      <c r="O332" s="321"/>
      <c r="P332" s="321"/>
      <c r="Q332" s="321"/>
    </row>
    <row r="333" spans="1:17" x14ac:dyDescent="0.2">
      <c r="A333" s="312">
        <v>48</v>
      </c>
      <c r="B333" s="423" t="s">
        <v>1372</v>
      </c>
      <c r="C333" s="424" t="s">
        <v>1373</v>
      </c>
      <c r="D333" s="321">
        <v>1</v>
      </c>
      <c r="E333" s="45"/>
      <c r="F333" s="321">
        <v>0</v>
      </c>
      <c r="G333" s="321"/>
      <c r="H333" s="321">
        <v>1</v>
      </c>
      <c r="I333" s="321"/>
      <c r="J333" s="45">
        <v>0</v>
      </c>
      <c r="K333" s="321">
        <v>0</v>
      </c>
      <c r="L333" s="321">
        <v>0</v>
      </c>
      <c r="M333" s="321"/>
      <c r="N333" s="321"/>
      <c r="O333" s="321"/>
      <c r="P333" s="321"/>
      <c r="Q333" s="321"/>
    </row>
    <row r="334" spans="1:17" x14ac:dyDescent="0.2">
      <c r="A334" s="312">
        <v>49</v>
      </c>
      <c r="B334" s="423" t="s">
        <v>1374</v>
      </c>
      <c r="C334" s="424" t="s">
        <v>1375</v>
      </c>
      <c r="D334" s="321">
        <v>0</v>
      </c>
      <c r="E334" s="45"/>
      <c r="F334" s="321">
        <v>0</v>
      </c>
      <c r="G334" s="321"/>
      <c r="H334" s="321">
        <v>0</v>
      </c>
      <c r="I334" s="321"/>
      <c r="J334" s="45">
        <v>0</v>
      </c>
      <c r="K334" s="321">
        <v>0</v>
      </c>
      <c r="L334" s="321">
        <v>0</v>
      </c>
      <c r="M334" s="321"/>
      <c r="N334" s="321"/>
      <c r="O334" s="321"/>
      <c r="P334" s="321"/>
      <c r="Q334" s="321"/>
    </row>
    <row r="335" spans="1:17" x14ac:dyDescent="0.2">
      <c r="A335" s="312">
        <v>50</v>
      </c>
      <c r="B335" s="423" t="s">
        <v>1376</v>
      </c>
      <c r="C335" s="424" t="s">
        <v>1377</v>
      </c>
      <c r="D335" s="321">
        <v>1</v>
      </c>
      <c r="E335" s="45"/>
      <c r="F335" s="321">
        <v>0</v>
      </c>
      <c r="G335" s="321"/>
      <c r="H335" s="321">
        <v>1</v>
      </c>
      <c r="I335" s="321"/>
      <c r="J335" s="45">
        <v>0</v>
      </c>
      <c r="K335" s="321">
        <v>0</v>
      </c>
      <c r="L335" s="321">
        <v>0</v>
      </c>
      <c r="M335" s="321"/>
      <c r="N335" s="321"/>
      <c r="O335" s="321"/>
      <c r="P335" s="321"/>
      <c r="Q335" s="321"/>
    </row>
    <row r="336" spans="1:17" x14ac:dyDescent="0.2">
      <c r="A336" s="312">
        <v>51</v>
      </c>
      <c r="B336" s="423" t="s">
        <v>2494</v>
      </c>
      <c r="C336" s="424" t="s">
        <v>2495</v>
      </c>
      <c r="D336" s="321">
        <v>1</v>
      </c>
      <c r="E336" s="45"/>
      <c r="F336" s="321">
        <v>0.94113000000000002</v>
      </c>
      <c r="G336" s="321"/>
      <c r="H336" s="321">
        <v>5.0209999999999998E-2</v>
      </c>
      <c r="I336" s="321"/>
      <c r="J336" s="45">
        <v>8.6599999999999993E-3</v>
      </c>
      <c r="K336" s="321">
        <v>8.6599999999999993E-3</v>
      </c>
      <c r="L336" s="321">
        <v>0</v>
      </c>
      <c r="M336" s="321"/>
      <c r="N336" s="321"/>
      <c r="O336" s="321"/>
      <c r="P336" s="321"/>
      <c r="Q336" s="321"/>
    </row>
    <row r="337" spans="1:17" x14ac:dyDescent="0.2">
      <c r="A337" s="312">
        <v>52</v>
      </c>
      <c r="B337" s="423" t="s">
        <v>2522</v>
      </c>
      <c r="C337" s="424" t="s">
        <v>2521</v>
      </c>
      <c r="D337" s="321">
        <v>1</v>
      </c>
      <c r="E337" s="45"/>
      <c r="F337" s="321">
        <v>0.93827000000000005</v>
      </c>
      <c r="G337" s="321"/>
      <c r="H337" s="321">
        <v>5.0040000000000001E-2</v>
      </c>
      <c r="I337" s="321"/>
      <c r="J337" s="45">
        <v>1.1690000000000001E-2</v>
      </c>
      <c r="K337" s="321">
        <v>1.1690000000000001E-2</v>
      </c>
      <c r="L337" s="321">
        <v>0</v>
      </c>
      <c r="M337" s="321"/>
      <c r="N337" s="321"/>
      <c r="O337" s="321"/>
      <c r="P337" s="321"/>
      <c r="Q337" s="321"/>
    </row>
    <row r="338" spans="1:17" x14ac:dyDescent="0.2">
      <c r="A338" s="312"/>
      <c r="B338" s="423"/>
      <c r="C338" s="424"/>
      <c r="D338" s="321"/>
      <c r="E338" s="45"/>
      <c r="F338" s="321"/>
      <c r="G338" s="321"/>
      <c r="H338" s="321"/>
      <c r="I338" s="321"/>
      <c r="J338" s="45"/>
      <c r="K338" s="321"/>
      <c r="L338" s="321"/>
      <c r="M338" s="321"/>
      <c r="N338" s="321"/>
      <c r="O338" s="321"/>
      <c r="P338" s="321"/>
      <c r="Q338" s="321"/>
    </row>
    <row r="339" spans="1:17" x14ac:dyDescent="0.2">
      <c r="A339" s="312"/>
      <c r="B339" s="423"/>
      <c r="C339" s="424"/>
      <c r="D339" s="321"/>
      <c r="E339" s="45"/>
      <c r="F339" s="321"/>
      <c r="G339" s="321"/>
      <c r="H339" s="321"/>
      <c r="I339" s="321"/>
      <c r="J339" s="45"/>
      <c r="K339" s="321"/>
      <c r="L339" s="321"/>
      <c r="M339" s="321"/>
      <c r="N339" s="321"/>
      <c r="O339" s="321"/>
      <c r="P339" s="321"/>
      <c r="Q339" s="321"/>
    </row>
    <row r="340" spans="1:17" x14ac:dyDescent="0.2">
      <c r="A340" s="312"/>
      <c r="B340" s="425" t="s">
        <v>2496</v>
      </c>
      <c r="C340" s="424"/>
      <c r="D340" s="321"/>
      <c r="E340" s="45"/>
      <c r="F340" s="321"/>
      <c r="G340" s="321"/>
      <c r="H340" s="321"/>
      <c r="I340" s="321"/>
      <c r="J340" s="45"/>
      <c r="K340" s="321"/>
      <c r="L340" s="321"/>
      <c r="M340" s="321"/>
      <c r="N340" s="321"/>
      <c r="O340" s="321"/>
      <c r="P340" s="321"/>
      <c r="Q340" s="321"/>
    </row>
    <row r="341" spans="1:17" x14ac:dyDescent="0.2">
      <c r="A341" s="312">
        <v>1</v>
      </c>
      <c r="B341" s="423"/>
      <c r="C341" s="424"/>
      <c r="D341" s="321"/>
      <c r="E341" s="45"/>
      <c r="F341" s="321"/>
      <c r="G341" s="321"/>
      <c r="H341" s="321"/>
      <c r="I341" s="321"/>
      <c r="J341" s="45"/>
      <c r="K341" s="321"/>
      <c r="L341" s="321"/>
      <c r="M341" s="321"/>
      <c r="N341" s="321"/>
      <c r="O341" s="321"/>
      <c r="P341" s="321"/>
      <c r="Q341" s="321"/>
    </row>
    <row r="342" spans="1:17" x14ac:dyDescent="0.2">
      <c r="A342" s="312">
        <v>2</v>
      </c>
      <c r="B342" s="45"/>
      <c r="C342" s="45"/>
      <c r="D342" s="45"/>
      <c r="E342" s="45"/>
      <c r="F342" s="45"/>
      <c r="G342" s="45"/>
      <c r="H342" s="45"/>
      <c r="I342" s="45"/>
      <c r="J342" s="45"/>
      <c r="K342" s="45"/>
      <c r="L342" s="45"/>
      <c r="M342" s="45"/>
      <c r="N342" s="45"/>
      <c r="O342" s="45"/>
      <c r="P342" s="45"/>
      <c r="Q342" s="45"/>
    </row>
    <row r="343" spans="1:17" x14ac:dyDescent="0.2">
      <c r="A343" s="45"/>
      <c r="B343" s="45"/>
      <c r="C343" s="311"/>
      <c r="D343" s="45"/>
      <c r="E343" s="45"/>
      <c r="F343" s="45"/>
      <c r="G343" s="45"/>
      <c r="H343" s="45"/>
      <c r="I343" s="45"/>
      <c r="J343" s="45"/>
      <c r="K343" s="45"/>
      <c r="L343" s="45"/>
      <c r="M343" s="45"/>
      <c r="N343" s="45"/>
      <c r="O343" s="45"/>
      <c r="P343" s="45"/>
      <c r="Q343" s="45"/>
    </row>
    <row r="344" spans="1:17" x14ac:dyDescent="0.2">
      <c r="A344" s="45"/>
      <c r="B344" s="45"/>
      <c r="C344" s="311"/>
      <c r="D344" s="45"/>
      <c r="E344" s="45"/>
      <c r="F344" s="45"/>
      <c r="G344" s="45"/>
      <c r="H344" s="45"/>
      <c r="I344" s="45"/>
      <c r="J344" s="45"/>
      <c r="K344" s="45"/>
      <c r="L344" s="45"/>
      <c r="M344" s="45"/>
      <c r="N344" s="45"/>
      <c r="O344" s="45"/>
      <c r="P344" s="45"/>
      <c r="Q344" s="45"/>
    </row>
    <row r="345" spans="1:17" x14ac:dyDescent="0.2">
      <c r="A345" s="45"/>
      <c r="B345" s="425" t="s">
        <v>1378</v>
      </c>
      <c r="C345" s="311"/>
      <c r="D345" s="45"/>
      <c r="E345" s="45"/>
      <c r="F345" s="45"/>
      <c r="G345" s="45"/>
      <c r="H345" s="45"/>
      <c r="I345" s="45"/>
      <c r="J345" s="45"/>
      <c r="K345" s="45"/>
      <c r="L345" s="45"/>
      <c r="M345" s="45"/>
      <c r="N345" s="45"/>
      <c r="O345" s="45"/>
      <c r="P345" s="45"/>
      <c r="Q345" s="45"/>
    </row>
    <row r="346" spans="1:17" x14ac:dyDescent="0.2">
      <c r="A346" s="45"/>
      <c r="B346" s="430" t="s">
        <v>1267</v>
      </c>
      <c r="C346" s="311"/>
      <c r="D346" s="45"/>
      <c r="E346" s="45"/>
      <c r="F346" s="45"/>
      <c r="G346" s="45"/>
      <c r="H346" s="45"/>
      <c r="I346" s="45"/>
      <c r="J346" s="45"/>
      <c r="K346" s="45"/>
      <c r="L346" s="45"/>
      <c r="M346" s="45"/>
      <c r="N346" s="45"/>
      <c r="O346" s="45"/>
      <c r="P346" s="45"/>
      <c r="Q346" s="45"/>
    </row>
    <row r="347" spans="1:17" x14ac:dyDescent="0.2">
      <c r="A347" s="312">
        <v>1</v>
      </c>
      <c r="B347" s="423" t="s">
        <v>1379</v>
      </c>
      <c r="C347" s="424" t="s">
        <v>1378</v>
      </c>
      <c r="D347" s="321">
        <v>1</v>
      </c>
      <c r="E347" s="45"/>
      <c r="F347" s="321">
        <v>0.94182999999999995</v>
      </c>
      <c r="G347" s="321"/>
      <c r="H347" s="321">
        <v>3.7819999999999999E-2</v>
      </c>
      <c r="I347" s="321"/>
      <c r="J347" s="45">
        <v>2.035E-2</v>
      </c>
      <c r="K347" s="321">
        <v>1.0449999999999999E-2</v>
      </c>
      <c r="L347" s="321">
        <v>9.9100000000000004E-3</v>
      </c>
      <c r="M347" s="321"/>
      <c r="N347" s="321"/>
      <c r="O347" s="321"/>
      <c r="P347" s="321"/>
      <c r="Q347" s="321"/>
    </row>
    <row r="348" spans="1:17" x14ac:dyDescent="0.2">
      <c r="A348" s="312">
        <v>2</v>
      </c>
      <c r="B348" s="423" t="s">
        <v>1380</v>
      </c>
      <c r="C348" s="424" t="s">
        <v>1381</v>
      </c>
      <c r="D348" s="321">
        <v>1</v>
      </c>
      <c r="E348" s="45"/>
      <c r="F348" s="321">
        <v>0.96138999999999997</v>
      </c>
      <c r="G348" s="321"/>
      <c r="H348" s="321">
        <v>3.8609999999999998E-2</v>
      </c>
      <c r="I348" s="321"/>
      <c r="J348" s="45">
        <v>0</v>
      </c>
      <c r="K348" s="321">
        <v>0</v>
      </c>
      <c r="L348" s="321">
        <v>0</v>
      </c>
      <c r="M348" s="321"/>
      <c r="N348" s="321"/>
      <c r="O348" s="321"/>
      <c r="P348" s="321"/>
      <c r="Q348" s="321"/>
    </row>
    <row r="349" spans="1:17" x14ac:dyDescent="0.2">
      <c r="A349" s="312">
        <v>3</v>
      </c>
      <c r="B349" s="45"/>
      <c r="C349" s="311"/>
      <c r="D349" s="321"/>
      <c r="E349" s="45"/>
      <c r="F349" s="321"/>
      <c r="G349" s="321"/>
      <c r="H349" s="321"/>
      <c r="I349" s="321"/>
      <c r="J349" s="45"/>
      <c r="K349" s="321"/>
      <c r="L349" s="321"/>
      <c r="M349" s="321"/>
      <c r="N349" s="321"/>
      <c r="O349" s="321"/>
      <c r="P349" s="321"/>
      <c r="Q349" s="321"/>
    </row>
    <row r="350" spans="1:17" x14ac:dyDescent="0.2">
      <c r="A350" s="312">
        <v>4</v>
      </c>
      <c r="B350" s="45"/>
      <c r="C350" s="311"/>
      <c r="D350" s="45"/>
      <c r="E350" s="45"/>
      <c r="F350" s="45"/>
      <c r="G350" s="45"/>
      <c r="H350" s="45"/>
      <c r="I350" s="45"/>
      <c r="J350" s="45"/>
      <c r="K350" s="45"/>
      <c r="L350" s="45"/>
      <c r="M350" s="45"/>
      <c r="N350" s="45"/>
      <c r="O350" s="45"/>
      <c r="P350" s="45"/>
      <c r="Q350" s="45"/>
    </row>
    <row r="351" spans="1:17" x14ac:dyDescent="0.2">
      <c r="A351" s="45"/>
      <c r="B351" s="45"/>
      <c r="C351" s="311"/>
      <c r="D351" s="45"/>
      <c r="E351" s="45"/>
      <c r="F351" s="45"/>
      <c r="G351" s="45"/>
      <c r="H351" s="45"/>
      <c r="I351" s="45"/>
      <c r="J351" s="45"/>
      <c r="K351" s="45"/>
      <c r="L351" s="45"/>
      <c r="M351" s="45"/>
      <c r="N351" s="45"/>
      <c r="O351" s="45"/>
      <c r="P351" s="45"/>
      <c r="Q351" s="45"/>
    </row>
    <row r="352" spans="1:17" x14ac:dyDescent="0.2">
      <c r="A352" s="45"/>
      <c r="B352" s="425" t="s">
        <v>1382</v>
      </c>
      <c r="C352" s="311"/>
      <c r="D352" s="45"/>
      <c r="E352" s="45"/>
      <c r="F352" s="45"/>
      <c r="G352" s="45"/>
      <c r="H352" s="45"/>
      <c r="I352" s="45"/>
      <c r="J352" s="45"/>
      <c r="K352" s="45"/>
      <c r="L352" s="45"/>
      <c r="M352" s="45"/>
      <c r="N352" s="45"/>
      <c r="O352" s="45"/>
      <c r="P352" s="45"/>
      <c r="Q352" s="45"/>
    </row>
    <row r="353" spans="1:17" x14ac:dyDescent="0.2">
      <c r="A353" s="45"/>
      <c r="B353" s="430" t="s">
        <v>1267</v>
      </c>
      <c r="C353" s="311"/>
      <c r="D353" s="45"/>
      <c r="E353" s="45"/>
      <c r="F353" s="45"/>
      <c r="G353" s="45"/>
      <c r="H353" s="45"/>
      <c r="I353" s="45"/>
      <c r="J353" s="45"/>
      <c r="K353" s="45"/>
      <c r="L353" s="45"/>
      <c r="M353" s="45"/>
      <c r="N353" s="45"/>
      <c r="O353" s="45"/>
      <c r="P353" s="45"/>
      <c r="Q353" s="45"/>
    </row>
    <row r="354" spans="1:17" x14ac:dyDescent="0.2">
      <c r="A354" s="312">
        <v>1</v>
      </c>
      <c r="B354" s="423" t="s">
        <v>1383</v>
      </c>
      <c r="C354" s="424" t="s">
        <v>1384</v>
      </c>
      <c r="D354" s="321">
        <v>1</v>
      </c>
      <c r="E354" s="45"/>
      <c r="F354" s="321">
        <v>1</v>
      </c>
      <c r="G354" s="321"/>
      <c r="H354" s="321">
        <v>0</v>
      </c>
      <c r="I354" s="321"/>
      <c r="J354" s="45">
        <v>0</v>
      </c>
      <c r="K354" s="321">
        <v>0</v>
      </c>
      <c r="L354" s="321">
        <v>0</v>
      </c>
      <c r="M354" s="321"/>
      <c r="N354" s="321"/>
      <c r="O354" s="321"/>
      <c r="P354" s="321"/>
      <c r="Q354" s="321"/>
    </row>
    <row r="355" spans="1:17" x14ac:dyDescent="0.2">
      <c r="A355" s="312">
        <v>2</v>
      </c>
      <c r="B355" s="423" t="s">
        <v>1385</v>
      </c>
      <c r="C355" s="424" t="s">
        <v>1386</v>
      </c>
      <c r="D355" s="321">
        <v>1</v>
      </c>
      <c r="E355" s="45"/>
      <c r="F355" s="321">
        <v>0.99939</v>
      </c>
      <c r="G355" s="321"/>
      <c r="H355" s="321">
        <v>0</v>
      </c>
      <c r="I355" s="321"/>
      <c r="J355" s="45">
        <v>6.0999999999999997E-4</v>
      </c>
      <c r="K355" s="321">
        <v>2.5999999999999998E-4</v>
      </c>
      <c r="L355" s="321">
        <v>3.5E-4</v>
      </c>
      <c r="M355" s="321"/>
      <c r="N355" s="321"/>
      <c r="O355" s="321"/>
      <c r="P355" s="321"/>
      <c r="Q355" s="321"/>
    </row>
    <row r="356" spans="1:17" x14ac:dyDescent="0.2">
      <c r="A356" s="312">
        <v>3</v>
      </c>
      <c r="B356" s="423" t="s">
        <v>1387</v>
      </c>
      <c r="C356" s="424" t="s">
        <v>1388</v>
      </c>
      <c r="D356" s="321">
        <v>1</v>
      </c>
      <c r="E356" s="45"/>
      <c r="F356" s="321">
        <v>1</v>
      </c>
      <c r="G356" s="321"/>
      <c r="H356" s="321">
        <v>0</v>
      </c>
      <c r="I356" s="321"/>
      <c r="J356" s="45">
        <v>0</v>
      </c>
      <c r="K356" s="321">
        <v>0</v>
      </c>
      <c r="L356" s="321">
        <v>0</v>
      </c>
      <c r="M356" s="321"/>
      <c r="N356" s="321"/>
      <c r="O356" s="321"/>
      <c r="P356" s="321"/>
      <c r="Q356" s="321"/>
    </row>
    <row r="357" spans="1:17" x14ac:dyDescent="0.2">
      <c r="A357" s="312">
        <v>4</v>
      </c>
      <c r="B357" s="423" t="s">
        <v>1389</v>
      </c>
      <c r="C357" s="424" t="s">
        <v>1390</v>
      </c>
      <c r="D357" s="321">
        <v>1</v>
      </c>
      <c r="E357" s="45"/>
      <c r="F357" s="321">
        <v>1</v>
      </c>
      <c r="G357" s="321"/>
      <c r="H357" s="321">
        <v>0</v>
      </c>
      <c r="I357" s="321"/>
      <c r="J357" s="45">
        <v>0</v>
      </c>
      <c r="K357" s="321">
        <v>0</v>
      </c>
      <c r="L357" s="321">
        <v>0</v>
      </c>
      <c r="M357" s="321"/>
      <c r="N357" s="321"/>
      <c r="O357" s="321"/>
      <c r="P357" s="321"/>
      <c r="Q357" s="321"/>
    </row>
    <row r="358" spans="1:17" x14ac:dyDescent="0.2">
      <c r="A358" s="312">
        <v>5</v>
      </c>
      <c r="B358" s="423" t="s">
        <v>1391</v>
      </c>
      <c r="C358" s="424" t="s">
        <v>1392</v>
      </c>
      <c r="D358" s="321">
        <v>1</v>
      </c>
      <c r="E358" s="45"/>
      <c r="F358" s="321">
        <v>0.99560999999999999</v>
      </c>
      <c r="G358" s="321"/>
      <c r="H358" s="321">
        <v>4.3899999999999998E-3</v>
      </c>
      <c r="I358" s="321"/>
      <c r="J358" s="45">
        <v>0</v>
      </c>
      <c r="K358" s="321">
        <v>0</v>
      </c>
      <c r="L358" s="321">
        <v>0</v>
      </c>
      <c r="M358" s="321"/>
      <c r="N358" s="321"/>
      <c r="O358" s="321"/>
      <c r="P358" s="321"/>
      <c r="Q358" s="321"/>
    </row>
    <row r="359" spans="1:17" x14ac:dyDescent="0.2">
      <c r="A359" s="312">
        <v>6</v>
      </c>
      <c r="B359" s="423" t="s">
        <v>1393</v>
      </c>
      <c r="C359" s="424" t="s">
        <v>1394</v>
      </c>
      <c r="D359" s="321">
        <v>1</v>
      </c>
      <c r="E359" s="45"/>
      <c r="F359" s="321">
        <v>0.96118000000000003</v>
      </c>
      <c r="G359" s="321"/>
      <c r="H359" s="321">
        <v>3.882E-2</v>
      </c>
      <c r="I359" s="321"/>
      <c r="J359" s="45">
        <v>0</v>
      </c>
      <c r="K359" s="321">
        <v>0</v>
      </c>
      <c r="L359" s="321">
        <v>0</v>
      </c>
      <c r="M359" s="321"/>
      <c r="N359" s="321"/>
      <c r="O359" s="321"/>
      <c r="P359" s="321"/>
      <c r="Q359" s="321"/>
    </row>
    <row r="360" spans="1:17" x14ac:dyDescent="0.2">
      <c r="A360" s="312">
        <v>7</v>
      </c>
      <c r="B360" s="423" t="s">
        <v>1395</v>
      </c>
      <c r="C360" s="424" t="s">
        <v>1396</v>
      </c>
      <c r="D360" s="321">
        <v>1</v>
      </c>
      <c r="E360" s="45"/>
      <c r="F360" s="321">
        <v>0.95099</v>
      </c>
      <c r="G360" s="321"/>
      <c r="H360" s="321">
        <v>4.861E-2</v>
      </c>
      <c r="I360" s="321"/>
      <c r="J360" s="45">
        <v>4.0000000000000002E-4</v>
      </c>
      <c r="K360" s="321">
        <v>1.6000000000000001E-4</v>
      </c>
      <c r="L360" s="321">
        <v>2.4000000000000001E-4</v>
      </c>
      <c r="M360" s="321"/>
      <c r="N360" s="321"/>
      <c r="O360" s="321"/>
      <c r="P360" s="321"/>
      <c r="Q360" s="321"/>
    </row>
    <row r="361" spans="1:17" x14ac:dyDescent="0.2">
      <c r="A361" s="312">
        <v>8</v>
      </c>
      <c r="B361" s="423" t="s">
        <v>1397</v>
      </c>
      <c r="C361" s="424" t="s">
        <v>1398</v>
      </c>
      <c r="D361" s="321">
        <v>1</v>
      </c>
      <c r="E361" s="45"/>
      <c r="F361" s="321">
        <v>0.95099</v>
      </c>
      <c r="G361" s="321"/>
      <c r="H361" s="321">
        <v>4.861E-2</v>
      </c>
      <c r="I361" s="321"/>
      <c r="J361" s="45">
        <v>4.0000000000000002E-4</v>
      </c>
      <c r="K361" s="321">
        <v>1.6000000000000001E-4</v>
      </c>
      <c r="L361" s="321">
        <v>2.4000000000000001E-4</v>
      </c>
      <c r="M361" s="321"/>
      <c r="N361" s="321"/>
      <c r="O361" s="321"/>
      <c r="P361" s="321"/>
      <c r="Q361" s="321"/>
    </row>
    <row r="362" spans="1:17" x14ac:dyDescent="0.2">
      <c r="A362" s="312">
        <v>9</v>
      </c>
      <c r="B362" s="423" t="s">
        <v>1399</v>
      </c>
      <c r="C362" s="424" t="s">
        <v>1400</v>
      </c>
      <c r="D362" s="321">
        <v>1</v>
      </c>
      <c r="E362" s="45"/>
      <c r="F362" s="321">
        <v>0.95099</v>
      </c>
      <c r="G362" s="321"/>
      <c r="H362" s="321">
        <v>4.861E-2</v>
      </c>
      <c r="I362" s="321"/>
      <c r="J362" s="45">
        <v>4.0000000000000002E-4</v>
      </c>
      <c r="K362" s="321">
        <v>1.6000000000000001E-4</v>
      </c>
      <c r="L362" s="321">
        <v>2.4000000000000001E-4</v>
      </c>
      <c r="M362" s="321"/>
      <c r="N362" s="321"/>
      <c r="O362" s="321"/>
      <c r="P362" s="321"/>
      <c r="Q362" s="321"/>
    </row>
    <row r="363" spans="1:17" x14ac:dyDescent="0.2">
      <c r="A363" s="312">
        <v>10</v>
      </c>
      <c r="B363" s="423" t="s">
        <v>1401</v>
      </c>
      <c r="C363" s="424" t="s">
        <v>1402</v>
      </c>
      <c r="D363" s="321">
        <v>1</v>
      </c>
      <c r="E363" s="45"/>
      <c r="F363" s="321">
        <v>0</v>
      </c>
      <c r="G363" s="321"/>
      <c r="H363" s="321">
        <v>1</v>
      </c>
      <c r="I363" s="321"/>
      <c r="J363" s="45">
        <v>0</v>
      </c>
      <c r="K363" s="321">
        <v>0</v>
      </c>
      <c r="L363" s="321">
        <v>0</v>
      </c>
      <c r="M363" s="321"/>
      <c r="N363" s="321"/>
      <c r="O363" s="321"/>
      <c r="P363" s="321"/>
      <c r="Q363" s="321"/>
    </row>
    <row r="364" spans="1:17" x14ac:dyDescent="0.2">
      <c r="A364" s="312">
        <v>11</v>
      </c>
      <c r="B364" s="423" t="s">
        <v>1403</v>
      </c>
      <c r="C364" s="424" t="s">
        <v>1404</v>
      </c>
      <c r="D364" s="321">
        <v>1</v>
      </c>
      <c r="E364" s="45"/>
      <c r="F364" s="321">
        <v>0</v>
      </c>
      <c r="G364" s="321"/>
      <c r="H364" s="321">
        <v>1</v>
      </c>
      <c r="I364" s="321"/>
      <c r="J364" s="45">
        <v>0</v>
      </c>
      <c r="K364" s="321">
        <v>0</v>
      </c>
      <c r="L364" s="321">
        <v>0</v>
      </c>
      <c r="M364" s="321"/>
      <c r="N364" s="321"/>
      <c r="O364" s="321"/>
      <c r="P364" s="321"/>
      <c r="Q364" s="321"/>
    </row>
    <row r="365" spans="1:17" x14ac:dyDescent="0.2">
      <c r="A365" s="312">
        <v>12</v>
      </c>
      <c r="B365" s="423" t="s">
        <v>1405</v>
      </c>
      <c r="C365" s="424" t="s">
        <v>1406</v>
      </c>
      <c r="D365" s="321">
        <v>0</v>
      </c>
      <c r="E365" s="45"/>
      <c r="F365" s="321">
        <v>0</v>
      </c>
      <c r="G365" s="321"/>
      <c r="H365" s="321">
        <v>0</v>
      </c>
      <c r="I365" s="321"/>
      <c r="J365" s="45">
        <v>0</v>
      </c>
      <c r="K365" s="321">
        <v>0</v>
      </c>
      <c r="L365" s="321">
        <v>0</v>
      </c>
      <c r="M365" s="321"/>
      <c r="N365" s="321"/>
      <c r="O365" s="321"/>
      <c r="P365" s="321"/>
      <c r="Q365" s="321"/>
    </row>
    <row r="366" spans="1:17" x14ac:dyDescent="0.2">
      <c r="A366" s="312">
        <v>13</v>
      </c>
      <c r="B366" s="423" t="s">
        <v>1407</v>
      </c>
      <c r="C366" s="424" t="s">
        <v>1408</v>
      </c>
      <c r="D366" s="321">
        <v>1</v>
      </c>
      <c r="E366" s="45"/>
      <c r="F366" s="321">
        <v>0</v>
      </c>
      <c r="G366" s="321"/>
      <c r="H366" s="321">
        <v>1</v>
      </c>
      <c r="I366" s="321"/>
      <c r="J366" s="45">
        <v>0</v>
      </c>
      <c r="K366" s="321">
        <v>0</v>
      </c>
      <c r="L366" s="321">
        <v>0</v>
      </c>
      <c r="M366" s="321"/>
      <c r="N366" s="321"/>
      <c r="O366" s="321"/>
      <c r="P366" s="321"/>
      <c r="Q366" s="321"/>
    </row>
    <row r="367" spans="1:17" x14ac:dyDescent="0.2">
      <c r="A367" s="312">
        <v>14</v>
      </c>
      <c r="B367" s="423" t="s">
        <v>1409</v>
      </c>
      <c r="C367" s="424" t="s">
        <v>1410</v>
      </c>
      <c r="D367" s="321">
        <v>1</v>
      </c>
      <c r="E367" s="45"/>
      <c r="F367" s="321">
        <v>1</v>
      </c>
      <c r="G367" s="321"/>
      <c r="H367" s="321">
        <v>0</v>
      </c>
      <c r="I367" s="321"/>
      <c r="J367" s="45">
        <v>0</v>
      </c>
      <c r="K367" s="321">
        <v>0</v>
      </c>
      <c r="L367" s="321">
        <v>0</v>
      </c>
      <c r="M367" s="321"/>
      <c r="N367" s="321"/>
      <c r="O367" s="321"/>
      <c r="P367" s="321"/>
      <c r="Q367" s="321"/>
    </row>
    <row r="368" spans="1:17" x14ac:dyDescent="0.2">
      <c r="A368" s="312">
        <v>15</v>
      </c>
      <c r="B368" s="423" t="s">
        <v>1411</v>
      </c>
      <c r="C368" s="424" t="s">
        <v>1412</v>
      </c>
      <c r="D368" s="321">
        <v>1</v>
      </c>
      <c r="E368" s="45"/>
      <c r="F368" s="321">
        <v>0.95003000000000004</v>
      </c>
      <c r="G368" s="321"/>
      <c r="H368" s="321">
        <v>4.9970000000000001E-2</v>
      </c>
      <c r="I368" s="321"/>
      <c r="J368" s="45">
        <v>0</v>
      </c>
      <c r="K368" s="321">
        <v>0</v>
      </c>
      <c r="L368" s="321">
        <v>0</v>
      </c>
      <c r="M368" s="321"/>
      <c r="N368" s="321"/>
      <c r="O368" s="321"/>
      <c r="P368" s="321"/>
      <c r="Q368" s="321"/>
    </row>
    <row r="369" spans="1:17" x14ac:dyDescent="0.2">
      <c r="A369" s="312">
        <v>16</v>
      </c>
      <c r="B369" s="423" t="s">
        <v>1413</v>
      </c>
      <c r="C369" s="424" t="s">
        <v>1414</v>
      </c>
      <c r="D369" s="321">
        <v>1</v>
      </c>
      <c r="E369" s="45"/>
      <c r="F369" s="321">
        <v>0.95003000000000004</v>
      </c>
      <c r="G369" s="321"/>
      <c r="H369" s="321">
        <v>4.9970000000000001E-2</v>
      </c>
      <c r="I369" s="321"/>
      <c r="J369" s="45">
        <v>0</v>
      </c>
      <c r="K369" s="321">
        <v>0</v>
      </c>
      <c r="L369" s="321">
        <v>0</v>
      </c>
      <c r="M369" s="321"/>
      <c r="N369" s="321"/>
      <c r="O369" s="321"/>
      <c r="P369" s="321"/>
      <c r="Q369" s="321"/>
    </row>
    <row r="370" spans="1:17" x14ac:dyDescent="0.2">
      <c r="A370" s="312">
        <v>17</v>
      </c>
      <c r="B370" s="423" t="s">
        <v>1415</v>
      </c>
      <c r="C370" s="424" t="s">
        <v>1416</v>
      </c>
      <c r="D370" s="321">
        <v>1</v>
      </c>
      <c r="E370" s="45"/>
      <c r="F370" s="321">
        <v>0.95003000000000004</v>
      </c>
      <c r="G370" s="321"/>
      <c r="H370" s="321">
        <v>4.9970000000000001E-2</v>
      </c>
      <c r="I370" s="321"/>
      <c r="J370" s="45">
        <v>0</v>
      </c>
      <c r="K370" s="321">
        <v>0</v>
      </c>
      <c r="L370" s="321">
        <v>0</v>
      </c>
      <c r="M370" s="321"/>
      <c r="N370" s="321"/>
      <c r="O370" s="321"/>
      <c r="P370" s="321"/>
      <c r="Q370" s="321"/>
    </row>
    <row r="371" spans="1:17" x14ac:dyDescent="0.2">
      <c r="A371" s="312">
        <v>18</v>
      </c>
      <c r="B371" s="423" t="s">
        <v>1417</v>
      </c>
      <c r="C371" s="424" t="s">
        <v>1418</v>
      </c>
      <c r="D371" s="321">
        <v>0</v>
      </c>
      <c r="E371" s="45"/>
      <c r="F371" s="321">
        <v>0</v>
      </c>
      <c r="G371" s="321"/>
      <c r="H371" s="321">
        <v>0</v>
      </c>
      <c r="I371" s="321"/>
      <c r="J371" s="45">
        <v>0</v>
      </c>
      <c r="K371" s="321">
        <v>0</v>
      </c>
      <c r="L371" s="321">
        <v>0</v>
      </c>
      <c r="M371" s="321"/>
      <c r="N371" s="321"/>
      <c r="O371" s="321"/>
      <c r="P371" s="321"/>
      <c r="Q371" s="321"/>
    </row>
    <row r="372" spans="1:17" x14ac:dyDescent="0.2">
      <c r="A372" s="312">
        <v>19</v>
      </c>
      <c r="B372" s="423" t="s">
        <v>1419</v>
      </c>
      <c r="C372" s="424" t="s">
        <v>1420</v>
      </c>
      <c r="D372" s="321">
        <v>1</v>
      </c>
      <c r="E372" s="45"/>
      <c r="F372" s="321">
        <v>0.96460000000000001</v>
      </c>
      <c r="G372" s="321"/>
      <c r="H372" s="321">
        <v>3.5400000000000001E-2</v>
      </c>
      <c r="I372" s="321"/>
      <c r="J372" s="45">
        <v>0</v>
      </c>
      <c r="K372" s="321">
        <v>0</v>
      </c>
      <c r="L372" s="321">
        <v>0</v>
      </c>
      <c r="M372" s="321"/>
      <c r="N372" s="321"/>
      <c r="O372" s="321"/>
      <c r="P372" s="321"/>
      <c r="Q372" s="321"/>
    </row>
    <row r="373" spans="1:17" x14ac:dyDescent="0.2">
      <c r="A373" s="312">
        <v>20</v>
      </c>
      <c r="B373" s="423" t="s">
        <v>1765</v>
      </c>
      <c r="C373" s="427" t="s">
        <v>1915</v>
      </c>
      <c r="D373" s="321">
        <v>1</v>
      </c>
      <c r="E373" s="45"/>
      <c r="F373" s="321">
        <v>0.95943999999999996</v>
      </c>
      <c r="G373" s="321"/>
      <c r="H373" s="321">
        <v>4.0489999999999998E-2</v>
      </c>
      <c r="I373" s="321"/>
      <c r="J373" s="45">
        <v>6.0000000000000002E-5</v>
      </c>
      <c r="K373" s="321">
        <v>6.0000000000000002E-5</v>
      </c>
      <c r="L373" s="321">
        <v>0</v>
      </c>
      <c r="M373" s="321"/>
      <c r="N373" s="321"/>
      <c r="O373" s="321"/>
      <c r="P373" s="321"/>
      <c r="Q373" s="321"/>
    </row>
    <row r="374" spans="1:17" x14ac:dyDescent="0.2">
      <c r="A374" s="312">
        <v>21</v>
      </c>
      <c r="B374" s="45"/>
      <c r="C374" s="45"/>
      <c r="D374" s="45"/>
      <c r="E374" s="45"/>
      <c r="F374" s="45"/>
      <c r="G374" s="45"/>
      <c r="H374" s="45"/>
      <c r="I374" s="45"/>
      <c r="J374" s="45"/>
      <c r="K374" s="45"/>
      <c r="L374" s="45"/>
      <c r="M374" s="45"/>
      <c r="N374" s="45"/>
      <c r="O374" s="45"/>
      <c r="P374" s="45"/>
      <c r="Q374" s="45"/>
    </row>
    <row r="375" spans="1:17" x14ac:dyDescent="0.2">
      <c r="A375" s="312">
        <v>22</v>
      </c>
      <c r="B375" s="45"/>
      <c r="C375" s="45"/>
      <c r="D375" s="45"/>
      <c r="E375" s="45"/>
      <c r="F375" s="45"/>
      <c r="G375" s="45"/>
      <c r="H375" s="45"/>
      <c r="I375" s="45"/>
      <c r="J375" s="45"/>
      <c r="K375" s="45"/>
      <c r="L375" s="45"/>
      <c r="M375" s="45"/>
      <c r="N375" s="45"/>
      <c r="O375" s="45"/>
      <c r="P375" s="45"/>
      <c r="Q375" s="45"/>
    </row>
    <row r="376" spans="1:17" x14ac:dyDescent="0.2">
      <c r="A376" s="312">
        <v>23</v>
      </c>
      <c r="B376" s="45"/>
      <c r="C376" s="45"/>
      <c r="D376" s="45"/>
      <c r="E376" s="45"/>
      <c r="F376" s="45"/>
      <c r="G376" s="45"/>
      <c r="H376" s="45"/>
      <c r="I376" s="45"/>
      <c r="J376" s="45"/>
      <c r="K376" s="45"/>
      <c r="L376" s="45"/>
      <c r="M376" s="45"/>
      <c r="N376" s="45"/>
      <c r="O376" s="45"/>
      <c r="P376" s="45"/>
      <c r="Q376" s="45"/>
    </row>
    <row r="377" spans="1:17" x14ac:dyDescent="0.2">
      <c r="A377" s="312">
        <v>24</v>
      </c>
      <c r="B377" s="45"/>
      <c r="C377" s="45"/>
      <c r="D377" s="45"/>
      <c r="E377" s="45"/>
      <c r="F377" s="45"/>
      <c r="G377" s="45"/>
      <c r="H377" s="45"/>
      <c r="I377" s="45"/>
      <c r="J377" s="45"/>
      <c r="K377" s="45"/>
      <c r="L377" s="45"/>
      <c r="M377" s="45"/>
      <c r="N377" s="45"/>
      <c r="O377" s="45"/>
      <c r="P377" s="45"/>
      <c r="Q377" s="45"/>
    </row>
    <row r="378" spans="1:17" x14ac:dyDescent="0.2">
      <c r="A378" s="312">
        <v>25</v>
      </c>
      <c r="B378" s="45"/>
      <c r="C378" s="45"/>
      <c r="D378" s="45"/>
      <c r="E378" s="45"/>
      <c r="F378" s="45"/>
      <c r="G378" s="45"/>
      <c r="H378" s="45"/>
      <c r="I378" s="45"/>
      <c r="J378" s="45"/>
      <c r="K378" s="45"/>
      <c r="L378" s="45"/>
      <c r="M378" s="45"/>
      <c r="N378" s="45"/>
      <c r="O378" s="45"/>
      <c r="P378" s="45"/>
      <c r="Q378" s="45"/>
    </row>
    <row r="379" spans="1:17" x14ac:dyDescent="0.2">
      <c r="A379" s="45"/>
      <c r="B379" s="45"/>
      <c r="C379" s="311"/>
      <c r="D379" s="45"/>
      <c r="E379" s="45"/>
      <c r="F379" s="45"/>
      <c r="G379" s="45"/>
      <c r="H379" s="45"/>
      <c r="I379" s="45"/>
      <c r="J379" s="45"/>
      <c r="K379" s="45"/>
      <c r="L379" s="45"/>
      <c r="M379" s="45"/>
      <c r="N379" s="45"/>
      <c r="O379" s="45"/>
      <c r="P379" s="45"/>
      <c r="Q379" s="45"/>
    </row>
    <row r="380" spans="1:17" x14ac:dyDescent="0.2">
      <c r="A380" s="45"/>
      <c r="B380" s="431" t="s">
        <v>1421</v>
      </c>
      <c r="C380" s="311"/>
      <c r="D380" s="45"/>
      <c r="E380" s="45"/>
      <c r="F380" s="45"/>
      <c r="G380" s="45"/>
      <c r="H380" s="45"/>
      <c r="I380" s="45"/>
      <c r="J380" s="45"/>
      <c r="K380" s="45"/>
      <c r="L380" s="45"/>
      <c r="M380" s="45"/>
      <c r="N380" s="45"/>
      <c r="O380" s="45"/>
      <c r="P380" s="45"/>
      <c r="Q380" s="45"/>
    </row>
    <row r="381" spans="1:17" x14ac:dyDescent="0.2">
      <c r="A381" s="45"/>
      <c r="B381" s="430" t="s">
        <v>1267</v>
      </c>
      <c r="C381" s="311"/>
      <c r="D381" s="45"/>
      <c r="E381" s="45"/>
      <c r="F381" s="45"/>
      <c r="G381" s="45"/>
      <c r="H381" s="45"/>
      <c r="I381" s="45"/>
      <c r="J381" s="45"/>
      <c r="K381" s="45"/>
      <c r="L381" s="45"/>
      <c r="M381" s="45"/>
      <c r="N381" s="45"/>
      <c r="O381" s="45"/>
      <c r="P381" s="45"/>
      <c r="Q381" s="45"/>
    </row>
    <row r="382" spans="1:17" x14ac:dyDescent="0.2">
      <c r="A382" s="312">
        <v>1</v>
      </c>
      <c r="B382" s="423" t="s">
        <v>1422</v>
      </c>
      <c r="C382" s="424" t="s">
        <v>1423</v>
      </c>
      <c r="D382" s="321">
        <v>1</v>
      </c>
      <c r="E382" s="45"/>
      <c r="F382" s="321">
        <v>0.93467999999999996</v>
      </c>
      <c r="G382" s="321"/>
      <c r="H382" s="321">
        <v>5.2130000000000003E-2</v>
      </c>
      <c r="I382" s="321"/>
      <c r="J382" s="45">
        <v>1.319E-2</v>
      </c>
      <c r="K382" s="321">
        <v>6.8999999999999999E-3</v>
      </c>
      <c r="L382" s="321">
        <v>6.2899999999999996E-3</v>
      </c>
      <c r="M382" s="321"/>
      <c r="N382" s="321"/>
      <c r="O382" s="321"/>
      <c r="P382" s="321"/>
      <c r="Q382" s="321"/>
    </row>
    <row r="383" spans="1:17" x14ac:dyDescent="0.2">
      <c r="A383" s="312">
        <v>2</v>
      </c>
      <c r="B383" s="423" t="s">
        <v>1424</v>
      </c>
      <c r="C383" s="424" t="s">
        <v>1425</v>
      </c>
      <c r="D383" s="321">
        <v>1</v>
      </c>
      <c r="E383" s="45"/>
      <c r="F383" s="321">
        <v>1</v>
      </c>
      <c r="G383" s="321"/>
      <c r="H383" s="321">
        <v>0</v>
      </c>
      <c r="I383" s="321"/>
      <c r="J383" s="45">
        <v>0</v>
      </c>
      <c r="K383" s="321">
        <v>0</v>
      </c>
      <c r="L383" s="321">
        <v>0</v>
      </c>
      <c r="M383" s="321"/>
      <c r="N383" s="321"/>
      <c r="O383" s="321"/>
      <c r="P383" s="321"/>
      <c r="Q383" s="321"/>
    </row>
    <row r="384" spans="1:17" x14ac:dyDescent="0.2">
      <c r="A384" s="312">
        <v>3</v>
      </c>
      <c r="B384" s="423" t="s">
        <v>1426</v>
      </c>
      <c r="C384" s="424" t="s">
        <v>1427</v>
      </c>
      <c r="D384" s="321">
        <v>1</v>
      </c>
      <c r="E384" s="45"/>
      <c r="F384" s="321">
        <v>0.94096999999999997</v>
      </c>
      <c r="G384" s="321"/>
      <c r="H384" s="321">
        <v>4.7579999999999997E-2</v>
      </c>
      <c r="I384" s="321"/>
      <c r="J384" s="45">
        <v>1.145E-2</v>
      </c>
      <c r="K384" s="321">
        <v>5.9699999999999996E-3</v>
      </c>
      <c r="L384" s="321">
        <v>5.4799999999999996E-3</v>
      </c>
      <c r="M384" s="321"/>
      <c r="N384" s="321"/>
      <c r="O384" s="321"/>
      <c r="P384" s="321"/>
      <c r="Q384" s="321"/>
    </row>
    <row r="385" spans="1:17" x14ac:dyDescent="0.2">
      <c r="A385" s="312">
        <v>4</v>
      </c>
      <c r="B385" s="423" t="s">
        <v>1426</v>
      </c>
      <c r="C385" s="427" t="s">
        <v>1431</v>
      </c>
      <c r="D385" s="321">
        <v>1</v>
      </c>
      <c r="E385" s="45"/>
      <c r="F385" s="321">
        <v>0.94096999999999997</v>
      </c>
      <c r="G385" s="321"/>
      <c r="H385" s="321">
        <v>4.7579999999999997E-2</v>
      </c>
      <c r="I385" s="321"/>
      <c r="J385" s="45">
        <v>1.145E-2</v>
      </c>
      <c r="K385" s="321">
        <v>5.9699999999999996E-3</v>
      </c>
      <c r="L385" s="321">
        <v>5.4799999999999996E-3</v>
      </c>
      <c r="M385" s="321"/>
      <c r="N385" s="321"/>
      <c r="O385" s="321"/>
      <c r="P385" s="321"/>
      <c r="Q385" s="321"/>
    </row>
    <row r="386" spans="1:17" x14ac:dyDescent="0.2">
      <c r="A386" s="312">
        <v>5</v>
      </c>
      <c r="B386" s="423" t="s">
        <v>1428</v>
      </c>
      <c r="C386" s="424" t="s">
        <v>1429</v>
      </c>
      <c r="D386" s="321">
        <v>1</v>
      </c>
      <c r="E386" s="45"/>
      <c r="F386" s="321">
        <v>0.93811</v>
      </c>
      <c r="G386" s="321"/>
      <c r="H386" s="321">
        <v>4.249E-2</v>
      </c>
      <c r="I386" s="321"/>
      <c r="J386" s="45">
        <v>1.9400000000000001E-2</v>
      </c>
      <c r="K386" s="321">
        <v>9.8399999999999998E-3</v>
      </c>
      <c r="L386" s="321">
        <v>9.5600000000000008E-3</v>
      </c>
      <c r="M386" s="321"/>
      <c r="N386" s="321"/>
      <c r="O386" s="321"/>
      <c r="P386" s="321"/>
      <c r="Q386" s="321"/>
    </row>
    <row r="387" spans="1:17" x14ac:dyDescent="0.2">
      <c r="A387" s="312">
        <v>6</v>
      </c>
      <c r="B387" s="423" t="s">
        <v>1432</v>
      </c>
      <c r="C387" s="424" t="s">
        <v>1433</v>
      </c>
      <c r="D387" s="321">
        <v>1</v>
      </c>
      <c r="E387" s="45"/>
      <c r="F387" s="321">
        <v>0.93811</v>
      </c>
      <c r="G387" s="321"/>
      <c r="H387" s="321">
        <v>4.249E-2</v>
      </c>
      <c r="I387" s="321"/>
      <c r="J387" s="45">
        <v>1.9400000000000001E-2</v>
      </c>
      <c r="K387" s="321">
        <v>9.8399999999999998E-3</v>
      </c>
      <c r="L387" s="321">
        <v>9.5600000000000008E-3</v>
      </c>
      <c r="M387" s="321"/>
      <c r="N387" s="321"/>
      <c r="O387" s="321"/>
      <c r="P387" s="321"/>
      <c r="Q387" s="321"/>
    </row>
    <row r="388" spans="1:17" x14ac:dyDescent="0.2">
      <c r="A388" s="312">
        <v>7</v>
      </c>
      <c r="B388" s="423" t="s">
        <v>1434</v>
      </c>
      <c r="C388" s="424" t="s">
        <v>1435</v>
      </c>
      <c r="D388" s="321">
        <v>1</v>
      </c>
      <c r="E388" s="45"/>
      <c r="F388" s="321">
        <v>0.93828999999999996</v>
      </c>
      <c r="G388" s="321"/>
      <c r="H388" s="321">
        <v>4.2360000000000002E-2</v>
      </c>
      <c r="I388" s="321"/>
      <c r="J388" s="45">
        <v>1.9349999999999999E-2</v>
      </c>
      <c r="K388" s="321">
        <v>9.8099999999999993E-3</v>
      </c>
      <c r="L388" s="321">
        <v>9.5300000000000003E-3</v>
      </c>
      <c r="M388" s="321"/>
      <c r="N388" s="321"/>
      <c r="O388" s="321"/>
      <c r="P388" s="321"/>
      <c r="Q388" s="321"/>
    </row>
    <row r="389" spans="1:17" x14ac:dyDescent="0.2">
      <c r="A389" s="312">
        <v>8</v>
      </c>
      <c r="B389" s="423" t="s">
        <v>1436</v>
      </c>
      <c r="C389" s="424" t="s">
        <v>1437</v>
      </c>
      <c r="D389" s="321">
        <v>1</v>
      </c>
      <c r="E389" s="45"/>
      <c r="F389" s="321">
        <v>0.95542000000000005</v>
      </c>
      <c r="G389" s="321"/>
      <c r="H389" s="321">
        <v>4.3569999999999998E-2</v>
      </c>
      <c r="I389" s="321"/>
      <c r="J389" s="45">
        <v>1.01E-3</v>
      </c>
      <c r="K389" s="321">
        <v>9.1E-4</v>
      </c>
      <c r="L389" s="321">
        <v>1E-4</v>
      </c>
      <c r="M389" s="321"/>
      <c r="N389" s="321"/>
      <c r="O389" s="321"/>
      <c r="P389" s="321"/>
      <c r="Q389" s="321"/>
    </row>
    <row r="390" spans="1:17" x14ac:dyDescent="0.2">
      <c r="A390" s="312">
        <v>9</v>
      </c>
      <c r="B390" s="423" t="s">
        <v>1438</v>
      </c>
      <c r="C390" s="424" t="s">
        <v>1439</v>
      </c>
      <c r="D390" s="321">
        <v>1</v>
      </c>
      <c r="E390" s="45"/>
      <c r="F390" s="321">
        <v>0</v>
      </c>
      <c r="G390" s="321"/>
      <c r="H390" s="321">
        <v>1</v>
      </c>
      <c r="I390" s="321"/>
      <c r="J390" s="45">
        <v>0</v>
      </c>
      <c r="K390" s="321">
        <v>0</v>
      </c>
      <c r="L390" s="321">
        <v>0</v>
      </c>
      <c r="M390" s="321"/>
      <c r="N390" s="321"/>
      <c r="O390" s="321"/>
      <c r="P390" s="321"/>
      <c r="Q390" s="321"/>
    </row>
    <row r="391" spans="1:17" x14ac:dyDescent="0.2">
      <c r="A391" s="312">
        <v>10</v>
      </c>
      <c r="B391" s="423" t="s">
        <v>1440</v>
      </c>
      <c r="C391" s="424" t="s">
        <v>1441</v>
      </c>
      <c r="D391" s="321">
        <v>1</v>
      </c>
      <c r="E391" s="45"/>
      <c r="F391" s="321">
        <v>8.0130000000000007E-2</v>
      </c>
      <c r="G391" s="321"/>
      <c r="H391" s="321">
        <v>0.91986999999999997</v>
      </c>
      <c r="I391" s="321"/>
      <c r="J391" s="45">
        <v>0</v>
      </c>
      <c r="K391" s="321">
        <v>0</v>
      </c>
      <c r="L391" s="321">
        <v>0</v>
      </c>
      <c r="M391" s="321"/>
      <c r="N391" s="321"/>
      <c r="O391" s="321"/>
      <c r="P391" s="321"/>
      <c r="Q391" s="321"/>
    </row>
    <row r="392" spans="1:17" x14ac:dyDescent="0.2">
      <c r="A392" s="312">
        <v>11</v>
      </c>
      <c r="B392" s="423" t="s">
        <v>1442</v>
      </c>
      <c r="C392" s="424" t="s">
        <v>1443</v>
      </c>
      <c r="D392" s="321">
        <v>1</v>
      </c>
      <c r="E392" s="45"/>
      <c r="F392" s="321">
        <v>0.95194999999999996</v>
      </c>
      <c r="G392" s="321"/>
      <c r="H392" s="321">
        <v>4.6519999999999999E-2</v>
      </c>
      <c r="I392" s="321"/>
      <c r="J392" s="45">
        <v>1.5399999999999999E-3</v>
      </c>
      <c r="K392" s="321">
        <v>1.5299999999999999E-3</v>
      </c>
      <c r="L392" s="321">
        <v>1.0000000000000001E-5</v>
      </c>
      <c r="M392" s="321"/>
      <c r="N392" s="321"/>
      <c r="O392" s="321"/>
      <c r="P392" s="321"/>
      <c r="Q392" s="321"/>
    </row>
    <row r="393" spans="1:17" x14ac:dyDescent="0.2">
      <c r="A393" s="312">
        <v>12</v>
      </c>
      <c r="B393" s="423" t="s">
        <v>1444</v>
      </c>
      <c r="C393" s="424" t="s">
        <v>1445</v>
      </c>
      <c r="D393" s="321">
        <v>1</v>
      </c>
      <c r="E393" s="45"/>
      <c r="F393" s="321">
        <v>0.99839</v>
      </c>
      <c r="G393" s="321"/>
      <c r="H393" s="321">
        <v>0</v>
      </c>
      <c r="I393" s="321"/>
      <c r="J393" s="45">
        <v>1.6100000000000001E-3</v>
      </c>
      <c r="K393" s="321">
        <v>1.6000000000000001E-3</v>
      </c>
      <c r="L393" s="321">
        <v>1.0000000000000001E-5</v>
      </c>
      <c r="M393" s="321"/>
      <c r="N393" s="321"/>
      <c r="O393" s="321"/>
      <c r="P393" s="321"/>
      <c r="Q393" s="321"/>
    </row>
    <row r="394" spans="1:17" x14ac:dyDescent="0.2">
      <c r="A394" s="312">
        <v>13</v>
      </c>
      <c r="B394" s="423" t="s">
        <v>1446</v>
      </c>
      <c r="C394" s="424" t="s">
        <v>1447</v>
      </c>
      <c r="D394" s="321">
        <v>1</v>
      </c>
      <c r="E394" s="45"/>
      <c r="F394" s="321">
        <v>0.94264999999999999</v>
      </c>
      <c r="G394" s="321"/>
      <c r="H394" s="321">
        <v>4.6219999999999997E-2</v>
      </c>
      <c r="I394" s="321"/>
      <c r="J394" s="45">
        <v>1.112E-2</v>
      </c>
      <c r="K394" s="321">
        <v>5.7999999999999996E-3</v>
      </c>
      <c r="L394" s="321">
        <v>5.3200000000000001E-3</v>
      </c>
      <c r="M394" s="321"/>
      <c r="N394" s="321"/>
      <c r="O394" s="321"/>
      <c r="P394" s="321"/>
      <c r="Q394" s="321"/>
    </row>
    <row r="395" spans="1:17" x14ac:dyDescent="0.2">
      <c r="A395" s="312">
        <v>14</v>
      </c>
      <c r="B395" s="423" t="s">
        <v>1448</v>
      </c>
      <c r="C395" s="427" t="s">
        <v>1916</v>
      </c>
      <c r="D395" s="321">
        <v>1</v>
      </c>
      <c r="E395" s="45"/>
      <c r="F395" s="321">
        <v>1</v>
      </c>
      <c r="G395" s="321"/>
      <c r="H395" s="321">
        <v>0</v>
      </c>
      <c r="I395" s="321"/>
      <c r="J395" s="45">
        <v>0</v>
      </c>
      <c r="K395" s="321">
        <v>0</v>
      </c>
      <c r="L395" s="321">
        <v>0</v>
      </c>
      <c r="M395" s="321"/>
      <c r="N395" s="321"/>
      <c r="O395" s="321"/>
      <c r="P395" s="321"/>
      <c r="Q395" s="321"/>
    </row>
    <row r="396" spans="1:17" x14ac:dyDescent="0.2">
      <c r="A396" s="312">
        <v>15</v>
      </c>
      <c r="B396" s="423" t="s">
        <v>485</v>
      </c>
      <c r="C396" s="427" t="s">
        <v>1917</v>
      </c>
      <c r="D396" s="321">
        <v>1</v>
      </c>
      <c r="E396" s="45"/>
      <c r="F396" s="321">
        <v>0.93467999999999996</v>
      </c>
      <c r="G396" s="321"/>
      <c r="H396" s="321">
        <v>5.2130000000000003E-2</v>
      </c>
      <c r="I396" s="321"/>
      <c r="J396" s="45">
        <v>1.319E-2</v>
      </c>
      <c r="K396" s="321">
        <v>6.8999999999999999E-3</v>
      </c>
      <c r="L396" s="321">
        <v>6.2899999999999996E-3</v>
      </c>
      <c r="M396" s="321"/>
      <c r="N396" s="321"/>
      <c r="O396" s="321"/>
      <c r="P396" s="321"/>
      <c r="Q396" s="321"/>
    </row>
    <row r="397" spans="1:17" x14ac:dyDescent="0.2">
      <c r="A397" s="312">
        <v>16</v>
      </c>
      <c r="B397" s="423" t="s">
        <v>486</v>
      </c>
      <c r="C397" s="424" t="s">
        <v>487</v>
      </c>
      <c r="D397" s="321">
        <v>1</v>
      </c>
      <c r="E397" s="45"/>
      <c r="F397" s="321">
        <v>0.93813999999999997</v>
      </c>
      <c r="G397" s="321"/>
      <c r="H397" s="321">
        <v>4.2470000000000001E-2</v>
      </c>
      <c r="I397" s="321"/>
      <c r="J397" s="45">
        <v>1.9390000000000001E-2</v>
      </c>
      <c r="K397" s="321">
        <v>9.8399999999999998E-3</v>
      </c>
      <c r="L397" s="321">
        <v>9.5600000000000008E-3</v>
      </c>
      <c r="M397" s="321"/>
      <c r="N397" s="321"/>
      <c r="O397" s="321"/>
      <c r="P397" s="321"/>
      <c r="Q397" s="321"/>
    </row>
    <row r="398" spans="1:17" x14ac:dyDescent="0.2">
      <c r="A398" s="312">
        <v>17</v>
      </c>
      <c r="B398" s="423" t="s">
        <v>912</v>
      </c>
      <c r="C398" s="424" t="s">
        <v>913</v>
      </c>
      <c r="D398" s="321">
        <v>1</v>
      </c>
      <c r="E398" s="45"/>
      <c r="F398" s="321">
        <v>0.93749000000000005</v>
      </c>
      <c r="G398" s="321"/>
      <c r="H398" s="321">
        <v>4.2750000000000003E-2</v>
      </c>
      <c r="I398" s="321"/>
      <c r="J398" s="45">
        <v>1.976E-2</v>
      </c>
      <c r="K398" s="321">
        <v>1.0019999999999999E-2</v>
      </c>
      <c r="L398" s="321">
        <v>9.7400000000000004E-3</v>
      </c>
      <c r="M398" s="321"/>
      <c r="N398" s="321"/>
      <c r="O398" s="321"/>
      <c r="P398" s="321"/>
      <c r="Q398" s="321"/>
    </row>
    <row r="399" spans="1:17" x14ac:dyDescent="0.2">
      <c r="A399" s="312">
        <v>18</v>
      </c>
      <c r="B399" s="423" t="s">
        <v>914</v>
      </c>
      <c r="C399" s="424" t="s">
        <v>915</v>
      </c>
      <c r="D399" s="321">
        <v>1</v>
      </c>
      <c r="E399" s="45"/>
      <c r="F399" s="321">
        <v>0.89212000000000002</v>
      </c>
      <c r="G399" s="321"/>
      <c r="H399" s="321">
        <v>0.10693999999999999</v>
      </c>
      <c r="I399" s="321"/>
      <c r="J399" s="45">
        <v>9.3999999999999997E-4</v>
      </c>
      <c r="K399" s="321">
        <v>8.4000000000000003E-4</v>
      </c>
      <c r="L399" s="321">
        <v>9.0000000000000006E-5</v>
      </c>
      <c r="M399" s="321"/>
      <c r="N399" s="321"/>
      <c r="O399" s="321"/>
      <c r="P399" s="321"/>
      <c r="Q399" s="321"/>
    </row>
    <row r="400" spans="1:17" x14ac:dyDescent="0.2">
      <c r="A400" s="312">
        <v>19</v>
      </c>
      <c r="B400" s="423" t="s">
        <v>2135</v>
      </c>
      <c r="C400" s="424" t="s">
        <v>2136</v>
      </c>
      <c r="D400" s="321">
        <v>1</v>
      </c>
      <c r="E400" s="45"/>
      <c r="F400" s="321">
        <v>0.89295999999999998</v>
      </c>
      <c r="G400" s="321"/>
      <c r="H400" s="321">
        <v>0.10704</v>
      </c>
      <c r="I400" s="321"/>
      <c r="J400" s="45">
        <v>0</v>
      </c>
      <c r="K400" s="321">
        <v>0</v>
      </c>
      <c r="L400" s="321">
        <v>0</v>
      </c>
      <c r="M400" s="321"/>
      <c r="N400" s="321"/>
      <c r="O400" s="321"/>
      <c r="P400" s="321"/>
      <c r="Q400" s="321"/>
    </row>
    <row r="401" spans="1:17" x14ac:dyDescent="0.2">
      <c r="A401" s="312">
        <v>20</v>
      </c>
      <c r="B401" s="423" t="s">
        <v>916</v>
      </c>
      <c r="C401" s="427" t="s">
        <v>917</v>
      </c>
      <c r="D401" s="321">
        <v>1</v>
      </c>
      <c r="E401" s="45"/>
      <c r="F401" s="321">
        <v>0.9284</v>
      </c>
      <c r="G401" s="321"/>
      <c r="H401" s="321">
        <v>6.0069999999999998E-2</v>
      </c>
      <c r="I401" s="321"/>
      <c r="J401" s="45">
        <v>1.153E-2</v>
      </c>
      <c r="K401" s="321">
        <v>5.9800000000000001E-3</v>
      </c>
      <c r="L401" s="321">
        <v>5.5599999999999998E-3</v>
      </c>
      <c r="M401" s="321"/>
      <c r="N401" s="321"/>
      <c r="O401" s="321"/>
      <c r="P401" s="321"/>
      <c r="Q401" s="321"/>
    </row>
    <row r="402" spans="1:17" x14ac:dyDescent="0.2">
      <c r="A402" s="313">
        <v>21</v>
      </c>
      <c r="B402" s="423" t="s">
        <v>918</v>
      </c>
      <c r="C402" s="427" t="s">
        <v>1918</v>
      </c>
      <c r="D402" s="321">
        <v>1</v>
      </c>
      <c r="E402" s="45"/>
      <c r="F402" s="321">
        <v>0.93689</v>
      </c>
      <c r="G402" s="321"/>
      <c r="H402" s="321">
        <v>5.0529999999999999E-2</v>
      </c>
      <c r="I402" s="321"/>
      <c r="J402" s="45">
        <v>1.2579999999999999E-2</v>
      </c>
      <c r="K402" s="321">
        <v>6.5700000000000003E-3</v>
      </c>
      <c r="L402" s="321">
        <v>6.0000000000000001E-3</v>
      </c>
      <c r="M402" s="321"/>
      <c r="N402" s="321"/>
      <c r="O402" s="321"/>
      <c r="P402" s="321"/>
      <c r="Q402" s="321"/>
    </row>
    <row r="403" spans="1:17" x14ac:dyDescent="0.2">
      <c r="A403" s="313">
        <v>22</v>
      </c>
      <c r="B403" s="423" t="s">
        <v>919</v>
      </c>
      <c r="C403" s="427" t="s">
        <v>1919</v>
      </c>
      <c r="D403" s="321">
        <v>1</v>
      </c>
      <c r="E403" s="45"/>
      <c r="F403" s="321">
        <v>1</v>
      </c>
      <c r="G403" s="321"/>
      <c r="H403" s="321">
        <v>0</v>
      </c>
      <c r="I403" s="321"/>
      <c r="J403" s="45">
        <v>0</v>
      </c>
      <c r="K403" s="321">
        <v>0</v>
      </c>
      <c r="L403" s="321">
        <v>0</v>
      </c>
      <c r="M403" s="321"/>
      <c r="N403" s="321"/>
      <c r="O403" s="321"/>
      <c r="P403" s="321"/>
      <c r="Q403" s="321"/>
    </row>
    <row r="404" spans="1:17" x14ac:dyDescent="0.2">
      <c r="A404" s="312">
        <v>23</v>
      </c>
      <c r="B404" s="423" t="s">
        <v>920</v>
      </c>
      <c r="C404" s="424" t="s">
        <v>2471</v>
      </c>
      <c r="D404" s="321">
        <v>1</v>
      </c>
      <c r="E404" s="45"/>
      <c r="F404" s="321">
        <v>0</v>
      </c>
      <c r="G404" s="321"/>
      <c r="H404" s="321">
        <v>0</v>
      </c>
      <c r="I404" s="321"/>
      <c r="J404" s="45">
        <v>1</v>
      </c>
      <c r="K404" s="321">
        <v>0.50726000000000004</v>
      </c>
      <c r="L404" s="321">
        <v>0.49274000000000001</v>
      </c>
      <c r="M404" s="321"/>
      <c r="N404" s="321"/>
      <c r="O404" s="321"/>
      <c r="P404" s="321"/>
      <c r="Q404" s="321"/>
    </row>
    <row r="405" spans="1:17" x14ac:dyDescent="0.2">
      <c r="A405" s="312">
        <v>24</v>
      </c>
      <c r="B405" s="423" t="s">
        <v>921</v>
      </c>
      <c r="C405" s="424" t="s">
        <v>922</v>
      </c>
      <c r="D405" s="321">
        <v>0</v>
      </c>
      <c r="E405" s="45"/>
      <c r="F405" s="321">
        <v>0</v>
      </c>
      <c r="G405" s="321"/>
      <c r="H405" s="321">
        <v>0</v>
      </c>
      <c r="I405" s="321"/>
      <c r="J405" s="45">
        <v>0</v>
      </c>
      <c r="K405" s="321">
        <v>0</v>
      </c>
      <c r="L405" s="321">
        <v>0</v>
      </c>
      <c r="M405" s="321"/>
      <c r="N405" s="321"/>
      <c r="O405" s="321"/>
      <c r="P405" s="321"/>
      <c r="Q405" s="321"/>
    </row>
    <row r="406" spans="1:17" x14ac:dyDescent="0.2">
      <c r="A406" s="312">
        <v>25</v>
      </c>
      <c r="B406" s="423" t="s">
        <v>923</v>
      </c>
      <c r="C406" s="424" t="s">
        <v>1762</v>
      </c>
      <c r="D406" s="321">
        <v>1</v>
      </c>
      <c r="E406" s="45"/>
      <c r="F406" s="321">
        <v>0</v>
      </c>
      <c r="G406" s="321"/>
      <c r="H406" s="321">
        <v>0</v>
      </c>
      <c r="I406" s="321"/>
      <c r="J406" s="45">
        <v>1</v>
      </c>
      <c r="K406" s="321">
        <v>0.50726000000000004</v>
      </c>
      <c r="L406" s="321">
        <v>0.49274000000000001</v>
      </c>
      <c r="M406" s="321"/>
      <c r="N406" s="321"/>
      <c r="O406" s="321"/>
      <c r="P406" s="321"/>
      <c r="Q406" s="321"/>
    </row>
    <row r="407" spans="1:17" x14ac:dyDescent="0.2">
      <c r="A407" s="312">
        <v>26</v>
      </c>
      <c r="B407" s="423" t="s">
        <v>924</v>
      </c>
      <c r="C407" s="424" t="s">
        <v>1763</v>
      </c>
      <c r="D407" s="321">
        <v>1</v>
      </c>
      <c r="E407" s="45"/>
      <c r="F407" s="321">
        <v>0</v>
      </c>
      <c r="G407" s="321"/>
      <c r="H407" s="321">
        <v>0</v>
      </c>
      <c r="I407" s="321"/>
      <c r="J407" s="45">
        <v>1</v>
      </c>
      <c r="K407" s="321">
        <v>0.50726000000000004</v>
      </c>
      <c r="L407" s="321">
        <v>0.49274000000000001</v>
      </c>
      <c r="M407" s="321"/>
      <c r="N407" s="321"/>
      <c r="O407" s="321"/>
      <c r="P407" s="321"/>
      <c r="Q407" s="321"/>
    </row>
    <row r="408" spans="1:17" x14ac:dyDescent="0.2">
      <c r="A408" s="312">
        <v>27</v>
      </c>
      <c r="B408" s="423" t="s">
        <v>925</v>
      </c>
      <c r="C408" s="424" t="s">
        <v>926</v>
      </c>
      <c r="D408" s="321">
        <v>1</v>
      </c>
      <c r="E408" s="45"/>
      <c r="F408" s="321">
        <v>0.95542000000000005</v>
      </c>
      <c r="G408" s="321"/>
      <c r="H408" s="321">
        <v>4.3569999999999998E-2</v>
      </c>
      <c r="I408" s="321"/>
      <c r="J408" s="45">
        <v>1.01E-3</v>
      </c>
      <c r="K408" s="321">
        <v>9.1E-4</v>
      </c>
      <c r="L408" s="321">
        <v>1E-4</v>
      </c>
      <c r="M408" s="321"/>
      <c r="N408" s="321"/>
      <c r="O408" s="321"/>
      <c r="P408" s="321"/>
      <c r="Q408" s="321"/>
    </row>
    <row r="409" spans="1:17" x14ac:dyDescent="0.2">
      <c r="A409" s="312">
        <v>28</v>
      </c>
      <c r="B409" s="423" t="s">
        <v>1451</v>
      </c>
      <c r="C409" s="424" t="s">
        <v>1345</v>
      </c>
      <c r="D409" s="321">
        <v>1</v>
      </c>
      <c r="E409" s="45"/>
      <c r="F409" s="321">
        <v>8.0130000000000007E-2</v>
      </c>
      <c r="G409" s="321"/>
      <c r="H409" s="321">
        <v>0.91986999999999997</v>
      </c>
      <c r="I409" s="321"/>
      <c r="J409" s="45">
        <v>0</v>
      </c>
      <c r="K409" s="321">
        <v>0</v>
      </c>
      <c r="L409" s="321">
        <v>0</v>
      </c>
      <c r="M409" s="321"/>
      <c r="N409" s="321"/>
      <c r="O409" s="321"/>
      <c r="P409" s="321"/>
      <c r="Q409" s="321"/>
    </row>
    <row r="410" spans="1:17" x14ac:dyDescent="0.2">
      <c r="A410" s="312">
        <v>29</v>
      </c>
      <c r="B410" s="423" t="s">
        <v>1346</v>
      </c>
      <c r="C410" s="427" t="s">
        <v>1920</v>
      </c>
      <c r="D410" s="321">
        <v>1</v>
      </c>
      <c r="E410" s="45"/>
      <c r="F410" s="321">
        <v>0.93381000000000003</v>
      </c>
      <c r="G410" s="321"/>
      <c r="H410" s="321">
        <v>6.6189999999999999E-2</v>
      </c>
      <c r="I410" s="321"/>
      <c r="J410" s="45">
        <v>0</v>
      </c>
      <c r="K410" s="321">
        <v>0</v>
      </c>
      <c r="L410" s="321">
        <v>0</v>
      </c>
      <c r="M410" s="321"/>
      <c r="N410" s="321"/>
      <c r="O410" s="321"/>
      <c r="P410" s="321"/>
      <c r="Q410" s="321"/>
    </row>
    <row r="411" spans="1:17" x14ac:dyDescent="0.2">
      <c r="A411" s="312">
        <v>30</v>
      </c>
      <c r="B411" s="423" t="s">
        <v>1347</v>
      </c>
      <c r="C411" s="424" t="s">
        <v>1348</v>
      </c>
      <c r="D411" s="321">
        <v>1</v>
      </c>
      <c r="E411" s="45"/>
      <c r="F411" s="321">
        <v>0.93467999999999996</v>
      </c>
      <c r="G411" s="321"/>
      <c r="H411" s="321">
        <v>5.2130000000000003E-2</v>
      </c>
      <c r="I411" s="321"/>
      <c r="J411" s="45">
        <v>1.319E-2</v>
      </c>
      <c r="K411" s="321">
        <v>6.8999999999999999E-3</v>
      </c>
      <c r="L411" s="321">
        <v>6.2899999999999996E-3</v>
      </c>
      <c r="M411" s="321"/>
      <c r="N411" s="321"/>
      <c r="O411" s="321"/>
      <c r="P411" s="321"/>
      <c r="Q411" s="321"/>
    </row>
    <row r="412" spans="1:17" x14ac:dyDescent="0.2">
      <c r="A412" s="312">
        <v>31</v>
      </c>
      <c r="B412" s="423" t="s">
        <v>1349</v>
      </c>
      <c r="C412" s="424" t="s">
        <v>1350</v>
      </c>
      <c r="D412" s="321">
        <v>1</v>
      </c>
      <c r="E412" s="45"/>
      <c r="F412" s="321">
        <v>1</v>
      </c>
      <c r="G412" s="321"/>
      <c r="H412" s="321">
        <v>0</v>
      </c>
      <c r="I412" s="321"/>
      <c r="J412" s="45">
        <v>0</v>
      </c>
      <c r="K412" s="321">
        <v>0</v>
      </c>
      <c r="L412" s="321">
        <v>0</v>
      </c>
      <c r="M412" s="321"/>
      <c r="N412" s="321"/>
      <c r="O412" s="321"/>
      <c r="P412" s="321"/>
      <c r="Q412" s="321"/>
    </row>
    <row r="413" spans="1:17" x14ac:dyDescent="0.2">
      <c r="A413" s="312">
        <v>32</v>
      </c>
      <c r="B413" s="423" t="s">
        <v>1351</v>
      </c>
      <c r="C413" s="424" t="s">
        <v>1352</v>
      </c>
      <c r="D413" s="321">
        <v>1</v>
      </c>
      <c r="E413" s="45"/>
      <c r="F413" s="321">
        <v>0.98607999999999996</v>
      </c>
      <c r="G413" s="321"/>
      <c r="H413" s="321">
        <v>0</v>
      </c>
      <c r="I413" s="321"/>
      <c r="J413" s="45">
        <v>1.392E-2</v>
      </c>
      <c r="K413" s="321">
        <v>7.28E-3</v>
      </c>
      <c r="L413" s="321">
        <v>6.6400000000000001E-3</v>
      </c>
      <c r="M413" s="321"/>
      <c r="N413" s="321"/>
      <c r="O413" s="321"/>
      <c r="P413" s="321"/>
      <c r="Q413" s="321"/>
    </row>
    <row r="414" spans="1:17" x14ac:dyDescent="0.2">
      <c r="A414" s="312">
        <v>33</v>
      </c>
      <c r="B414" s="423" t="s">
        <v>1353</v>
      </c>
      <c r="C414" s="424" t="s">
        <v>1354</v>
      </c>
      <c r="D414" s="321">
        <v>1</v>
      </c>
      <c r="E414" s="45"/>
      <c r="F414" s="321">
        <v>0</v>
      </c>
      <c r="G414" s="321"/>
      <c r="H414" s="321">
        <v>1</v>
      </c>
      <c r="I414" s="321"/>
      <c r="J414" s="45">
        <v>0</v>
      </c>
      <c r="K414" s="321">
        <v>0</v>
      </c>
      <c r="L414" s="321">
        <v>0</v>
      </c>
      <c r="M414" s="321"/>
      <c r="N414" s="321"/>
      <c r="O414" s="321"/>
      <c r="P414" s="321"/>
      <c r="Q414" s="321"/>
    </row>
    <row r="415" spans="1:17" x14ac:dyDescent="0.2">
      <c r="A415" s="312">
        <v>34</v>
      </c>
      <c r="B415" s="423" t="s">
        <v>1355</v>
      </c>
      <c r="C415" s="424" t="s">
        <v>1356</v>
      </c>
      <c r="D415" s="321">
        <v>1</v>
      </c>
      <c r="E415" s="45"/>
      <c r="F415" s="321">
        <v>0.93735999999999997</v>
      </c>
      <c r="G415" s="321"/>
      <c r="H415" s="321">
        <v>4.2840000000000003E-2</v>
      </c>
      <c r="I415" s="321"/>
      <c r="J415" s="45">
        <v>1.9800000000000002E-2</v>
      </c>
      <c r="K415" s="321">
        <v>1.004E-2</v>
      </c>
      <c r="L415" s="321">
        <v>9.7599999999999996E-3</v>
      </c>
      <c r="M415" s="321"/>
      <c r="N415" s="321"/>
      <c r="O415" s="321"/>
      <c r="P415" s="321"/>
      <c r="Q415" s="321"/>
    </row>
    <row r="416" spans="1:17" x14ac:dyDescent="0.2">
      <c r="A416" s="312">
        <v>35</v>
      </c>
      <c r="B416" s="423" t="s">
        <v>1357</v>
      </c>
      <c r="C416" s="424" t="s">
        <v>1358</v>
      </c>
      <c r="D416" s="321">
        <v>1</v>
      </c>
      <c r="E416" s="45"/>
      <c r="F416" s="321">
        <v>0.93803000000000003</v>
      </c>
      <c r="G416" s="321"/>
      <c r="H416" s="321">
        <v>4.2470000000000001E-2</v>
      </c>
      <c r="I416" s="321"/>
      <c r="J416" s="45">
        <v>1.951E-2</v>
      </c>
      <c r="K416" s="321">
        <v>9.8899999999999995E-3</v>
      </c>
      <c r="L416" s="321">
        <v>9.6100000000000005E-3</v>
      </c>
      <c r="M416" s="321"/>
      <c r="N416" s="321"/>
      <c r="O416" s="321"/>
      <c r="P416" s="321"/>
      <c r="Q416" s="321"/>
    </row>
    <row r="417" spans="1:17" x14ac:dyDescent="0.2">
      <c r="A417" s="312">
        <v>36</v>
      </c>
      <c r="B417" s="423" t="s">
        <v>1359</v>
      </c>
      <c r="C417" s="424" t="s">
        <v>1360</v>
      </c>
      <c r="D417" s="321">
        <v>1</v>
      </c>
      <c r="E417" s="45"/>
      <c r="F417" s="321">
        <v>0.93813000000000002</v>
      </c>
      <c r="G417" s="321"/>
      <c r="H417" s="321">
        <v>4.2320000000000003E-2</v>
      </c>
      <c r="I417" s="321"/>
      <c r="J417" s="45">
        <v>1.9550000000000001E-2</v>
      </c>
      <c r="K417" s="321">
        <v>9.92E-3</v>
      </c>
      <c r="L417" s="321">
        <v>9.6299999999999997E-3</v>
      </c>
      <c r="M417" s="321"/>
      <c r="N417" s="321"/>
      <c r="O417" s="321"/>
      <c r="P417" s="321"/>
      <c r="Q417" s="321"/>
    </row>
    <row r="418" spans="1:17" x14ac:dyDescent="0.2">
      <c r="A418" s="312">
        <v>37</v>
      </c>
      <c r="B418" s="423" t="s">
        <v>858</v>
      </c>
      <c r="C418" s="427" t="s">
        <v>1921</v>
      </c>
      <c r="D418" s="321">
        <v>1</v>
      </c>
      <c r="E418" s="45"/>
      <c r="F418" s="321">
        <v>0.96157000000000004</v>
      </c>
      <c r="G418" s="321"/>
      <c r="H418" s="321">
        <v>2.8629999999999999E-2</v>
      </c>
      <c r="I418" s="321"/>
      <c r="J418" s="45">
        <v>9.7999999999999997E-3</v>
      </c>
      <c r="K418" s="321">
        <v>9.7999999999999997E-3</v>
      </c>
      <c r="L418" s="321">
        <v>0</v>
      </c>
      <c r="M418" s="321"/>
      <c r="N418" s="321"/>
      <c r="O418" s="321"/>
      <c r="P418" s="321"/>
      <c r="Q418" s="321"/>
    </row>
    <row r="419" spans="1:17" x14ac:dyDescent="0.2">
      <c r="A419" s="312">
        <v>38</v>
      </c>
      <c r="B419" s="423" t="s">
        <v>859</v>
      </c>
      <c r="C419" s="427" t="s">
        <v>1922</v>
      </c>
      <c r="D419" s="321">
        <v>1</v>
      </c>
      <c r="E419" s="45"/>
      <c r="F419" s="321">
        <v>0.97870999999999997</v>
      </c>
      <c r="G419" s="321"/>
      <c r="H419" s="321">
        <v>2.129E-2</v>
      </c>
      <c r="I419" s="321"/>
      <c r="J419" s="45">
        <v>0</v>
      </c>
      <c r="K419" s="321">
        <v>0</v>
      </c>
      <c r="L419" s="321">
        <v>0</v>
      </c>
      <c r="M419" s="321"/>
      <c r="N419" s="321"/>
      <c r="O419" s="321"/>
      <c r="P419" s="321"/>
      <c r="Q419" s="321"/>
    </row>
    <row r="420" spans="1:17" x14ac:dyDescent="0.2">
      <c r="A420" s="312">
        <v>39</v>
      </c>
      <c r="B420" s="423" t="s">
        <v>860</v>
      </c>
      <c r="C420" s="427" t="s">
        <v>1923</v>
      </c>
      <c r="D420" s="321">
        <v>1</v>
      </c>
      <c r="E420" s="45"/>
      <c r="F420" s="321">
        <v>0.97119</v>
      </c>
      <c r="G420" s="321"/>
      <c r="H420" s="321">
        <v>2.8809999999999999E-2</v>
      </c>
      <c r="I420" s="321"/>
      <c r="J420" s="45">
        <v>0</v>
      </c>
      <c r="K420" s="321">
        <v>0</v>
      </c>
      <c r="L420" s="321">
        <v>0</v>
      </c>
      <c r="M420" s="321"/>
      <c r="N420" s="321"/>
      <c r="O420" s="321"/>
      <c r="P420" s="321"/>
      <c r="Q420" s="321"/>
    </row>
    <row r="421" spans="1:17" x14ac:dyDescent="0.2">
      <c r="A421" s="312">
        <v>40</v>
      </c>
      <c r="B421" s="423" t="s">
        <v>861</v>
      </c>
      <c r="C421" s="427" t="s">
        <v>1924</v>
      </c>
      <c r="D421" s="321">
        <v>1</v>
      </c>
      <c r="E421" s="45"/>
      <c r="F421" s="321">
        <v>0.94796999999999998</v>
      </c>
      <c r="G421" s="321"/>
      <c r="H421" s="321">
        <v>5.1450000000000003E-2</v>
      </c>
      <c r="I421" s="321"/>
      <c r="J421" s="45">
        <v>5.8E-4</v>
      </c>
      <c r="K421" s="321">
        <v>2.5000000000000001E-4</v>
      </c>
      <c r="L421" s="321">
        <v>3.3E-4</v>
      </c>
      <c r="M421" s="321"/>
      <c r="N421" s="321"/>
      <c r="O421" s="321"/>
      <c r="P421" s="321"/>
      <c r="Q421" s="321"/>
    </row>
    <row r="422" spans="1:17" x14ac:dyDescent="0.2">
      <c r="A422" s="312">
        <v>41</v>
      </c>
      <c r="B422" s="423" t="s">
        <v>862</v>
      </c>
      <c r="C422" s="427" t="s">
        <v>1925</v>
      </c>
      <c r="D422" s="321">
        <v>1</v>
      </c>
      <c r="E422" s="45"/>
      <c r="F422" s="321">
        <v>1</v>
      </c>
      <c r="G422" s="321"/>
      <c r="H422" s="321">
        <v>0</v>
      </c>
      <c r="I422" s="321"/>
      <c r="J422" s="45">
        <v>0</v>
      </c>
      <c r="K422" s="321">
        <v>0</v>
      </c>
      <c r="L422" s="321">
        <v>0</v>
      </c>
      <c r="M422" s="321"/>
      <c r="N422" s="321"/>
      <c r="O422" s="321"/>
      <c r="P422" s="321"/>
      <c r="Q422" s="321"/>
    </row>
    <row r="423" spans="1:17" x14ac:dyDescent="0.2">
      <c r="A423" s="312">
        <v>42</v>
      </c>
      <c r="B423" s="423" t="s">
        <v>863</v>
      </c>
      <c r="C423" s="427" t="s">
        <v>1926</v>
      </c>
      <c r="D423" s="321">
        <v>1</v>
      </c>
      <c r="E423" s="45"/>
      <c r="F423" s="321">
        <v>0.96723999999999999</v>
      </c>
      <c r="G423" s="321"/>
      <c r="H423" s="321">
        <v>3.2759999999999997E-2</v>
      </c>
      <c r="I423" s="321"/>
      <c r="J423" s="45">
        <v>0</v>
      </c>
      <c r="K423" s="321">
        <v>0</v>
      </c>
      <c r="L423" s="321">
        <v>0</v>
      </c>
      <c r="M423" s="321"/>
      <c r="N423" s="321"/>
      <c r="O423" s="321"/>
      <c r="P423" s="321"/>
      <c r="Q423" s="321"/>
    </row>
    <row r="424" spans="1:17" x14ac:dyDescent="0.2">
      <c r="A424" s="312">
        <v>43</v>
      </c>
      <c r="B424" s="423" t="s">
        <v>864</v>
      </c>
      <c r="C424" s="427" t="s">
        <v>1927</v>
      </c>
      <c r="D424" s="321">
        <v>1</v>
      </c>
      <c r="E424" s="45"/>
      <c r="F424" s="321">
        <v>0.95099</v>
      </c>
      <c r="G424" s="321"/>
      <c r="H424" s="321">
        <v>4.861E-2</v>
      </c>
      <c r="I424" s="321"/>
      <c r="J424" s="45">
        <v>4.0000000000000002E-4</v>
      </c>
      <c r="K424" s="321">
        <v>1.6000000000000001E-4</v>
      </c>
      <c r="L424" s="321">
        <v>2.4000000000000001E-4</v>
      </c>
      <c r="M424" s="321"/>
      <c r="N424" s="321"/>
      <c r="O424" s="321"/>
      <c r="P424" s="321"/>
      <c r="Q424" s="321"/>
    </row>
    <row r="425" spans="1:17" x14ac:dyDescent="0.2">
      <c r="A425" s="312">
        <v>44</v>
      </c>
      <c r="B425" s="423" t="s">
        <v>865</v>
      </c>
      <c r="C425" s="427" t="s">
        <v>1928</v>
      </c>
      <c r="D425" s="321">
        <v>1</v>
      </c>
      <c r="E425" s="45"/>
      <c r="F425" s="321">
        <v>0.99185000000000001</v>
      </c>
      <c r="G425" s="321"/>
      <c r="H425" s="321">
        <v>8.1499999999999993E-3</v>
      </c>
      <c r="I425" s="321"/>
      <c r="J425" s="45">
        <v>0</v>
      </c>
      <c r="K425" s="321">
        <v>0</v>
      </c>
      <c r="L425" s="321">
        <v>0</v>
      </c>
      <c r="M425" s="321"/>
      <c r="N425" s="321"/>
      <c r="O425" s="321"/>
      <c r="P425" s="321"/>
      <c r="Q425" s="321"/>
    </row>
    <row r="426" spans="1:17" x14ac:dyDescent="0.2">
      <c r="A426" s="312">
        <v>45</v>
      </c>
      <c r="B426" s="423" t="s">
        <v>866</v>
      </c>
      <c r="C426" s="424" t="s">
        <v>867</v>
      </c>
      <c r="D426" s="321">
        <v>1</v>
      </c>
      <c r="E426" s="45"/>
      <c r="F426" s="321">
        <v>0.92906999999999995</v>
      </c>
      <c r="G426" s="321"/>
      <c r="H426" s="321">
        <v>6.9620000000000001E-2</v>
      </c>
      <c r="I426" s="321"/>
      <c r="J426" s="45">
        <v>1.31E-3</v>
      </c>
      <c r="K426" s="321">
        <v>1.2700000000000001E-3</v>
      </c>
      <c r="L426" s="321">
        <v>4.0000000000000003E-5</v>
      </c>
      <c r="M426" s="321"/>
      <c r="N426" s="321"/>
      <c r="O426" s="321"/>
      <c r="P426" s="321"/>
      <c r="Q426" s="321"/>
    </row>
    <row r="427" spans="1:17" x14ac:dyDescent="0.2">
      <c r="A427" s="45"/>
      <c r="B427" s="45"/>
      <c r="C427" s="311"/>
      <c r="D427" s="45"/>
      <c r="E427" s="45"/>
      <c r="F427" s="45"/>
      <c r="G427" s="45"/>
      <c r="H427" s="45"/>
      <c r="I427" s="45"/>
      <c r="J427" s="45"/>
      <c r="K427" s="45"/>
      <c r="L427" s="45"/>
      <c r="M427" s="45"/>
      <c r="N427" s="45"/>
      <c r="O427" s="45"/>
      <c r="P427" s="45"/>
      <c r="Q427" s="45"/>
    </row>
    <row r="428" spans="1:17" x14ac:dyDescent="0.2">
      <c r="A428" s="45"/>
      <c r="B428" s="431" t="s">
        <v>868</v>
      </c>
      <c r="C428" s="311"/>
      <c r="D428" s="45"/>
      <c r="E428" s="45"/>
      <c r="F428" s="45"/>
      <c r="G428" s="45"/>
      <c r="H428" s="45"/>
      <c r="I428" s="45"/>
      <c r="J428" s="45"/>
      <c r="K428" s="45"/>
      <c r="L428" s="45"/>
      <c r="M428" s="45"/>
      <c r="N428" s="45"/>
      <c r="O428" s="45"/>
      <c r="P428" s="45"/>
      <c r="Q428" s="45"/>
    </row>
    <row r="429" spans="1:17" x14ac:dyDescent="0.2">
      <c r="A429" s="45"/>
      <c r="B429" s="430" t="s">
        <v>1267</v>
      </c>
      <c r="C429" s="311"/>
      <c r="D429" s="45"/>
      <c r="E429" s="45"/>
      <c r="F429" s="45"/>
      <c r="G429" s="45"/>
      <c r="H429" s="45"/>
      <c r="I429" s="45"/>
      <c r="J429" s="45"/>
      <c r="K429" s="45"/>
      <c r="L429" s="45"/>
      <c r="M429" s="45"/>
      <c r="N429" s="45"/>
      <c r="O429" s="45"/>
      <c r="P429" s="45"/>
      <c r="Q429" s="45"/>
    </row>
    <row r="430" spans="1:17" x14ac:dyDescent="0.2">
      <c r="A430" s="312">
        <v>1</v>
      </c>
      <c r="B430" s="423" t="s">
        <v>869</v>
      </c>
      <c r="C430" s="427" t="s">
        <v>1929</v>
      </c>
      <c r="D430" s="321">
        <v>1</v>
      </c>
      <c r="E430" s="45"/>
      <c r="F430" s="321">
        <v>0.95003000000000004</v>
      </c>
      <c r="G430" s="321"/>
      <c r="H430" s="321">
        <v>4.9970000000000001E-2</v>
      </c>
      <c r="I430" s="321"/>
      <c r="J430" s="45">
        <v>0</v>
      </c>
      <c r="K430" s="321">
        <v>0</v>
      </c>
      <c r="L430" s="321">
        <v>0</v>
      </c>
      <c r="M430" s="321"/>
      <c r="N430" s="321"/>
      <c r="O430" s="321"/>
      <c r="P430" s="321"/>
      <c r="Q430" s="321"/>
    </row>
    <row r="431" spans="1:17" x14ac:dyDescent="0.2">
      <c r="A431" s="312">
        <v>2</v>
      </c>
      <c r="B431" s="423" t="s">
        <v>870</v>
      </c>
      <c r="C431" s="424" t="s">
        <v>871</v>
      </c>
      <c r="D431" s="321">
        <v>1</v>
      </c>
      <c r="E431" s="45"/>
      <c r="F431" s="321">
        <v>0</v>
      </c>
      <c r="G431" s="321"/>
      <c r="H431" s="321">
        <v>0</v>
      </c>
      <c r="I431" s="321"/>
      <c r="J431" s="45">
        <v>1</v>
      </c>
      <c r="K431" s="321">
        <v>0.51039999999999996</v>
      </c>
      <c r="L431" s="321">
        <v>0.48959999999999998</v>
      </c>
      <c r="M431" s="321"/>
      <c r="N431" s="321"/>
      <c r="O431" s="321"/>
      <c r="P431" s="321"/>
      <c r="Q431" s="321"/>
    </row>
    <row r="432" spans="1:17" x14ac:dyDescent="0.2">
      <c r="A432" s="312">
        <v>3</v>
      </c>
      <c r="B432" s="423" t="s">
        <v>872</v>
      </c>
      <c r="C432" s="424" t="s">
        <v>873</v>
      </c>
      <c r="D432" s="321">
        <v>1</v>
      </c>
      <c r="E432" s="45"/>
      <c r="F432" s="321">
        <v>0</v>
      </c>
      <c r="G432" s="321"/>
      <c r="H432" s="321">
        <v>1</v>
      </c>
      <c r="I432" s="321"/>
      <c r="J432" s="45">
        <v>0</v>
      </c>
      <c r="K432" s="321">
        <v>0</v>
      </c>
      <c r="L432" s="321">
        <v>0</v>
      </c>
      <c r="M432" s="321"/>
      <c r="N432" s="321"/>
      <c r="O432" s="321"/>
      <c r="P432" s="321"/>
      <c r="Q432" s="321"/>
    </row>
    <row r="433" spans="1:17" x14ac:dyDescent="0.2">
      <c r="A433" s="312">
        <v>4</v>
      </c>
      <c r="B433" s="423" t="s">
        <v>874</v>
      </c>
      <c r="C433" s="424" t="s">
        <v>875</v>
      </c>
      <c r="D433" s="321">
        <v>1</v>
      </c>
      <c r="E433" s="45"/>
      <c r="F433" s="321">
        <v>0.94116999999999995</v>
      </c>
      <c r="G433" s="321"/>
      <c r="H433" s="321">
        <v>4.4650000000000002E-2</v>
      </c>
      <c r="I433" s="321"/>
      <c r="J433" s="45">
        <v>1.417E-2</v>
      </c>
      <c r="K433" s="321">
        <v>7.2300000000000003E-3</v>
      </c>
      <c r="L433" s="321">
        <v>6.94E-3</v>
      </c>
      <c r="M433" s="321"/>
      <c r="N433" s="321"/>
      <c r="O433" s="321"/>
      <c r="P433" s="321"/>
      <c r="Q433" s="321"/>
    </row>
    <row r="434" spans="1:17" x14ac:dyDescent="0.2">
      <c r="A434" s="312">
        <v>5</v>
      </c>
      <c r="B434" s="423" t="s">
        <v>876</v>
      </c>
      <c r="C434" s="424" t="s">
        <v>877</v>
      </c>
      <c r="D434" s="321">
        <v>1</v>
      </c>
      <c r="E434" s="45"/>
      <c r="F434" s="321">
        <v>0</v>
      </c>
      <c r="G434" s="321"/>
      <c r="H434" s="321">
        <v>1</v>
      </c>
      <c r="I434" s="321"/>
      <c r="J434" s="45">
        <v>0</v>
      </c>
      <c r="K434" s="321">
        <v>0</v>
      </c>
      <c r="L434" s="321">
        <v>0</v>
      </c>
      <c r="M434" s="321"/>
      <c r="N434" s="321"/>
      <c r="O434" s="321"/>
      <c r="P434" s="321"/>
      <c r="Q434" s="321"/>
    </row>
    <row r="435" spans="1:17" x14ac:dyDescent="0.2">
      <c r="A435" s="312">
        <v>6</v>
      </c>
      <c r="B435" s="423" t="s">
        <v>878</v>
      </c>
      <c r="C435" s="424" t="s">
        <v>879</v>
      </c>
      <c r="D435" s="321">
        <v>1</v>
      </c>
      <c r="E435" s="45"/>
      <c r="F435" s="321">
        <v>0.95469999999999999</v>
      </c>
      <c r="G435" s="321"/>
      <c r="H435" s="321">
        <v>4.53E-2</v>
      </c>
      <c r="I435" s="321"/>
      <c r="J435" s="45">
        <v>0</v>
      </c>
      <c r="K435" s="321">
        <v>0</v>
      </c>
      <c r="L435" s="321">
        <v>0</v>
      </c>
      <c r="M435" s="321"/>
      <c r="N435" s="321"/>
      <c r="O435" s="321"/>
      <c r="P435" s="321"/>
      <c r="Q435" s="321"/>
    </row>
    <row r="436" spans="1:17" x14ac:dyDescent="0.2">
      <c r="A436" s="312">
        <v>7</v>
      </c>
      <c r="B436" s="423" t="s">
        <v>927</v>
      </c>
      <c r="C436" s="424" t="s">
        <v>928</v>
      </c>
      <c r="D436" s="321">
        <v>1</v>
      </c>
      <c r="E436" s="45"/>
      <c r="F436" s="321">
        <v>0.99839</v>
      </c>
      <c r="G436" s="321"/>
      <c r="H436" s="321">
        <v>0</v>
      </c>
      <c r="I436" s="321"/>
      <c r="J436" s="45">
        <v>1.6100000000000001E-3</v>
      </c>
      <c r="K436" s="321">
        <v>1.6000000000000001E-3</v>
      </c>
      <c r="L436" s="321">
        <v>1.0000000000000001E-5</v>
      </c>
      <c r="M436" s="321"/>
      <c r="N436" s="321"/>
      <c r="O436" s="321"/>
      <c r="P436" s="321"/>
      <c r="Q436" s="321"/>
    </row>
    <row r="437" spans="1:17" x14ac:dyDescent="0.2">
      <c r="A437" s="312">
        <v>8</v>
      </c>
      <c r="B437" s="423" t="s">
        <v>27</v>
      </c>
      <c r="C437" s="424" t="s">
        <v>28</v>
      </c>
      <c r="D437" s="321">
        <v>1</v>
      </c>
      <c r="E437" s="45"/>
      <c r="F437" s="321">
        <v>0</v>
      </c>
      <c r="G437" s="321"/>
      <c r="H437" s="321">
        <v>1</v>
      </c>
      <c r="I437" s="321"/>
      <c r="J437" s="45">
        <v>0</v>
      </c>
      <c r="K437" s="321">
        <v>0</v>
      </c>
      <c r="L437" s="321">
        <v>0</v>
      </c>
      <c r="M437" s="321"/>
      <c r="N437" s="321"/>
      <c r="O437" s="321"/>
      <c r="P437" s="321"/>
      <c r="Q437" s="321"/>
    </row>
    <row r="438" spans="1:17" x14ac:dyDescent="0.2">
      <c r="A438" s="312">
        <v>9</v>
      </c>
      <c r="B438" s="423" t="s">
        <v>29</v>
      </c>
      <c r="C438" s="424" t="s">
        <v>30</v>
      </c>
      <c r="D438" s="321">
        <v>1</v>
      </c>
      <c r="E438" s="45"/>
      <c r="F438" s="321">
        <v>1</v>
      </c>
      <c r="G438" s="321"/>
      <c r="H438" s="321">
        <v>0</v>
      </c>
      <c r="I438" s="321"/>
      <c r="J438" s="45">
        <v>0</v>
      </c>
      <c r="K438" s="321">
        <v>0</v>
      </c>
      <c r="L438" s="321">
        <v>0</v>
      </c>
      <c r="M438" s="321"/>
      <c r="N438" s="321"/>
      <c r="O438" s="321"/>
      <c r="P438" s="321"/>
      <c r="Q438" s="321"/>
    </row>
    <row r="439" spans="1:17" x14ac:dyDescent="0.2">
      <c r="A439" s="312">
        <v>10</v>
      </c>
      <c r="B439" s="423" t="s">
        <v>31</v>
      </c>
      <c r="C439" s="424" t="s">
        <v>32</v>
      </c>
      <c r="D439" s="321">
        <v>1</v>
      </c>
      <c r="E439" s="45"/>
      <c r="F439" s="321">
        <v>0.93625999999999998</v>
      </c>
      <c r="G439" s="321"/>
      <c r="H439" s="321">
        <v>5.1180000000000003E-2</v>
      </c>
      <c r="I439" s="321"/>
      <c r="J439" s="45">
        <v>1.256E-2</v>
      </c>
      <c r="K439" s="321">
        <v>6.62E-3</v>
      </c>
      <c r="L439" s="321">
        <v>5.94E-3</v>
      </c>
      <c r="M439" s="321"/>
      <c r="N439" s="321"/>
      <c r="O439" s="321"/>
      <c r="P439" s="321"/>
      <c r="Q439" s="321"/>
    </row>
    <row r="440" spans="1:17" x14ac:dyDescent="0.2">
      <c r="A440" s="312">
        <v>11</v>
      </c>
      <c r="B440" s="423" t="s">
        <v>33</v>
      </c>
      <c r="C440" s="424" t="s">
        <v>34</v>
      </c>
      <c r="D440" s="321">
        <v>1</v>
      </c>
      <c r="E440" s="45"/>
      <c r="F440" s="321">
        <v>0.93632000000000004</v>
      </c>
      <c r="G440" s="321"/>
      <c r="H440" s="321">
        <v>5.117E-2</v>
      </c>
      <c r="I440" s="321"/>
      <c r="J440" s="45">
        <v>1.251E-2</v>
      </c>
      <c r="K440" s="321">
        <v>6.6E-3</v>
      </c>
      <c r="L440" s="321">
        <v>5.9100000000000003E-3</v>
      </c>
      <c r="M440" s="321"/>
      <c r="N440" s="321"/>
      <c r="O440" s="321"/>
      <c r="P440" s="321"/>
      <c r="Q440" s="321"/>
    </row>
    <row r="441" spans="1:17" x14ac:dyDescent="0.2">
      <c r="A441" s="312">
        <v>12</v>
      </c>
      <c r="B441" s="423" t="s">
        <v>35</v>
      </c>
      <c r="C441" s="424" t="s">
        <v>519</v>
      </c>
      <c r="D441" s="321">
        <v>1</v>
      </c>
      <c r="E441" s="45"/>
      <c r="F441" s="321">
        <v>0.77161000000000002</v>
      </c>
      <c r="G441" s="321"/>
      <c r="H441" s="321">
        <v>0</v>
      </c>
      <c r="I441" s="321"/>
      <c r="J441" s="45">
        <v>0.22839000000000001</v>
      </c>
      <c r="K441" s="321">
        <v>0.11584999999999999</v>
      </c>
      <c r="L441" s="321">
        <v>0.11254</v>
      </c>
      <c r="M441" s="321"/>
      <c r="N441" s="321"/>
      <c r="O441" s="321"/>
      <c r="P441" s="321"/>
      <c r="Q441" s="321"/>
    </row>
    <row r="442" spans="1:17" x14ac:dyDescent="0.2">
      <c r="A442" s="312">
        <v>13</v>
      </c>
      <c r="B442" s="423" t="s">
        <v>1452</v>
      </c>
      <c r="C442" s="424" t="s">
        <v>2137</v>
      </c>
      <c r="D442" s="321">
        <v>1</v>
      </c>
      <c r="E442" s="45"/>
      <c r="F442" s="321">
        <v>0.93837000000000004</v>
      </c>
      <c r="G442" s="321"/>
      <c r="H442" s="321">
        <v>4.8390000000000002E-2</v>
      </c>
      <c r="I442" s="321"/>
      <c r="J442" s="45">
        <v>1.325E-2</v>
      </c>
      <c r="K442" s="321">
        <v>6.9300000000000004E-3</v>
      </c>
      <c r="L442" s="321">
        <v>6.3099999999999996E-3</v>
      </c>
      <c r="M442" s="321"/>
      <c r="N442" s="321"/>
      <c r="O442" s="321"/>
      <c r="P442" s="321"/>
      <c r="Q442" s="321"/>
    </row>
    <row r="443" spans="1:17" x14ac:dyDescent="0.2">
      <c r="A443" s="312">
        <v>14</v>
      </c>
      <c r="B443" s="423" t="s">
        <v>37</v>
      </c>
      <c r="C443" s="427" t="s">
        <v>1930</v>
      </c>
      <c r="D443" s="321">
        <v>1</v>
      </c>
      <c r="E443" s="45"/>
      <c r="F443" s="321">
        <v>0.94113000000000002</v>
      </c>
      <c r="G443" s="321"/>
      <c r="H443" s="321">
        <v>3.8640000000000001E-2</v>
      </c>
      <c r="I443" s="321"/>
      <c r="J443" s="45">
        <v>2.0230000000000001E-2</v>
      </c>
      <c r="K443" s="321">
        <v>1.0370000000000001E-2</v>
      </c>
      <c r="L443" s="321">
        <v>9.8700000000000003E-3</v>
      </c>
      <c r="M443" s="321"/>
      <c r="N443" s="321"/>
      <c r="O443" s="321"/>
      <c r="P443" s="321"/>
      <c r="Q443" s="321"/>
    </row>
    <row r="444" spans="1:17" x14ac:dyDescent="0.2">
      <c r="A444" s="312">
        <v>15</v>
      </c>
      <c r="B444" s="423" t="s">
        <v>38</v>
      </c>
      <c r="C444" s="427" t="s">
        <v>1931</v>
      </c>
      <c r="D444" s="321">
        <v>1</v>
      </c>
      <c r="E444" s="45"/>
      <c r="F444" s="321">
        <v>0.94528999999999996</v>
      </c>
      <c r="G444" s="321"/>
      <c r="H444" s="321">
        <v>3.5950000000000003E-2</v>
      </c>
      <c r="I444" s="321"/>
      <c r="J444" s="45">
        <v>1.8759999999999999E-2</v>
      </c>
      <c r="K444" s="321">
        <v>9.6100000000000005E-3</v>
      </c>
      <c r="L444" s="321">
        <v>9.1500000000000001E-3</v>
      </c>
      <c r="M444" s="321"/>
      <c r="N444" s="321"/>
      <c r="O444" s="321"/>
      <c r="P444" s="321"/>
      <c r="Q444" s="321"/>
    </row>
    <row r="445" spans="1:17" x14ac:dyDescent="0.2">
      <c r="A445" s="312">
        <v>16</v>
      </c>
      <c r="B445" s="423" t="s">
        <v>39</v>
      </c>
      <c r="C445" s="427" t="s">
        <v>1932</v>
      </c>
      <c r="D445" s="321">
        <v>1</v>
      </c>
      <c r="E445" s="45"/>
      <c r="F445" s="321">
        <v>0.93803000000000003</v>
      </c>
      <c r="G445" s="321"/>
      <c r="H445" s="321">
        <v>4.2470000000000001E-2</v>
      </c>
      <c r="I445" s="321"/>
      <c r="J445" s="45">
        <v>1.951E-2</v>
      </c>
      <c r="K445" s="321">
        <v>9.8899999999999995E-3</v>
      </c>
      <c r="L445" s="321">
        <v>9.6100000000000005E-3</v>
      </c>
      <c r="M445" s="321"/>
      <c r="N445" s="321"/>
      <c r="O445" s="321"/>
      <c r="P445" s="321"/>
      <c r="Q445" s="321"/>
    </row>
    <row r="446" spans="1:17" x14ac:dyDescent="0.2">
      <c r="A446" s="312">
        <v>17</v>
      </c>
      <c r="B446" s="423" t="s">
        <v>40</v>
      </c>
      <c r="C446" s="427" t="s">
        <v>1933</v>
      </c>
      <c r="D446" s="321">
        <v>1</v>
      </c>
      <c r="E446" s="45"/>
      <c r="F446" s="321">
        <v>0.93874999999999997</v>
      </c>
      <c r="G446" s="321"/>
      <c r="H446" s="321">
        <v>4.1579999999999999E-2</v>
      </c>
      <c r="I446" s="321"/>
      <c r="J446" s="45">
        <v>1.967E-2</v>
      </c>
      <c r="K446" s="321">
        <v>0.01</v>
      </c>
      <c r="L446" s="321">
        <v>9.6699999999999998E-3</v>
      </c>
      <c r="M446" s="321"/>
      <c r="N446" s="321"/>
      <c r="O446" s="321"/>
      <c r="P446" s="321"/>
      <c r="Q446" s="321"/>
    </row>
    <row r="447" spans="1:17" x14ac:dyDescent="0.2">
      <c r="A447" s="312">
        <v>18</v>
      </c>
      <c r="B447" s="423" t="s">
        <v>41</v>
      </c>
      <c r="C447" s="427" t="s">
        <v>1934</v>
      </c>
      <c r="D447" s="321">
        <v>1</v>
      </c>
      <c r="E447" s="45"/>
      <c r="F447" s="321">
        <v>0.94179999999999997</v>
      </c>
      <c r="G447" s="321"/>
      <c r="H447" s="321">
        <v>3.7850000000000002E-2</v>
      </c>
      <c r="I447" s="321"/>
      <c r="J447" s="45">
        <v>2.035E-2</v>
      </c>
      <c r="K447" s="321">
        <v>1.044E-2</v>
      </c>
      <c r="L447" s="321">
        <v>9.9000000000000008E-3</v>
      </c>
      <c r="M447" s="321"/>
      <c r="N447" s="321"/>
      <c r="O447" s="321"/>
      <c r="P447" s="321"/>
      <c r="Q447" s="321"/>
    </row>
    <row r="448" spans="1:17" x14ac:dyDescent="0.2">
      <c r="A448" s="312">
        <v>19</v>
      </c>
      <c r="B448" s="423" t="s">
        <v>42</v>
      </c>
      <c r="C448" s="427" t="s">
        <v>1935</v>
      </c>
      <c r="D448" s="321">
        <v>1</v>
      </c>
      <c r="E448" s="45"/>
      <c r="F448" s="321">
        <v>0.92974999999999997</v>
      </c>
      <c r="G448" s="321"/>
      <c r="H448" s="321">
        <v>4.777E-2</v>
      </c>
      <c r="I448" s="321"/>
      <c r="J448" s="45">
        <v>2.247E-2</v>
      </c>
      <c r="K448" s="321">
        <v>1.14E-2</v>
      </c>
      <c r="L448" s="321">
        <v>1.107E-2</v>
      </c>
      <c r="M448" s="321"/>
      <c r="N448" s="321"/>
      <c r="O448" s="321"/>
      <c r="P448" s="321"/>
      <c r="Q448" s="321"/>
    </row>
    <row r="449" spans="1:17" x14ac:dyDescent="0.2">
      <c r="A449" s="312">
        <v>20</v>
      </c>
      <c r="B449" s="423" t="s">
        <v>1453</v>
      </c>
      <c r="C449" s="424" t="s">
        <v>44</v>
      </c>
      <c r="D449" s="321">
        <v>0</v>
      </c>
      <c r="E449" s="45"/>
      <c r="F449" s="321">
        <v>0</v>
      </c>
      <c r="G449" s="321"/>
      <c r="H449" s="321">
        <v>0</v>
      </c>
      <c r="I449" s="321"/>
      <c r="J449" s="45">
        <v>0</v>
      </c>
      <c r="K449" s="321">
        <v>0</v>
      </c>
      <c r="L449" s="321">
        <v>0</v>
      </c>
      <c r="M449" s="321"/>
      <c r="N449" s="321"/>
      <c r="O449" s="321"/>
      <c r="P449" s="321"/>
      <c r="Q449" s="321"/>
    </row>
    <row r="450" spans="1:17" x14ac:dyDescent="0.2">
      <c r="A450" s="312">
        <v>21</v>
      </c>
      <c r="B450" s="423" t="s">
        <v>1454</v>
      </c>
      <c r="C450" s="424" t="s">
        <v>46</v>
      </c>
      <c r="D450" s="321">
        <v>0</v>
      </c>
      <c r="E450" s="45"/>
      <c r="F450" s="321">
        <v>0</v>
      </c>
      <c r="G450" s="321"/>
      <c r="H450" s="321">
        <v>0</v>
      </c>
      <c r="I450" s="321"/>
      <c r="J450" s="45">
        <v>0</v>
      </c>
      <c r="K450" s="321">
        <v>0</v>
      </c>
      <c r="L450" s="321">
        <v>0</v>
      </c>
      <c r="M450" s="321"/>
      <c r="N450" s="321"/>
      <c r="O450" s="321"/>
      <c r="P450" s="321"/>
      <c r="Q450" s="321"/>
    </row>
    <row r="451" spans="1:17" x14ac:dyDescent="0.2">
      <c r="A451" s="312">
        <v>22</v>
      </c>
      <c r="B451" s="423" t="s">
        <v>1455</v>
      </c>
      <c r="C451" s="424" t="s">
        <v>48</v>
      </c>
      <c r="D451" s="321">
        <v>0</v>
      </c>
      <c r="E451" s="45"/>
      <c r="F451" s="321">
        <v>0</v>
      </c>
      <c r="G451" s="321"/>
      <c r="H451" s="321">
        <v>0</v>
      </c>
      <c r="I451" s="321"/>
      <c r="J451" s="45">
        <v>0</v>
      </c>
      <c r="K451" s="321">
        <v>0</v>
      </c>
      <c r="L451" s="321">
        <v>0</v>
      </c>
      <c r="M451" s="321"/>
      <c r="N451" s="321"/>
      <c r="O451" s="321"/>
      <c r="P451" s="321"/>
      <c r="Q451" s="321"/>
    </row>
    <row r="452" spans="1:17" x14ac:dyDescent="0.2">
      <c r="A452" s="312">
        <v>23</v>
      </c>
      <c r="B452" s="423" t="s">
        <v>1456</v>
      </c>
      <c r="C452" s="424" t="s">
        <v>50</v>
      </c>
      <c r="D452" s="321">
        <v>0</v>
      </c>
      <c r="E452" s="45"/>
      <c r="F452" s="321">
        <v>0</v>
      </c>
      <c r="G452" s="321"/>
      <c r="H452" s="321">
        <v>0</v>
      </c>
      <c r="I452" s="321"/>
      <c r="J452" s="45">
        <v>0</v>
      </c>
      <c r="K452" s="321">
        <v>0</v>
      </c>
      <c r="L452" s="321">
        <v>0</v>
      </c>
      <c r="M452" s="321"/>
      <c r="N452" s="321"/>
      <c r="O452" s="321"/>
      <c r="P452" s="321"/>
      <c r="Q452" s="321"/>
    </row>
    <row r="453" spans="1:17" x14ac:dyDescent="0.2">
      <c r="A453" s="312">
        <v>24</v>
      </c>
      <c r="B453" s="423" t="s">
        <v>1457</v>
      </c>
      <c r="C453" s="424" t="s">
        <v>52</v>
      </c>
      <c r="D453" s="321">
        <v>0</v>
      </c>
      <c r="E453" s="45"/>
      <c r="F453" s="321">
        <v>0</v>
      </c>
      <c r="G453" s="321"/>
      <c r="H453" s="321">
        <v>0</v>
      </c>
      <c r="I453" s="321"/>
      <c r="J453" s="45">
        <v>0</v>
      </c>
      <c r="K453" s="321">
        <v>0</v>
      </c>
      <c r="L453" s="321">
        <v>0</v>
      </c>
      <c r="M453" s="321"/>
      <c r="N453" s="321"/>
      <c r="O453" s="321"/>
      <c r="P453" s="321"/>
      <c r="Q453" s="321"/>
    </row>
    <row r="454" spans="1:17" x14ac:dyDescent="0.2">
      <c r="A454" s="312">
        <v>25</v>
      </c>
      <c r="B454" s="423" t="s">
        <v>1458</v>
      </c>
      <c r="C454" s="424" t="s">
        <v>511</v>
      </c>
      <c r="D454" s="321">
        <v>0</v>
      </c>
      <c r="E454" s="45"/>
      <c r="F454" s="321">
        <v>0</v>
      </c>
      <c r="G454" s="321"/>
      <c r="H454" s="321">
        <v>0</v>
      </c>
      <c r="I454" s="321"/>
      <c r="J454" s="45">
        <v>0</v>
      </c>
      <c r="K454" s="321">
        <v>0</v>
      </c>
      <c r="L454" s="321">
        <v>0</v>
      </c>
      <c r="M454" s="321"/>
      <c r="N454" s="321"/>
      <c r="O454" s="321"/>
      <c r="P454" s="321"/>
      <c r="Q454" s="321"/>
    </row>
    <row r="455" spans="1:17" x14ac:dyDescent="0.2">
      <c r="A455" s="312">
        <v>26</v>
      </c>
      <c r="B455" s="423" t="s">
        <v>512</v>
      </c>
      <c r="C455" s="427" t="s">
        <v>1936</v>
      </c>
      <c r="D455" s="321">
        <v>1</v>
      </c>
      <c r="E455" s="45"/>
      <c r="F455" s="321">
        <v>0.89295999999999998</v>
      </c>
      <c r="G455" s="321"/>
      <c r="H455" s="321">
        <v>0.10704</v>
      </c>
      <c r="I455" s="321"/>
      <c r="J455" s="45">
        <v>0</v>
      </c>
      <c r="K455" s="321">
        <v>0</v>
      </c>
      <c r="L455" s="321">
        <v>0</v>
      </c>
      <c r="M455" s="321"/>
      <c r="N455" s="321"/>
      <c r="O455" s="321"/>
      <c r="P455" s="321"/>
      <c r="Q455" s="321"/>
    </row>
    <row r="456" spans="1:17" x14ac:dyDescent="0.2">
      <c r="A456" s="312">
        <v>27</v>
      </c>
      <c r="B456" s="423" t="s">
        <v>513</v>
      </c>
      <c r="C456" s="427" t="s">
        <v>1937</v>
      </c>
      <c r="D456" s="321">
        <v>1</v>
      </c>
      <c r="E456" s="45"/>
      <c r="F456" s="321">
        <v>0.89295999999999998</v>
      </c>
      <c r="G456" s="321"/>
      <c r="H456" s="321">
        <v>0.10704</v>
      </c>
      <c r="I456" s="321"/>
      <c r="J456" s="45">
        <v>0</v>
      </c>
      <c r="K456" s="321">
        <v>0</v>
      </c>
      <c r="L456" s="321">
        <v>0</v>
      </c>
      <c r="M456" s="321"/>
      <c r="N456" s="321"/>
      <c r="O456" s="321"/>
      <c r="P456" s="321"/>
      <c r="Q456" s="321"/>
    </row>
    <row r="457" spans="1:17" x14ac:dyDescent="0.2">
      <c r="A457" s="312">
        <v>28</v>
      </c>
      <c r="B457" s="423" t="s">
        <v>514</v>
      </c>
      <c r="C457" s="424" t="s">
        <v>515</v>
      </c>
      <c r="D457" s="321">
        <v>1</v>
      </c>
      <c r="E457" s="45"/>
      <c r="F457" s="321">
        <v>0.89295999999999998</v>
      </c>
      <c r="G457" s="321"/>
      <c r="H457" s="321">
        <v>0.10704</v>
      </c>
      <c r="I457" s="321"/>
      <c r="J457" s="45">
        <v>0</v>
      </c>
      <c r="K457" s="321">
        <v>0</v>
      </c>
      <c r="L457" s="321">
        <v>0</v>
      </c>
      <c r="M457" s="321"/>
      <c r="N457" s="321"/>
      <c r="O457" s="321"/>
      <c r="P457" s="321"/>
      <c r="Q457" s="321"/>
    </row>
    <row r="458" spans="1:17" x14ac:dyDescent="0.2">
      <c r="A458" s="312">
        <v>29</v>
      </c>
      <c r="B458" s="423" t="s">
        <v>516</v>
      </c>
      <c r="C458" s="424" t="s">
        <v>517</v>
      </c>
      <c r="D458" s="321">
        <v>0</v>
      </c>
      <c r="E458" s="45"/>
      <c r="F458" s="321">
        <v>0</v>
      </c>
      <c r="G458" s="321"/>
      <c r="H458" s="321">
        <v>0</v>
      </c>
      <c r="I458" s="321"/>
      <c r="J458" s="45">
        <v>0</v>
      </c>
      <c r="K458" s="321">
        <v>0</v>
      </c>
      <c r="L458" s="321">
        <v>0</v>
      </c>
      <c r="M458" s="321"/>
      <c r="N458" s="321"/>
      <c r="O458" s="321"/>
      <c r="P458" s="321"/>
      <c r="Q458" s="321"/>
    </row>
    <row r="459" spans="1:17" x14ac:dyDescent="0.2">
      <c r="A459" s="312">
        <v>30</v>
      </c>
      <c r="B459" s="423" t="s">
        <v>518</v>
      </c>
      <c r="C459" s="427" t="s">
        <v>1938</v>
      </c>
      <c r="D459" s="321">
        <v>1</v>
      </c>
      <c r="E459" s="45"/>
      <c r="F459" s="321">
        <v>0.94686000000000003</v>
      </c>
      <c r="G459" s="321"/>
      <c r="H459" s="321">
        <v>5.1659999999999998E-2</v>
      </c>
      <c r="I459" s="321"/>
      <c r="J459" s="45">
        <v>1.48E-3</v>
      </c>
      <c r="K459" s="321">
        <v>1.3600000000000001E-3</v>
      </c>
      <c r="L459" s="321">
        <v>1.2E-4</v>
      </c>
      <c r="M459" s="321"/>
      <c r="N459" s="321"/>
      <c r="O459" s="321"/>
      <c r="P459" s="321"/>
      <c r="Q459" s="321"/>
    </row>
    <row r="460" spans="1:17" x14ac:dyDescent="0.2">
      <c r="A460" s="312">
        <v>31</v>
      </c>
      <c r="B460" s="423" t="s">
        <v>529</v>
      </c>
      <c r="C460" s="427" t="s">
        <v>1939</v>
      </c>
      <c r="D460" s="321">
        <v>1</v>
      </c>
      <c r="E460" s="45"/>
      <c r="F460" s="321">
        <v>0.93715999999999999</v>
      </c>
      <c r="G460" s="321"/>
      <c r="H460" s="321">
        <v>6.2370000000000002E-2</v>
      </c>
      <c r="I460" s="321"/>
      <c r="J460" s="45">
        <v>4.6999999999999999E-4</v>
      </c>
      <c r="K460" s="321">
        <v>4.6999999999999999E-4</v>
      </c>
      <c r="L460" s="321">
        <v>0</v>
      </c>
      <c r="M460" s="321"/>
      <c r="N460" s="321"/>
      <c r="O460" s="321"/>
      <c r="P460" s="321"/>
      <c r="Q460" s="321"/>
    </row>
    <row r="461" spans="1:17" x14ac:dyDescent="0.2">
      <c r="A461" s="312">
        <v>32</v>
      </c>
      <c r="B461" s="423" t="s">
        <v>530</v>
      </c>
      <c r="C461" s="424" t="s">
        <v>531</v>
      </c>
      <c r="D461" s="321">
        <v>1</v>
      </c>
      <c r="E461" s="45"/>
      <c r="F461" s="321">
        <v>0.95194999999999996</v>
      </c>
      <c r="G461" s="321"/>
      <c r="H461" s="321">
        <v>4.6519999999999999E-2</v>
      </c>
      <c r="I461" s="321"/>
      <c r="J461" s="45">
        <v>1.5399999999999999E-3</v>
      </c>
      <c r="K461" s="321">
        <v>1.5299999999999999E-3</v>
      </c>
      <c r="L461" s="321">
        <v>1.0000000000000001E-5</v>
      </c>
      <c r="M461" s="321"/>
      <c r="N461" s="321"/>
      <c r="O461" s="321"/>
      <c r="P461" s="321"/>
      <c r="Q461" s="321"/>
    </row>
    <row r="462" spans="1:17" x14ac:dyDescent="0.2">
      <c r="A462" s="312">
        <v>33</v>
      </c>
      <c r="B462" s="423" t="s">
        <v>532</v>
      </c>
      <c r="C462" s="424" t="s">
        <v>533</v>
      </c>
      <c r="D462" s="321">
        <v>0</v>
      </c>
      <c r="E462" s="45"/>
      <c r="F462" s="321">
        <v>0</v>
      </c>
      <c r="G462" s="321"/>
      <c r="H462" s="321">
        <v>0</v>
      </c>
      <c r="I462" s="321"/>
      <c r="J462" s="45">
        <v>0</v>
      </c>
      <c r="K462" s="321">
        <v>0</v>
      </c>
      <c r="L462" s="321">
        <v>0</v>
      </c>
      <c r="M462" s="321"/>
      <c r="N462" s="321"/>
      <c r="O462" s="321"/>
      <c r="P462" s="321"/>
      <c r="Q462" s="321"/>
    </row>
    <row r="463" spans="1:17" x14ac:dyDescent="0.2">
      <c r="A463" s="312">
        <v>34</v>
      </c>
      <c r="B463" s="423" t="s">
        <v>534</v>
      </c>
      <c r="C463" s="427" t="s">
        <v>1940</v>
      </c>
      <c r="D463" s="321">
        <v>1</v>
      </c>
      <c r="E463" s="45"/>
      <c r="F463" s="321">
        <v>0.95099</v>
      </c>
      <c r="G463" s="321"/>
      <c r="H463" s="321">
        <v>4.861E-2</v>
      </c>
      <c r="I463" s="321"/>
      <c r="J463" s="45">
        <v>4.0000000000000002E-4</v>
      </c>
      <c r="K463" s="321">
        <v>1.6000000000000001E-4</v>
      </c>
      <c r="L463" s="321">
        <v>2.4000000000000001E-4</v>
      </c>
      <c r="M463" s="321"/>
      <c r="N463" s="321"/>
      <c r="O463" s="321"/>
      <c r="P463" s="321"/>
      <c r="Q463" s="321"/>
    </row>
    <row r="464" spans="1:17" x14ac:dyDescent="0.2">
      <c r="A464" s="312">
        <v>35</v>
      </c>
      <c r="B464" s="423" t="s">
        <v>535</v>
      </c>
      <c r="C464" s="424" t="s">
        <v>536</v>
      </c>
      <c r="D464" s="321">
        <v>1</v>
      </c>
      <c r="E464" s="45"/>
      <c r="F464" s="321">
        <v>0.95099</v>
      </c>
      <c r="G464" s="321"/>
      <c r="H464" s="321">
        <v>4.861E-2</v>
      </c>
      <c r="I464" s="321"/>
      <c r="J464" s="45">
        <v>4.0000000000000002E-4</v>
      </c>
      <c r="K464" s="321">
        <v>1.6000000000000001E-4</v>
      </c>
      <c r="L464" s="321">
        <v>2.4000000000000001E-4</v>
      </c>
      <c r="M464" s="321"/>
      <c r="N464" s="321"/>
      <c r="O464" s="321"/>
      <c r="P464" s="321"/>
      <c r="Q464" s="321"/>
    </row>
    <row r="465" spans="1:17" x14ac:dyDescent="0.2">
      <c r="A465" s="312">
        <v>36</v>
      </c>
      <c r="B465" s="423" t="s">
        <v>1459</v>
      </c>
      <c r="C465" s="427" t="s">
        <v>1941</v>
      </c>
      <c r="D465" s="321">
        <v>1</v>
      </c>
      <c r="E465" s="45"/>
      <c r="F465" s="321">
        <v>0.98819999999999997</v>
      </c>
      <c r="G465" s="321"/>
      <c r="H465" s="321">
        <v>1.18E-2</v>
      </c>
      <c r="I465" s="321"/>
      <c r="J465" s="45">
        <v>0</v>
      </c>
      <c r="K465" s="321">
        <v>0</v>
      </c>
      <c r="L465" s="321">
        <v>0</v>
      </c>
      <c r="M465" s="321"/>
      <c r="N465" s="321"/>
      <c r="O465" s="321"/>
      <c r="P465" s="321"/>
      <c r="Q465" s="321"/>
    </row>
    <row r="466" spans="1:17" x14ac:dyDescent="0.2">
      <c r="A466" s="312">
        <v>37</v>
      </c>
      <c r="B466" s="423" t="s">
        <v>538</v>
      </c>
      <c r="C466" s="424" t="s">
        <v>539</v>
      </c>
      <c r="D466" s="321">
        <v>1</v>
      </c>
      <c r="E466" s="45"/>
      <c r="F466" s="321">
        <v>0.95099</v>
      </c>
      <c r="G466" s="321"/>
      <c r="H466" s="321">
        <v>4.861E-2</v>
      </c>
      <c r="I466" s="321"/>
      <c r="J466" s="45">
        <v>4.0000000000000002E-4</v>
      </c>
      <c r="K466" s="321">
        <v>1.6000000000000001E-4</v>
      </c>
      <c r="L466" s="321">
        <v>2.4000000000000001E-4</v>
      </c>
      <c r="M466" s="321"/>
      <c r="N466" s="321"/>
      <c r="O466" s="321"/>
      <c r="P466" s="321"/>
      <c r="Q466" s="321"/>
    </row>
    <row r="467" spans="1:17" x14ac:dyDescent="0.2">
      <c r="A467" s="312">
        <v>38</v>
      </c>
      <c r="B467" s="423" t="s">
        <v>540</v>
      </c>
      <c r="C467" s="427" t="s">
        <v>1942</v>
      </c>
      <c r="D467" s="321">
        <v>1</v>
      </c>
      <c r="E467" s="45"/>
      <c r="F467" s="321">
        <v>0.95003000000000004</v>
      </c>
      <c r="G467" s="321"/>
      <c r="H467" s="321">
        <v>4.9970000000000001E-2</v>
      </c>
      <c r="I467" s="321"/>
      <c r="J467" s="45">
        <v>0</v>
      </c>
      <c r="K467" s="321">
        <v>0</v>
      </c>
      <c r="L467" s="321">
        <v>0</v>
      </c>
      <c r="M467" s="321"/>
      <c r="N467" s="321"/>
      <c r="O467" s="321"/>
      <c r="P467" s="321"/>
      <c r="Q467" s="321"/>
    </row>
    <row r="468" spans="1:17" x14ac:dyDescent="0.2">
      <c r="A468" s="312">
        <v>39</v>
      </c>
      <c r="B468" s="423" t="s">
        <v>541</v>
      </c>
      <c r="C468" s="424" t="s">
        <v>542</v>
      </c>
      <c r="D468" s="321">
        <v>1</v>
      </c>
      <c r="E468" s="45"/>
      <c r="F468" s="321">
        <v>0.98819999999999997</v>
      </c>
      <c r="G468" s="321"/>
      <c r="H468" s="321">
        <v>1.18E-2</v>
      </c>
      <c r="I468" s="321"/>
      <c r="J468" s="45">
        <v>0</v>
      </c>
      <c r="K468" s="321">
        <v>0</v>
      </c>
      <c r="L468" s="321">
        <v>0</v>
      </c>
      <c r="M468" s="321"/>
      <c r="N468" s="321"/>
      <c r="O468" s="321"/>
      <c r="P468" s="321"/>
      <c r="Q468" s="321"/>
    </row>
    <row r="469" spans="1:17" x14ac:dyDescent="0.2">
      <c r="A469" s="312">
        <v>40</v>
      </c>
      <c r="B469" s="423" t="s">
        <v>543</v>
      </c>
      <c r="C469" s="424" t="s">
        <v>544</v>
      </c>
      <c r="D469" s="321">
        <v>1</v>
      </c>
      <c r="E469" s="45"/>
      <c r="F469" s="321">
        <v>0.93879000000000001</v>
      </c>
      <c r="G469" s="321"/>
      <c r="H469" s="321">
        <v>4.9299999999999997E-2</v>
      </c>
      <c r="I469" s="321"/>
      <c r="J469" s="45">
        <v>1.191E-2</v>
      </c>
      <c r="K469" s="321">
        <v>6.2100000000000002E-3</v>
      </c>
      <c r="L469" s="321">
        <v>5.7000000000000002E-3</v>
      </c>
      <c r="M469" s="321"/>
      <c r="N469" s="321"/>
      <c r="O469" s="321"/>
      <c r="P469" s="321"/>
      <c r="Q469" s="321"/>
    </row>
    <row r="470" spans="1:17" x14ac:dyDescent="0.2">
      <c r="A470" s="45"/>
      <c r="B470" s="45"/>
      <c r="C470" s="311"/>
      <c r="D470" s="45"/>
      <c r="E470" s="45"/>
      <c r="F470" s="45"/>
      <c r="G470" s="45"/>
      <c r="H470" s="45"/>
      <c r="I470" s="45"/>
      <c r="J470" s="45"/>
      <c r="K470" s="45"/>
      <c r="L470" s="45"/>
      <c r="M470" s="45"/>
      <c r="N470" s="45"/>
      <c r="O470" s="45"/>
      <c r="P470" s="45"/>
      <c r="Q470" s="45"/>
    </row>
    <row r="471" spans="1:17" x14ac:dyDescent="0.2">
      <c r="A471" s="45"/>
      <c r="B471" s="431" t="s">
        <v>868</v>
      </c>
      <c r="C471" s="45"/>
      <c r="D471" s="45"/>
      <c r="E471" s="45"/>
      <c r="F471" s="45"/>
      <c r="G471" s="45"/>
      <c r="H471" s="45"/>
      <c r="I471" s="45"/>
      <c r="J471" s="45"/>
      <c r="K471" s="45"/>
      <c r="L471" s="45"/>
      <c r="M471" s="45"/>
      <c r="N471" s="45"/>
      <c r="O471" s="45"/>
      <c r="P471" s="45"/>
      <c r="Q471" s="45"/>
    </row>
    <row r="472" spans="1:17" x14ac:dyDescent="0.2">
      <c r="A472" s="45"/>
      <c r="B472" s="430" t="s">
        <v>1267</v>
      </c>
      <c r="C472" s="45"/>
      <c r="D472" s="45"/>
      <c r="E472" s="45"/>
      <c r="F472" s="45"/>
      <c r="G472" s="45"/>
      <c r="H472" s="45"/>
      <c r="I472" s="45"/>
      <c r="J472" s="45"/>
      <c r="K472" s="45"/>
      <c r="L472" s="45"/>
      <c r="M472" s="45"/>
      <c r="N472" s="45"/>
      <c r="O472" s="45"/>
      <c r="P472" s="45"/>
      <c r="Q472" s="45"/>
    </row>
    <row r="473" spans="1:17" x14ac:dyDescent="0.2">
      <c r="A473" s="312">
        <v>1</v>
      </c>
      <c r="B473" s="423" t="s">
        <v>545</v>
      </c>
      <c r="C473" s="424" t="s">
        <v>546</v>
      </c>
      <c r="D473" s="321">
        <v>1</v>
      </c>
      <c r="E473" s="45"/>
      <c r="F473" s="321">
        <v>0.94098000000000004</v>
      </c>
      <c r="G473" s="321"/>
      <c r="H473" s="321">
        <v>4.7579999999999997E-2</v>
      </c>
      <c r="I473" s="321"/>
      <c r="J473" s="45">
        <v>1.1440000000000001E-2</v>
      </c>
      <c r="K473" s="321">
        <v>5.9699999999999996E-3</v>
      </c>
      <c r="L473" s="321">
        <v>5.4799999999999996E-3</v>
      </c>
      <c r="M473" s="321"/>
      <c r="N473" s="321"/>
      <c r="O473" s="321"/>
      <c r="P473" s="321"/>
      <c r="Q473" s="321"/>
    </row>
    <row r="474" spans="1:17" x14ac:dyDescent="0.2">
      <c r="A474" s="312">
        <v>2</v>
      </c>
      <c r="B474" s="423" t="s">
        <v>547</v>
      </c>
      <c r="C474" s="424" t="s">
        <v>548</v>
      </c>
      <c r="D474" s="321">
        <v>1</v>
      </c>
      <c r="E474" s="45"/>
      <c r="F474" s="321">
        <v>0.99175000000000002</v>
      </c>
      <c r="G474" s="321"/>
      <c r="H474" s="321">
        <v>8.2500000000000004E-3</v>
      </c>
      <c r="I474" s="321"/>
      <c r="J474" s="45">
        <v>0</v>
      </c>
      <c r="K474" s="321">
        <v>0</v>
      </c>
      <c r="L474" s="321">
        <v>0</v>
      </c>
      <c r="M474" s="321"/>
      <c r="N474" s="321"/>
      <c r="O474" s="321"/>
      <c r="P474" s="321"/>
      <c r="Q474" s="321"/>
    </row>
    <row r="475" spans="1:17" x14ac:dyDescent="0.2">
      <c r="A475" s="312">
        <v>3</v>
      </c>
      <c r="B475" s="423" t="s">
        <v>938</v>
      </c>
      <c r="C475" s="424" t="s">
        <v>939</v>
      </c>
      <c r="D475" s="321">
        <v>1</v>
      </c>
      <c r="E475" s="45"/>
      <c r="F475" s="321">
        <v>0.99839</v>
      </c>
      <c r="G475" s="321"/>
      <c r="H475" s="321">
        <v>0</v>
      </c>
      <c r="I475" s="321"/>
      <c r="J475" s="45">
        <v>1.6100000000000001E-3</v>
      </c>
      <c r="K475" s="321">
        <v>1.6000000000000001E-3</v>
      </c>
      <c r="L475" s="321">
        <v>1.0000000000000001E-5</v>
      </c>
      <c r="M475" s="321"/>
      <c r="N475" s="321"/>
      <c r="O475" s="321"/>
      <c r="P475" s="321"/>
      <c r="Q475" s="321"/>
    </row>
    <row r="476" spans="1:17" x14ac:dyDescent="0.2">
      <c r="A476" s="312">
        <v>4</v>
      </c>
      <c r="B476" s="423" t="s">
        <v>940</v>
      </c>
      <c r="C476" s="424" t="s">
        <v>941</v>
      </c>
      <c r="D476" s="321">
        <v>1</v>
      </c>
      <c r="E476" s="45"/>
      <c r="F476" s="321">
        <v>1</v>
      </c>
      <c r="G476" s="321"/>
      <c r="H476" s="321">
        <v>0</v>
      </c>
      <c r="I476" s="321"/>
      <c r="J476" s="45">
        <v>0</v>
      </c>
      <c r="K476" s="321">
        <v>0</v>
      </c>
      <c r="L476" s="321">
        <v>0</v>
      </c>
      <c r="M476" s="321"/>
      <c r="N476" s="321"/>
      <c r="O476" s="321"/>
      <c r="P476" s="321"/>
      <c r="Q476" s="321"/>
    </row>
    <row r="477" spans="1:17" x14ac:dyDescent="0.2">
      <c r="A477" s="312">
        <v>5</v>
      </c>
      <c r="B477" s="423" t="s">
        <v>942</v>
      </c>
      <c r="C477" s="424" t="s">
        <v>943</v>
      </c>
      <c r="D477" s="321">
        <v>1</v>
      </c>
      <c r="E477" s="45"/>
      <c r="F477" s="321">
        <v>0</v>
      </c>
      <c r="G477" s="321"/>
      <c r="H477" s="321">
        <v>1</v>
      </c>
      <c r="I477" s="321"/>
      <c r="J477" s="45">
        <v>0</v>
      </c>
      <c r="K477" s="321">
        <v>0</v>
      </c>
      <c r="L477" s="321">
        <v>0</v>
      </c>
      <c r="M477" s="321"/>
      <c r="N477" s="321"/>
      <c r="O477" s="321"/>
      <c r="P477" s="321"/>
      <c r="Q477" s="321"/>
    </row>
    <row r="478" spans="1:17" x14ac:dyDescent="0.2">
      <c r="A478" s="312">
        <v>6</v>
      </c>
      <c r="B478" s="423" t="s">
        <v>944</v>
      </c>
      <c r="C478" s="424" t="s">
        <v>945</v>
      </c>
      <c r="D478" s="321">
        <v>0</v>
      </c>
      <c r="E478" s="45"/>
      <c r="F478" s="321">
        <v>0</v>
      </c>
      <c r="G478" s="321"/>
      <c r="H478" s="321">
        <v>0</v>
      </c>
      <c r="I478" s="321"/>
      <c r="J478" s="45">
        <v>0</v>
      </c>
      <c r="K478" s="321">
        <v>0</v>
      </c>
      <c r="L478" s="321">
        <v>0</v>
      </c>
      <c r="M478" s="321"/>
      <c r="N478" s="321"/>
      <c r="O478" s="321"/>
      <c r="P478" s="321"/>
      <c r="Q478" s="321"/>
    </row>
    <row r="479" spans="1:17" x14ac:dyDescent="0.2">
      <c r="A479" s="312">
        <v>7</v>
      </c>
      <c r="B479" s="423" t="s">
        <v>946</v>
      </c>
      <c r="C479" s="424" t="s">
        <v>53</v>
      </c>
      <c r="D479" s="321">
        <v>1</v>
      </c>
      <c r="E479" s="45"/>
      <c r="F479" s="321">
        <v>0</v>
      </c>
      <c r="G479" s="321"/>
      <c r="H479" s="321">
        <v>0</v>
      </c>
      <c r="I479" s="321"/>
      <c r="J479" s="45">
        <v>1</v>
      </c>
      <c r="K479" s="321">
        <v>0.52210999999999996</v>
      </c>
      <c r="L479" s="321">
        <v>0.47788999999999998</v>
      </c>
      <c r="M479" s="321"/>
      <c r="N479" s="321"/>
      <c r="O479" s="321"/>
      <c r="P479" s="321"/>
      <c r="Q479" s="321"/>
    </row>
    <row r="480" spans="1:17" x14ac:dyDescent="0.2">
      <c r="A480" s="312">
        <v>8</v>
      </c>
      <c r="B480" s="426" t="s">
        <v>2138</v>
      </c>
      <c r="C480" s="424" t="s">
        <v>2139</v>
      </c>
      <c r="D480" s="321">
        <v>1</v>
      </c>
      <c r="E480" s="45"/>
      <c r="F480" s="321">
        <v>0.98607999999999996</v>
      </c>
      <c r="G480" s="321"/>
      <c r="H480" s="321">
        <v>0</v>
      </c>
      <c r="I480" s="321"/>
      <c r="J480" s="45">
        <v>1.392E-2</v>
      </c>
      <c r="K480" s="321">
        <v>7.28E-3</v>
      </c>
      <c r="L480" s="321">
        <v>6.6400000000000001E-3</v>
      </c>
      <c r="M480" s="321"/>
      <c r="N480" s="321"/>
      <c r="O480" s="321"/>
      <c r="P480" s="321"/>
      <c r="Q480" s="321"/>
    </row>
    <row r="481" spans="1:17" x14ac:dyDescent="0.2">
      <c r="A481" s="312">
        <v>9</v>
      </c>
      <c r="B481" s="423" t="s">
        <v>2140</v>
      </c>
      <c r="C481" s="424" t="s">
        <v>2141</v>
      </c>
      <c r="D481" s="321">
        <v>1</v>
      </c>
      <c r="E481" s="45"/>
      <c r="F481" s="321">
        <v>0.95186999999999999</v>
      </c>
      <c r="G481" s="321"/>
      <c r="H481" s="321">
        <v>4.8129999999999999E-2</v>
      </c>
      <c r="I481" s="321"/>
      <c r="J481" s="45">
        <v>0</v>
      </c>
      <c r="K481" s="321">
        <v>0</v>
      </c>
      <c r="L481" s="321">
        <v>0</v>
      </c>
      <c r="M481" s="321"/>
      <c r="N481" s="321"/>
      <c r="O481" s="321"/>
      <c r="P481" s="321"/>
      <c r="Q481" s="321"/>
    </row>
    <row r="482" spans="1:17" x14ac:dyDescent="0.2">
      <c r="A482" s="312">
        <v>10</v>
      </c>
      <c r="B482" s="423" t="s">
        <v>2142</v>
      </c>
      <c r="C482" s="424" t="s">
        <v>2143</v>
      </c>
      <c r="D482" s="321">
        <v>1</v>
      </c>
      <c r="E482" s="45"/>
      <c r="F482" s="321">
        <v>0.95638999999999996</v>
      </c>
      <c r="G482" s="321"/>
      <c r="H482" s="321">
        <v>4.3610000000000003E-2</v>
      </c>
      <c r="I482" s="321"/>
      <c r="J482" s="45">
        <v>0</v>
      </c>
      <c r="K482" s="321">
        <v>0</v>
      </c>
      <c r="L482" s="321">
        <v>0</v>
      </c>
      <c r="M482" s="321"/>
      <c r="N482" s="321"/>
      <c r="O482" s="321"/>
      <c r="P482" s="321"/>
      <c r="Q482" s="321"/>
    </row>
    <row r="483" spans="1:17" x14ac:dyDescent="0.2">
      <c r="A483" s="312">
        <v>11</v>
      </c>
      <c r="B483" s="45"/>
      <c r="C483" s="45"/>
      <c r="D483" s="45"/>
      <c r="E483" s="45"/>
      <c r="F483" s="45"/>
      <c r="G483" s="45"/>
      <c r="H483" s="45"/>
      <c r="I483" s="45"/>
      <c r="J483" s="45"/>
      <c r="K483" s="45"/>
      <c r="L483" s="45"/>
      <c r="M483" s="45"/>
      <c r="N483" s="45"/>
      <c r="O483" s="45"/>
      <c r="P483" s="45"/>
      <c r="Q483" s="45"/>
    </row>
    <row r="484" spans="1:17" x14ac:dyDescent="0.2">
      <c r="A484" s="312">
        <v>12</v>
      </c>
      <c r="B484" s="45"/>
      <c r="C484" s="45"/>
      <c r="D484" s="45"/>
      <c r="E484" s="45"/>
      <c r="F484" s="45"/>
      <c r="G484" s="45"/>
      <c r="H484" s="45"/>
      <c r="I484" s="45"/>
      <c r="J484" s="45"/>
      <c r="K484" s="45"/>
      <c r="L484" s="45"/>
      <c r="M484" s="45"/>
      <c r="N484" s="45"/>
      <c r="O484" s="45"/>
      <c r="P484" s="45"/>
      <c r="Q484" s="45"/>
    </row>
    <row r="485" spans="1:17" x14ac:dyDescent="0.2">
      <c r="A485" s="312">
        <v>13</v>
      </c>
      <c r="B485" s="45"/>
      <c r="C485" s="45"/>
      <c r="D485" s="45"/>
      <c r="E485" s="45"/>
      <c r="F485" s="45"/>
      <c r="G485" s="45"/>
      <c r="H485" s="45"/>
      <c r="I485" s="45"/>
      <c r="J485" s="45"/>
      <c r="K485" s="45"/>
      <c r="L485" s="45"/>
      <c r="M485" s="45"/>
      <c r="N485" s="45"/>
      <c r="O485" s="45"/>
      <c r="P485" s="45"/>
      <c r="Q485" s="45"/>
    </row>
    <row r="486" spans="1:17" x14ac:dyDescent="0.2">
      <c r="A486" s="312">
        <v>14</v>
      </c>
      <c r="B486" s="45"/>
      <c r="C486" s="45"/>
      <c r="D486" s="45"/>
      <c r="E486" s="45"/>
      <c r="F486" s="45"/>
      <c r="G486" s="45"/>
      <c r="H486" s="45"/>
      <c r="I486" s="45"/>
      <c r="J486" s="45"/>
      <c r="K486" s="45"/>
      <c r="L486" s="45"/>
      <c r="M486" s="45"/>
      <c r="N486" s="45"/>
      <c r="O486" s="45"/>
      <c r="P486" s="45"/>
      <c r="Q486" s="45"/>
    </row>
    <row r="487" spans="1:17" x14ac:dyDescent="0.2">
      <c r="A487" s="312">
        <v>15</v>
      </c>
      <c r="B487" s="45"/>
      <c r="C487" s="45"/>
      <c r="D487" s="45"/>
      <c r="E487" s="45"/>
      <c r="F487" s="45"/>
      <c r="G487" s="45"/>
      <c r="H487" s="45"/>
      <c r="I487" s="45"/>
      <c r="J487" s="45"/>
      <c r="K487" s="45"/>
      <c r="L487" s="45"/>
      <c r="M487" s="45"/>
      <c r="N487" s="45"/>
      <c r="O487" s="45"/>
      <c r="P487" s="45"/>
      <c r="Q487" s="45"/>
    </row>
    <row r="488" spans="1:17" x14ac:dyDescent="0.2">
      <c r="A488" s="312">
        <v>16</v>
      </c>
      <c r="B488" s="45"/>
      <c r="C488" s="45"/>
      <c r="D488" s="45"/>
      <c r="E488" s="45"/>
      <c r="F488" s="45"/>
      <c r="G488" s="45"/>
      <c r="H488" s="45"/>
      <c r="I488" s="45"/>
      <c r="J488" s="45"/>
      <c r="K488" s="45"/>
      <c r="L488" s="45"/>
      <c r="M488" s="45"/>
      <c r="N488" s="45"/>
      <c r="O488" s="45"/>
      <c r="P488" s="45"/>
      <c r="Q488" s="45"/>
    </row>
    <row r="489" spans="1:17" x14ac:dyDescent="0.2">
      <c r="A489" s="312">
        <v>17</v>
      </c>
      <c r="B489" s="45"/>
      <c r="C489" s="45"/>
      <c r="D489" s="45"/>
      <c r="E489" s="45"/>
      <c r="F489" s="45"/>
      <c r="G489" s="45"/>
      <c r="H489" s="45"/>
      <c r="I489" s="45"/>
      <c r="J489" s="45"/>
      <c r="K489" s="45"/>
      <c r="L489" s="45"/>
      <c r="M489" s="45"/>
      <c r="N489" s="45"/>
      <c r="O489" s="45"/>
      <c r="P489" s="45"/>
      <c r="Q489" s="45"/>
    </row>
    <row r="490" spans="1:17" x14ac:dyDescent="0.2">
      <c r="A490" s="312">
        <v>18</v>
      </c>
      <c r="B490" s="45"/>
      <c r="C490" s="311"/>
      <c r="D490" s="45"/>
      <c r="E490" s="45"/>
      <c r="F490" s="45"/>
      <c r="G490" s="45"/>
      <c r="H490" s="45"/>
      <c r="I490" s="45"/>
      <c r="J490" s="45"/>
      <c r="K490" s="45"/>
      <c r="L490" s="45"/>
      <c r="M490" s="45"/>
      <c r="N490" s="45"/>
      <c r="O490" s="45"/>
      <c r="P490" s="45"/>
      <c r="Q490" s="45"/>
    </row>
    <row r="491" spans="1:17" x14ac:dyDescent="0.2">
      <c r="A491" s="312">
        <v>19</v>
      </c>
      <c r="B491" s="45"/>
      <c r="C491" s="311"/>
      <c r="D491" s="45"/>
      <c r="E491" s="45"/>
      <c r="F491" s="45"/>
      <c r="G491" s="45"/>
      <c r="H491" s="45"/>
      <c r="I491" s="45"/>
      <c r="J491" s="45"/>
      <c r="K491" s="45"/>
      <c r="L491" s="45"/>
      <c r="M491" s="45"/>
      <c r="N491" s="45"/>
      <c r="O491" s="45"/>
      <c r="P491" s="45"/>
      <c r="Q491" s="45"/>
    </row>
    <row r="492" spans="1:17" x14ac:dyDescent="0.2">
      <c r="A492" s="312">
        <v>20</v>
      </c>
      <c r="B492" s="45"/>
      <c r="C492" s="311"/>
      <c r="D492" s="45"/>
      <c r="E492" s="45"/>
      <c r="F492" s="45"/>
      <c r="G492" s="45"/>
      <c r="H492" s="45"/>
      <c r="I492" s="45"/>
      <c r="J492" s="45"/>
      <c r="K492" s="45"/>
      <c r="L492" s="45"/>
      <c r="M492" s="45"/>
      <c r="N492" s="45"/>
      <c r="O492" s="45"/>
      <c r="P492" s="45"/>
      <c r="Q492" s="45"/>
    </row>
    <row r="493" spans="1:17" x14ac:dyDescent="0.2">
      <c r="A493" s="312">
        <v>21</v>
      </c>
      <c r="B493" s="45"/>
      <c r="C493" s="311"/>
      <c r="D493" s="45"/>
      <c r="E493" s="45"/>
      <c r="F493" s="45"/>
      <c r="G493" s="45"/>
      <c r="H493" s="45"/>
      <c r="I493" s="45"/>
      <c r="J493" s="45"/>
      <c r="K493" s="45"/>
      <c r="L493" s="45"/>
      <c r="M493" s="45"/>
      <c r="N493" s="45"/>
      <c r="O493" s="45"/>
      <c r="P493" s="45"/>
      <c r="Q493" s="45"/>
    </row>
    <row r="494" spans="1:17" x14ac:dyDescent="0.2">
      <c r="A494" s="312">
        <v>22</v>
      </c>
      <c r="B494" s="45"/>
      <c r="C494" s="311"/>
      <c r="D494" s="45"/>
      <c r="E494" s="45"/>
      <c r="F494" s="45"/>
      <c r="G494" s="45"/>
      <c r="H494" s="45"/>
      <c r="I494" s="45"/>
      <c r="J494" s="45"/>
      <c r="K494" s="45"/>
      <c r="L494" s="45"/>
      <c r="M494" s="45"/>
      <c r="N494" s="45"/>
      <c r="O494" s="45"/>
      <c r="P494" s="45"/>
      <c r="Q494" s="45"/>
    </row>
    <row r="495" spans="1:17" x14ac:dyDescent="0.2">
      <c r="A495" s="312">
        <v>23</v>
      </c>
      <c r="B495" s="45"/>
      <c r="C495" s="311"/>
      <c r="D495" s="45"/>
      <c r="E495" s="45"/>
      <c r="F495" s="45"/>
      <c r="G495" s="45"/>
      <c r="H495" s="45"/>
      <c r="I495" s="45"/>
      <c r="J495" s="45"/>
      <c r="K495" s="45"/>
      <c r="L495" s="45"/>
      <c r="M495" s="45"/>
      <c r="N495" s="45"/>
      <c r="O495" s="45"/>
      <c r="P495" s="45"/>
      <c r="Q495" s="45"/>
    </row>
    <row r="496" spans="1:17" x14ac:dyDescent="0.2">
      <c r="A496" s="312">
        <v>24</v>
      </c>
      <c r="B496" s="45"/>
      <c r="C496" s="311"/>
      <c r="D496" s="45"/>
      <c r="E496" s="45"/>
      <c r="F496" s="45"/>
      <c r="G496" s="45"/>
      <c r="H496" s="45"/>
      <c r="I496" s="45"/>
      <c r="J496" s="45"/>
      <c r="K496" s="45"/>
      <c r="L496" s="45"/>
      <c r="M496" s="45"/>
      <c r="N496" s="45"/>
      <c r="O496" s="45"/>
      <c r="P496" s="45"/>
      <c r="Q496" s="45"/>
    </row>
    <row r="497" spans="1:17" x14ac:dyDescent="0.2">
      <c r="A497" s="312">
        <v>25</v>
      </c>
      <c r="B497" s="45"/>
      <c r="C497" s="311"/>
      <c r="D497" s="45"/>
      <c r="E497" s="45"/>
      <c r="F497" s="45"/>
      <c r="G497" s="45"/>
      <c r="H497" s="45"/>
      <c r="I497" s="45"/>
      <c r="J497" s="45"/>
      <c r="K497" s="45"/>
      <c r="L497" s="45"/>
      <c r="M497" s="45"/>
      <c r="N497" s="45"/>
      <c r="O497" s="45"/>
      <c r="P497" s="45"/>
      <c r="Q497" s="45"/>
    </row>
    <row r="498" spans="1:17" x14ac:dyDescent="0.2">
      <c r="A498" s="312">
        <v>26</v>
      </c>
      <c r="B498" s="45"/>
      <c r="C498" s="311"/>
      <c r="D498" s="45"/>
      <c r="E498" s="45"/>
      <c r="F498" s="45"/>
      <c r="G498" s="45"/>
      <c r="H498" s="45"/>
      <c r="I498" s="45"/>
      <c r="J498" s="45"/>
      <c r="K498" s="45"/>
      <c r="L498" s="45"/>
      <c r="M498" s="45"/>
      <c r="N498" s="45"/>
      <c r="O498" s="45"/>
      <c r="P498" s="45"/>
      <c r="Q498" s="45"/>
    </row>
    <row r="499" spans="1:17" x14ac:dyDescent="0.2">
      <c r="A499" s="312">
        <v>27</v>
      </c>
      <c r="B499" s="45"/>
      <c r="C499" s="311"/>
      <c r="D499" s="45"/>
      <c r="E499" s="45"/>
      <c r="F499" s="45"/>
      <c r="G499" s="45"/>
      <c r="H499" s="45"/>
      <c r="I499" s="45"/>
      <c r="J499" s="45"/>
      <c r="K499" s="45"/>
      <c r="L499" s="45"/>
      <c r="M499" s="45"/>
      <c r="N499" s="45"/>
      <c r="O499" s="45"/>
      <c r="P499" s="45"/>
      <c r="Q499" s="45"/>
    </row>
    <row r="500" spans="1:17" x14ac:dyDescent="0.2">
      <c r="A500" s="312">
        <v>28</v>
      </c>
      <c r="B500" s="45"/>
      <c r="C500" s="311"/>
      <c r="D500" s="45"/>
      <c r="E500" s="45"/>
      <c r="F500" s="45"/>
      <c r="G500" s="45"/>
      <c r="H500" s="45"/>
      <c r="I500" s="45"/>
      <c r="J500" s="45"/>
      <c r="K500" s="45"/>
      <c r="L500" s="45"/>
      <c r="M500" s="45"/>
      <c r="N500" s="45"/>
      <c r="O500" s="45"/>
      <c r="P500" s="45"/>
      <c r="Q500" s="45"/>
    </row>
    <row r="501" spans="1:17" x14ac:dyDescent="0.2">
      <c r="A501" s="312">
        <v>29</v>
      </c>
      <c r="B501" s="45"/>
      <c r="C501" s="311"/>
      <c r="D501" s="45"/>
      <c r="E501" s="45"/>
      <c r="F501" s="45"/>
      <c r="G501" s="45"/>
      <c r="H501" s="45"/>
      <c r="I501" s="45"/>
      <c r="J501" s="45"/>
      <c r="K501" s="45"/>
      <c r="L501" s="45"/>
      <c r="M501" s="45"/>
      <c r="N501" s="45"/>
      <c r="O501" s="45"/>
      <c r="P501" s="45"/>
      <c r="Q501" s="45"/>
    </row>
    <row r="502" spans="1:17" x14ac:dyDescent="0.2">
      <c r="A502" s="312">
        <v>30</v>
      </c>
      <c r="B502" s="45"/>
      <c r="C502" s="311"/>
      <c r="D502" s="45"/>
      <c r="E502" s="45"/>
      <c r="F502" s="45"/>
      <c r="G502" s="45"/>
      <c r="H502" s="45"/>
      <c r="I502" s="45"/>
      <c r="J502" s="45"/>
      <c r="K502" s="45"/>
      <c r="L502" s="45"/>
      <c r="M502" s="45"/>
      <c r="N502" s="45"/>
      <c r="O502" s="45"/>
      <c r="P502" s="45"/>
      <c r="Q502" s="45"/>
    </row>
    <row r="503" spans="1:17" x14ac:dyDescent="0.2">
      <c r="A503" s="312">
        <v>31</v>
      </c>
      <c r="B503" s="45"/>
      <c r="C503" s="311"/>
      <c r="D503" s="45"/>
      <c r="E503" s="45"/>
      <c r="F503" s="45"/>
      <c r="G503" s="45"/>
      <c r="H503" s="45"/>
      <c r="I503" s="45"/>
      <c r="J503" s="45"/>
      <c r="K503" s="45"/>
      <c r="L503" s="45"/>
      <c r="M503" s="45"/>
      <c r="N503" s="45"/>
      <c r="O503" s="45"/>
      <c r="P503" s="45"/>
      <c r="Q503" s="45"/>
    </row>
    <row r="504" spans="1:17" x14ac:dyDescent="0.2">
      <c r="A504" s="312">
        <v>32</v>
      </c>
      <c r="B504" s="45"/>
      <c r="C504" s="311"/>
      <c r="D504" s="45"/>
      <c r="E504" s="45"/>
      <c r="F504" s="45"/>
      <c r="G504" s="45"/>
      <c r="H504" s="45"/>
      <c r="I504" s="45"/>
      <c r="J504" s="45"/>
      <c r="K504" s="45"/>
      <c r="L504" s="45"/>
      <c r="M504" s="45"/>
      <c r="N504" s="45"/>
      <c r="O504" s="45"/>
      <c r="P504" s="45"/>
      <c r="Q504" s="45"/>
    </row>
    <row r="505" spans="1:17" x14ac:dyDescent="0.2">
      <c r="A505" s="312">
        <v>33</v>
      </c>
      <c r="B505" s="45"/>
      <c r="C505" s="311"/>
      <c r="D505" s="45"/>
      <c r="E505" s="45"/>
      <c r="F505" s="45"/>
      <c r="G505" s="45"/>
      <c r="H505" s="45"/>
      <c r="I505" s="45"/>
      <c r="J505" s="45"/>
      <c r="K505" s="45"/>
      <c r="L505" s="45"/>
      <c r="M505" s="45"/>
      <c r="N505" s="45"/>
      <c r="O505" s="45"/>
      <c r="P505" s="45"/>
      <c r="Q505" s="45"/>
    </row>
    <row r="506" spans="1:17" x14ac:dyDescent="0.2">
      <c r="A506" s="312">
        <v>34</v>
      </c>
      <c r="B506" s="45"/>
      <c r="C506" s="311"/>
      <c r="D506" s="45"/>
      <c r="E506" s="45"/>
      <c r="F506" s="45"/>
      <c r="G506" s="45"/>
      <c r="H506" s="45"/>
      <c r="I506" s="45"/>
      <c r="J506" s="45"/>
      <c r="K506" s="45"/>
      <c r="L506" s="45"/>
      <c r="M506" s="45"/>
      <c r="N506" s="45"/>
      <c r="O506" s="45"/>
      <c r="P506" s="45"/>
      <c r="Q506" s="45"/>
    </row>
    <row r="507" spans="1:17" x14ac:dyDescent="0.2">
      <c r="A507" s="312">
        <v>35</v>
      </c>
      <c r="B507" s="45"/>
      <c r="C507" s="311"/>
      <c r="D507" s="45"/>
      <c r="E507" s="45"/>
      <c r="F507" s="45"/>
      <c r="G507" s="45"/>
      <c r="H507" s="45"/>
      <c r="I507" s="45"/>
      <c r="J507" s="45"/>
      <c r="K507" s="45"/>
      <c r="L507" s="45"/>
      <c r="M507" s="45"/>
      <c r="N507" s="45"/>
      <c r="O507" s="45"/>
      <c r="P507" s="45"/>
      <c r="Q507" s="45"/>
    </row>
    <row r="508" spans="1:17" x14ac:dyDescent="0.2">
      <c r="A508" s="312">
        <v>36</v>
      </c>
      <c r="B508" s="45"/>
      <c r="C508" s="311"/>
      <c r="D508" s="45"/>
      <c r="E508" s="45"/>
      <c r="F508" s="45"/>
      <c r="G508" s="45"/>
      <c r="H508" s="45"/>
      <c r="I508" s="45"/>
      <c r="J508" s="45"/>
      <c r="K508" s="45"/>
      <c r="L508" s="45"/>
      <c r="M508" s="45"/>
      <c r="N508" s="45"/>
      <c r="O508" s="45"/>
      <c r="P508" s="45"/>
      <c r="Q508" s="45"/>
    </row>
    <row r="509" spans="1:17" x14ac:dyDescent="0.2">
      <c r="A509" s="312">
        <v>37</v>
      </c>
      <c r="B509" s="45"/>
      <c r="C509" s="311"/>
      <c r="D509" s="45"/>
      <c r="E509" s="45"/>
      <c r="F509" s="45"/>
      <c r="G509" s="45"/>
      <c r="H509" s="45"/>
      <c r="I509" s="45"/>
      <c r="J509" s="45"/>
      <c r="K509" s="45"/>
      <c r="L509" s="45"/>
      <c r="M509" s="45"/>
      <c r="N509" s="45"/>
      <c r="O509" s="45"/>
      <c r="P509" s="45"/>
      <c r="Q509" s="45"/>
    </row>
    <row r="510" spans="1:17" x14ac:dyDescent="0.2">
      <c r="A510" s="312">
        <v>38</v>
      </c>
      <c r="B510" s="45"/>
      <c r="C510" s="311"/>
      <c r="D510" s="45"/>
      <c r="E510" s="45"/>
      <c r="F510" s="45"/>
      <c r="G510" s="45"/>
      <c r="H510" s="45"/>
      <c r="I510" s="45"/>
      <c r="J510" s="45"/>
      <c r="K510" s="45"/>
      <c r="L510" s="45"/>
      <c r="M510" s="45"/>
      <c r="N510" s="45"/>
      <c r="O510" s="45"/>
      <c r="P510" s="45"/>
      <c r="Q510" s="45"/>
    </row>
    <row r="511" spans="1:17" x14ac:dyDescent="0.2">
      <c r="A511" s="312">
        <v>39</v>
      </c>
      <c r="B511" s="45"/>
      <c r="C511" s="311"/>
      <c r="D511" s="45"/>
      <c r="E511" s="45"/>
      <c r="F511" s="45"/>
      <c r="G511" s="45"/>
      <c r="H511" s="45"/>
      <c r="I511" s="45"/>
      <c r="J511" s="45"/>
      <c r="K511" s="45"/>
      <c r="L511" s="45"/>
      <c r="M511" s="45"/>
      <c r="N511" s="45"/>
      <c r="O511" s="45"/>
      <c r="P511" s="45"/>
      <c r="Q511" s="45"/>
    </row>
    <row r="512" spans="1:17" x14ac:dyDescent="0.2">
      <c r="A512" s="312">
        <v>40</v>
      </c>
      <c r="B512" s="45"/>
      <c r="C512" s="311"/>
      <c r="D512" s="45"/>
      <c r="E512" s="45"/>
      <c r="F512" s="45"/>
      <c r="G512" s="45"/>
      <c r="H512" s="45"/>
      <c r="I512" s="45"/>
      <c r="J512" s="45"/>
      <c r="K512" s="45"/>
      <c r="L512" s="45"/>
      <c r="M512" s="45"/>
      <c r="N512" s="45"/>
      <c r="O512" s="45"/>
      <c r="P512" s="45"/>
      <c r="Q512" s="45"/>
    </row>
    <row r="513" spans="1:17" x14ac:dyDescent="0.2">
      <c r="A513" s="45"/>
      <c r="B513" s="45"/>
      <c r="C513" s="45"/>
      <c r="D513" s="45"/>
      <c r="E513" s="45"/>
      <c r="F513" s="45"/>
      <c r="G513" s="45"/>
      <c r="H513" s="45"/>
      <c r="I513" s="45"/>
      <c r="J513" s="45"/>
      <c r="K513" s="45"/>
      <c r="L513" s="45"/>
      <c r="M513" s="45"/>
      <c r="N513" s="45"/>
      <c r="O513" s="45"/>
      <c r="P513" s="45"/>
      <c r="Q513" s="45"/>
    </row>
    <row r="514" spans="1:17" x14ac:dyDescent="0.2">
      <c r="A514" s="45"/>
      <c r="B514" s="425" t="s">
        <v>54</v>
      </c>
      <c r="C514" s="311"/>
      <c r="D514" s="45"/>
      <c r="E514" s="45"/>
      <c r="F514" s="45"/>
      <c r="G514" s="45"/>
      <c r="H514" s="45"/>
      <c r="I514" s="45"/>
      <c r="J514" s="45"/>
      <c r="K514" s="45"/>
      <c r="L514" s="45"/>
      <c r="M514" s="45"/>
      <c r="N514" s="45"/>
      <c r="O514" s="45"/>
      <c r="P514" s="45"/>
      <c r="Q514" s="45"/>
    </row>
    <row r="515" spans="1:17" x14ac:dyDescent="0.2">
      <c r="A515" s="45"/>
      <c r="B515" s="430" t="s">
        <v>1267</v>
      </c>
      <c r="C515" s="311"/>
      <c r="D515" s="45"/>
      <c r="E515" s="45"/>
      <c r="F515" s="45"/>
      <c r="G515" s="45"/>
      <c r="H515" s="45"/>
      <c r="I515" s="45"/>
      <c r="J515" s="45"/>
      <c r="K515" s="45"/>
      <c r="L515" s="45"/>
      <c r="M515" s="45"/>
      <c r="N515" s="45"/>
      <c r="O515" s="45"/>
      <c r="P515" s="45"/>
      <c r="Q515" s="45"/>
    </row>
    <row r="516" spans="1:17" x14ac:dyDescent="0.2">
      <c r="A516" s="310">
        <v>1</v>
      </c>
      <c r="B516" s="315" t="s">
        <v>1943</v>
      </c>
      <c r="C516" s="311"/>
      <c r="D516" s="321">
        <v>1</v>
      </c>
      <c r="E516" s="45"/>
      <c r="F516" s="321">
        <v>0.93933</v>
      </c>
      <c r="G516" s="321"/>
      <c r="H516" s="321">
        <v>6.0670000000000002E-2</v>
      </c>
      <c r="I516" s="321"/>
      <c r="J516" s="45">
        <v>0</v>
      </c>
      <c r="K516" s="321">
        <v>0</v>
      </c>
      <c r="L516" s="321">
        <v>0</v>
      </c>
      <c r="M516" s="321"/>
      <c r="N516" s="321"/>
      <c r="O516" s="321"/>
      <c r="P516" s="321"/>
      <c r="Q516" s="321"/>
    </row>
    <row r="517" spans="1:17" x14ac:dyDescent="0.2">
      <c r="A517" s="310">
        <v>2</v>
      </c>
      <c r="B517" s="315" t="s">
        <v>2144</v>
      </c>
      <c r="C517" s="311"/>
      <c r="D517" s="321">
        <v>1</v>
      </c>
      <c r="E517" s="45"/>
      <c r="F517" s="321">
        <v>0.95845000000000002</v>
      </c>
      <c r="G517" s="321"/>
      <c r="H517" s="321">
        <v>4.1549999999999997E-2</v>
      </c>
      <c r="I517" s="321"/>
      <c r="J517" s="45">
        <v>0</v>
      </c>
      <c r="K517" s="321">
        <v>0</v>
      </c>
      <c r="L517" s="321">
        <v>0</v>
      </c>
      <c r="M517" s="321"/>
      <c r="N517" s="321"/>
      <c r="O517" s="321"/>
      <c r="P517" s="321"/>
      <c r="Q517" s="321"/>
    </row>
    <row r="518" spans="1:17" x14ac:dyDescent="0.2">
      <c r="A518" s="310">
        <v>3</v>
      </c>
      <c r="B518" s="315" t="s">
        <v>1944</v>
      </c>
      <c r="C518" s="311"/>
      <c r="D518" s="321">
        <v>0</v>
      </c>
      <c r="E518" s="45"/>
      <c r="F518" s="321">
        <v>0</v>
      </c>
      <c r="G518" s="321"/>
      <c r="H518" s="321">
        <v>0</v>
      </c>
      <c r="I518" s="321"/>
      <c r="J518" s="45">
        <v>0</v>
      </c>
      <c r="K518" s="321">
        <v>0</v>
      </c>
      <c r="L518" s="321">
        <v>0</v>
      </c>
      <c r="M518" s="321"/>
      <c r="N518" s="321"/>
      <c r="O518" s="321"/>
      <c r="P518" s="321"/>
      <c r="Q518" s="321"/>
    </row>
    <row r="519" spans="1:17" x14ac:dyDescent="0.2">
      <c r="A519" s="310">
        <v>4</v>
      </c>
      <c r="B519" s="315" t="s">
        <v>1945</v>
      </c>
      <c r="C519" s="311"/>
      <c r="D519" s="321">
        <v>1</v>
      </c>
      <c r="E519" s="45"/>
      <c r="F519" s="321">
        <v>0.97875999999999996</v>
      </c>
      <c r="G519" s="321"/>
      <c r="H519" s="321">
        <v>2.1239999999999998E-2</v>
      </c>
      <c r="I519" s="321"/>
      <c r="J519" s="45">
        <v>0</v>
      </c>
      <c r="K519" s="321">
        <v>0</v>
      </c>
      <c r="L519" s="321">
        <v>0</v>
      </c>
      <c r="M519" s="321"/>
      <c r="N519" s="321"/>
      <c r="O519" s="321"/>
      <c r="P519" s="321"/>
      <c r="Q519" s="321"/>
    </row>
    <row r="520" spans="1:17" x14ac:dyDescent="0.2">
      <c r="A520" s="310">
        <v>5</v>
      </c>
      <c r="B520" s="315" t="s">
        <v>1946</v>
      </c>
      <c r="C520" s="311"/>
      <c r="D520" s="321">
        <v>0</v>
      </c>
      <c r="E520" s="45"/>
      <c r="F520" s="321">
        <v>0</v>
      </c>
      <c r="G520" s="321"/>
      <c r="H520" s="321">
        <v>0</v>
      </c>
      <c r="I520" s="321"/>
      <c r="J520" s="45">
        <v>0</v>
      </c>
      <c r="K520" s="321">
        <v>0</v>
      </c>
      <c r="L520" s="321">
        <v>0</v>
      </c>
      <c r="M520" s="321"/>
      <c r="N520" s="321"/>
      <c r="O520" s="321"/>
      <c r="P520" s="321"/>
      <c r="Q520" s="321"/>
    </row>
    <row r="521" spans="1:17" x14ac:dyDescent="0.2">
      <c r="A521" s="310">
        <v>6</v>
      </c>
      <c r="B521" s="315" t="s">
        <v>1947</v>
      </c>
      <c r="C521" s="311"/>
      <c r="D521" s="321">
        <v>1</v>
      </c>
      <c r="E521" s="45"/>
      <c r="F521" s="321">
        <v>0.96816000000000002</v>
      </c>
      <c r="G521" s="321"/>
      <c r="H521" s="321">
        <v>3.184E-2</v>
      </c>
      <c r="I521" s="321"/>
      <c r="J521" s="45">
        <v>0</v>
      </c>
      <c r="K521" s="321">
        <v>0</v>
      </c>
      <c r="L521" s="321">
        <v>0</v>
      </c>
      <c r="M521" s="321"/>
      <c r="N521" s="321"/>
      <c r="O521" s="321"/>
      <c r="P521" s="321"/>
      <c r="Q521" s="321"/>
    </row>
    <row r="522" spans="1:17" x14ac:dyDescent="0.2">
      <c r="A522" s="310">
        <v>7</v>
      </c>
      <c r="B522" s="315" t="s">
        <v>1948</v>
      </c>
      <c r="C522" s="311"/>
      <c r="D522" s="321">
        <v>1</v>
      </c>
      <c r="E522" s="45"/>
      <c r="F522" s="321">
        <v>0.94852999999999998</v>
      </c>
      <c r="G522" s="321"/>
      <c r="H522" s="321">
        <v>5.1470000000000002E-2</v>
      </c>
      <c r="I522" s="321"/>
      <c r="J522" s="45">
        <v>0</v>
      </c>
      <c r="K522" s="321">
        <v>0</v>
      </c>
      <c r="L522" s="321">
        <v>0</v>
      </c>
      <c r="M522" s="321"/>
      <c r="N522" s="321"/>
      <c r="O522" s="321"/>
      <c r="P522" s="321"/>
      <c r="Q522" s="321"/>
    </row>
    <row r="523" spans="1:17" x14ac:dyDescent="0.2">
      <c r="A523" s="310">
        <v>8</v>
      </c>
      <c r="B523" s="315" t="s">
        <v>1949</v>
      </c>
      <c r="C523" s="311"/>
      <c r="D523" s="321">
        <v>0</v>
      </c>
      <c r="E523" s="45"/>
      <c r="F523" s="321">
        <v>0</v>
      </c>
      <c r="G523" s="321"/>
      <c r="H523" s="321">
        <v>0</v>
      </c>
      <c r="I523" s="321"/>
      <c r="J523" s="45">
        <v>0</v>
      </c>
      <c r="K523" s="321">
        <v>0</v>
      </c>
      <c r="L523" s="321">
        <v>0</v>
      </c>
      <c r="M523" s="321"/>
      <c r="N523" s="321"/>
      <c r="O523" s="321"/>
      <c r="P523" s="321"/>
      <c r="Q523" s="321"/>
    </row>
    <row r="524" spans="1:17" x14ac:dyDescent="0.2">
      <c r="A524" s="310">
        <v>9</v>
      </c>
      <c r="B524" s="315" t="s">
        <v>1950</v>
      </c>
      <c r="C524" s="311"/>
      <c r="D524" s="321">
        <v>1</v>
      </c>
      <c r="E524" s="45"/>
      <c r="F524" s="321">
        <v>0</v>
      </c>
      <c r="G524" s="321"/>
      <c r="H524" s="321">
        <v>0</v>
      </c>
      <c r="I524" s="321"/>
      <c r="J524" s="45">
        <v>1</v>
      </c>
      <c r="K524" s="321">
        <v>0.51036999999999999</v>
      </c>
      <c r="L524" s="321">
        <v>0.48963000000000001</v>
      </c>
      <c r="M524" s="321"/>
      <c r="N524" s="321"/>
      <c r="O524" s="321"/>
      <c r="P524" s="321"/>
      <c r="Q524" s="321"/>
    </row>
    <row r="525" spans="1:17" x14ac:dyDescent="0.2">
      <c r="A525" s="312">
        <v>10</v>
      </c>
      <c r="B525" s="423" t="s">
        <v>55</v>
      </c>
      <c r="C525" s="311"/>
      <c r="D525" s="321">
        <v>0</v>
      </c>
      <c r="E525" s="45"/>
      <c r="F525" s="321">
        <v>0</v>
      </c>
      <c r="G525" s="321"/>
      <c r="H525" s="321">
        <v>0</v>
      </c>
      <c r="I525" s="321"/>
      <c r="J525" s="45">
        <v>0</v>
      </c>
      <c r="K525" s="321">
        <v>0</v>
      </c>
      <c r="L525" s="321">
        <v>0</v>
      </c>
      <c r="M525" s="321"/>
      <c r="N525" s="321"/>
      <c r="O525" s="321"/>
      <c r="P525" s="321"/>
      <c r="Q525" s="321"/>
    </row>
    <row r="526" spans="1:17" x14ac:dyDescent="0.2">
      <c r="A526" s="312">
        <v>11</v>
      </c>
      <c r="B526" s="432" t="s">
        <v>1951</v>
      </c>
      <c r="C526" s="311"/>
      <c r="D526" s="321">
        <v>0</v>
      </c>
      <c r="E526" s="45"/>
      <c r="F526" s="321">
        <v>0</v>
      </c>
      <c r="G526" s="321"/>
      <c r="H526" s="321">
        <v>0</v>
      </c>
      <c r="I526" s="321"/>
      <c r="J526" s="45">
        <v>0</v>
      </c>
      <c r="K526" s="321">
        <v>0</v>
      </c>
      <c r="L526" s="321">
        <v>0</v>
      </c>
      <c r="M526" s="321"/>
      <c r="N526" s="321"/>
      <c r="O526" s="321"/>
      <c r="P526" s="321"/>
      <c r="Q526" s="321"/>
    </row>
    <row r="527" spans="1:17" x14ac:dyDescent="0.2">
      <c r="A527" s="312">
        <v>12</v>
      </c>
      <c r="B527" s="45"/>
      <c r="C527" s="311"/>
      <c r="D527" s="321"/>
      <c r="E527" s="45"/>
      <c r="F527" s="321"/>
      <c r="G527" s="321"/>
      <c r="H527" s="321"/>
      <c r="I527" s="321"/>
      <c r="J527" s="45"/>
      <c r="K527" s="321"/>
      <c r="L527" s="321"/>
      <c r="M527" s="321"/>
      <c r="N527" s="321"/>
      <c r="O527" s="321"/>
      <c r="P527" s="321"/>
      <c r="Q527" s="321"/>
    </row>
    <row r="528" spans="1:17" x14ac:dyDescent="0.2">
      <c r="A528" s="312">
        <v>13</v>
      </c>
      <c r="B528" s="45"/>
      <c r="C528" s="311"/>
      <c r="D528" s="321"/>
      <c r="E528" s="45"/>
      <c r="F528" s="321"/>
      <c r="G528" s="321"/>
      <c r="H528" s="321"/>
      <c r="I528" s="321"/>
      <c r="J528" s="45"/>
      <c r="K528" s="321"/>
      <c r="L528" s="321"/>
      <c r="M528" s="321"/>
      <c r="N528" s="321"/>
      <c r="O528" s="321"/>
      <c r="P528" s="321"/>
      <c r="Q528" s="321"/>
    </row>
    <row r="529" spans="1:17" x14ac:dyDescent="0.2">
      <c r="A529" s="312">
        <v>14</v>
      </c>
      <c r="B529" s="45"/>
      <c r="C529" s="311"/>
      <c r="D529" s="45"/>
      <c r="E529" s="45"/>
      <c r="F529" s="45"/>
      <c r="G529" s="45"/>
      <c r="H529" s="45"/>
      <c r="I529" s="45"/>
      <c r="J529" s="45"/>
      <c r="K529" s="45"/>
      <c r="L529" s="45"/>
      <c r="M529" s="45"/>
      <c r="N529" s="45"/>
      <c r="O529" s="45"/>
      <c r="P529" s="45"/>
      <c r="Q529" s="45"/>
    </row>
    <row r="530" spans="1:17" x14ac:dyDescent="0.2">
      <c r="A530" s="312">
        <v>15</v>
      </c>
      <c r="B530" s="45"/>
      <c r="C530" s="311"/>
      <c r="D530" s="45"/>
      <c r="E530" s="45"/>
      <c r="F530" s="45"/>
      <c r="G530" s="45"/>
      <c r="H530" s="45"/>
      <c r="I530" s="45"/>
      <c r="J530" s="45"/>
      <c r="K530" s="45"/>
      <c r="L530" s="45"/>
      <c r="M530" s="45"/>
      <c r="N530" s="45"/>
      <c r="O530" s="45"/>
      <c r="P530" s="45"/>
      <c r="Q530" s="45"/>
    </row>
    <row r="531" spans="1:17" x14ac:dyDescent="0.2">
      <c r="A531" s="312">
        <v>16</v>
      </c>
      <c r="B531" s="45"/>
      <c r="C531" s="311"/>
      <c r="D531" s="45"/>
      <c r="E531" s="45"/>
      <c r="F531" s="45"/>
      <c r="G531" s="45"/>
      <c r="H531" s="45"/>
      <c r="I531" s="45"/>
      <c r="J531" s="45"/>
      <c r="K531" s="45"/>
      <c r="L531" s="45"/>
      <c r="M531" s="45"/>
      <c r="N531" s="45"/>
      <c r="O531" s="45"/>
      <c r="P531" s="45"/>
      <c r="Q531" s="45"/>
    </row>
    <row r="532" spans="1:17" x14ac:dyDescent="0.2">
      <c r="A532" s="312">
        <v>17</v>
      </c>
      <c r="B532" s="45"/>
      <c r="C532" s="311"/>
      <c r="D532" s="45"/>
      <c r="E532" s="45"/>
      <c r="F532" s="45"/>
      <c r="G532" s="45"/>
      <c r="H532" s="45"/>
      <c r="I532" s="45"/>
      <c r="J532" s="45"/>
      <c r="K532" s="45"/>
      <c r="L532" s="45"/>
      <c r="M532" s="45"/>
      <c r="N532" s="45"/>
      <c r="O532" s="45"/>
      <c r="P532" s="45"/>
      <c r="Q532" s="45"/>
    </row>
    <row r="533" spans="1:17" x14ac:dyDescent="0.2">
      <c r="A533" s="312">
        <v>18</v>
      </c>
      <c r="B533" s="45"/>
      <c r="C533" s="311"/>
      <c r="D533" s="45"/>
      <c r="E533" s="45"/>
      <c r="F533" s="45"/>
      <c r="G533" s="45"/>
      <c r="H533" s="45"/>
      <c r="I533" s="45"/>
      <c r="J533" s="45"/>
      <c r="K533" s="45"/>
      <c r="L533" s="45"/>
      <c r="M533" s="45"/>
      <c r="N533" s="45"/>
      <c r="O533" s="45"/>
      <c r="P533" s="45"/>
      <c r="Q533" s="45"/>
    </row>
    <row r="534" spans="1:17" x14ac:dyDescent="0.2">
      <c r="A534" s="45"/>
      <c r="B534" s="45"/>
      <c r="C534" s="311"/>
      <c r="D534" s="45"/>
      <c r="E534" s="45"/>
      <c r="F534" s="45"/>
      <c r="G534" s="45"/>
      <c r="H534" s="45"/>
      <c r="I534" s="45"/>
      <c r="J534" s="45"/>
      <c r="K534" s="45"/>
      <c r="L534" s="45"/>
      <c r="M534" s="45"/>
      <c r="N534" s="45"/>
      <c r="O534" s="45"/>
      <c r="P534" s="45"/>
      <c r="Q534" s="45"/>
    </row>
    <row r="535" spans="1:17" x14ac:dyDescent="0.2">
      <c r="A535" s="45"/>
      <c r="B535" s="45"/>
      <c r="C535" s="311"/>
      <c r="D535" s="45"/>
      <c r="E535" s="45"/>
      <c r="F535" s="45"/>
      <c r="G535" s="45"/>
      <c r="H535" s="45"/>
      <c r="I535" s="45"/>
      <c r="J535" s="45"/>
      <c r="K535" s="45"/>
      <c r="L535" s="45"/>
      <c r="M535" s="45"/>
      <c r="N535" s="45"/>
      <c r="O535" s="45"/>
      <c r="P535" s="45"/>
      <c r="Q535" s="45"/>
    </row>
    <row r="536" spans="1:17" x14ac:dyDescent="0.2">
      <c r="A536" s="45"/>
      <c r="B536" s="45"/>
      <c r="C536" s="311"/>
      <c r="D536" s="45"/>
      <c r="E536" s="45"/>
      <c r="F536" s="45"/>
      <c r="G536" s="45"/>
      <c r="H536" s="45"/>
      <c r="I536" s="45"/>
      <c r="J536" s="45"/>
      <c r="K536" s="45"/>
      <c r="L536" s="45"/>
      <c r="M536" s="45"/>
      <c r="N536" s="45"/>
      <c r="O536" s="45"/>
      <c r="P536" s="45"/>
      <c r="Q536" s="45"/>
    </row>
    <row r="537" spans="1:17" x14ac:dyDescent="0.2">
      <c r="A537" s="45"/>
      <c r="B537" s="45"/>
      <c r="C537" s="311"/>
      <c r="D537" s="45"/>
      <c r="E537" s="45"/>
      <c r="F537" s="45"/>
      <c r="G537" s="45"/>
      <c r="H537" s="45"/>
      <c r="I537" s="45"/>
      <c r="J537" s="45"/>
      <c r="K537" s="45"/>
      <c r="L537" s="45"/>
      <c r="M537" s="45"/>
      <c r="N537" s="45"/>
      <c r="O537" s="45"/>
      <c r="P537" s="45"/>
      <c r="Q537" s="45"/>
    </row>
    <row r="538" spans="1:17" x14ac:dyDescent="0.2">
      <c r="A538" s="45"/>
      <c r="B538" s="45"/>
      <c r="C538" s="311"/>
      <c r="D538" s="45"/>
      <c r="E538" s="45"/>
      <c r="F538" s="45"/>
      <c r="G538" s="45"/>
      <c r="H538" s="45"/>
      <c r="I538" s="45"/>
      <c r="J538" s="45"/>
      <c r="K538" s="45"/>
      <c r="L538" s="45"/>
      <c r="M538" s="45"/>
      <c r="N538" s="45"/>
      <c r="O538" s="45"/>
      <c r="P538" s="45"/>
      <c r="Q538" s="45"/>
    </row>
    <row r="539" spans="1:17" x14ac:dyDescent="0.2">
      <c r="A539" s="45"/>
      <c r="B539" s="45"/>
      <c r="C539" s="311"/>
      <c r="D539" s="45"/>
      <c r="E539" s="45"/>
      <c r="F539" s="45"/>
      <c r="G539" s="45"/>
      <c r="H539" s="45"/>
      <c r="I539" s="45"/>
      <c r="J539" s="45"/>
      <c r="K539" s="45"/>
      <c r="L539" s="45"/>
      <c r="M539" s="45"/>
      <c r="N539" s="45"/>
      <c r="O539" s="45"/>
      <c r="P539" s="45"/>
      <c r="Q539" s="45"/>
    </row>
    <row r="540" spans="1:17" x14ac:dyDescent="0.2">
      <c r="A540" s="45"/>
      <c r="B540" s="45"/>
      <c r="C540" s="311"/>
      <c r="D540" s="45"/>
      <c r="E540" s="45"/>
      <c r="F540" s="45"/>
      <c r="G540" s="45"/>
      <c r="H540" s="45"/>
      <c r="I540" s="45"/>
      <c r="J540" s="45"/>
      <c r="K540" s="45"/>
      <c r="L540" s="45"/>
      <c r="M540" s="45"/>
      <c r="N540" s="45"/>
      <c r="O540" s="45"/>
      <c r="P540" s="45"/>
      <c r="Q540" s="45"/>
    </row>
    <row r="541" spans="1:17" x14ac:dyDescent="0.2">
      <c r="A541" s="45"/>
      <c r="B541" s="45"/>
      <c r="C541" s="311"/>
      <c r="D541" s="45"/>
      <c r="E541" s="45"/>
      <c r="F541" s="45"/>
      <c r="G541" s="45"/>
      <c r="H541" s="45"/>
      <c r="I541" s="45"/>
      <c r="J541" s="45"/>
      <c r="K541" s="45"/>
      <c r="L541" s="45"/>
      <c r="M541" s="45"/>
      <c r="N541" s="45"/>
      <c r="O541" s="45"/>
      <c r="P541" s="45"/>
      <c r="Q541" s="45"/>
    </row>
    <row r="542" spans="1:17" x14ac:dyDescent="0.2">
      <c r="A542" s="45"/>
      <c r="B542" s="45"/>
      <c r="C542" s="311"/>
      <c r="D542" s="45"/>
      <c r="E542" s="45"/>
      <c r="F542" s="45"/>
      <c r="G542" s="45"/>
      <c r="H542" s="45"/>
      <c r="I542" s="45"/>
      <c r="J542" s="45"/>
      <c r="K542" s="45"/>
      <c r="L542" s="45"/>
      <c r="M542" s="45"/>
      <c r="N542" s="45"/>
      <c r="O542" s="45"/>
      <c r="P542" s="45"/>
      <c r="Q542" s="45"/>
    </row>
    <row r="543" spans="1:17" x14ac:dyDescent="0.2">
      <c r="A543" s="45"/>
      <c r="B543" s="433"/>
      <c r="C543" s="311"/>
      <c r="D543" s="45"/>
      <c r="E543" s="45"/>
      <c r="F543" s="45"/>
      <c r="G543" s="45"/>
      <c r="H543" s="45"/>
      <c r="I543" s="45"/>
      <c r="J543" s="45"/>
      <c r="K543" s="45"/>
      <c r="L543" s="45"/>
      <c r="M543" s="45"/>
      <c r="N543" s="45"/>
      <c r="O543" s="45"/>
      <c r="P543" s="45"/>
      <c r="Q543" s="45"/>
    </row>
    <row r="544" spans="1:17" x14ac:dyDescent="0.2">
      <c r="A544" s="45"/>
      <c r="B544" s="45"/>
      <c r="C544" s="311"/>
      <c r="D544" s="45"/>
      <c r="E544" s="45"/>
      <c r="F544" s="45"/>
      <c r="G544" s="45"/>
      <c r="H544" s="45"/>
      <c r="I544" s="45"/>
      <c r="J544" s="45"/>
      <c r="K544" s="45"/>
      <c r="L544" s="45"/>
      <c r="M544" s="45"/>
      <c r="N544" s="45"/>
      <c r="O544" s="45"/>
      <c r="P544" s="45"/>
      <c r="Q544" s="45"/>
    </row>
    <row r="545" spans="1:17" x14ac:dyDescent="0.2">
      <c r="A545" s="45"/>
      <c r="B545" s="45"/>
      <c r="C545" s="311"/>
      <c r="D545" s="45"/>
      <c r="E545" s="45"/>
      <c r="F545" s="45"/>
      <c r="G545" s="45"/>
      <c r="H545" s="45"/>
      <c r="I545" s="45"/>
      <c r="J545" s="45"/>
      <c r="K545" s="45"/>
      <c r="L545" s="45"/>
      <c r="M545" s="45"/>
      <c r="N545" s="45"/>
      <c r="O545" s="45"/>
      <c r="P545" s="45"/>
      <c r="Q545" s="45"/>
    </row>
    <row r="546" spans="1:17" x14ac:dyDescent="0.2">
      <c r="A546" s="45"/>
      <c r="B546" s="45"/>
      <c r="C546" s="311"/>
      <c r="D546" s="45"/>
      <c r="E546" s="45"/>
      <c r="F546" s="45"/>
      <c r="G546" s="45"/>
      <c r="H546" s="45"/>
      <c r="I546" s="45"/>
      <c r="J546" s="45"/>
      <c r="K546" s="45"/>
      <c r="L546" s="45"/>
      <c r="M546" s="45"/>
      <c r="N546" s="45"/>
      <c r="O546" s="45"/>
      <c r="P546" s="45"/>
      <c r="Q546" s="45"/>
    </row>
    <row r="547" spans="1:17" x14ac:dyDescent="0.2">
      <c r="A547" s="45"/>
      <c r="B547" s="45"/>
      <c r="C547" s="311"/>
      <c r="D547" s="45"/>
      <c r="E547" s="45"/>
      <c r="F547" s="45"/>
      <c r="G547" s="45"/>
      <c r="H547" s="45"/>
      <c r="I547" s="45"/>
      <c r="J547" s="45"/>
      <c r="K547" s="45"/>
      <c r="L547" s="45"/>
      <c r="M547" s="45"/>
      <c r="N547" s="45"/>
      <c r="O547" s="45"/>
      <c r="P547" s="45"/>
      <c r="Q547" s="45"/>
    </row>
    <row r="548" spans="1:17" x14ac:dyDescent="0.2">
      <c r="A548" s="45"/>
      <c r="B548" s="45"/>
      <c r="C548" s="311"/>
      <c r="D548" s="45"/>
      <c r="E548" s="45"/>
      <c r="F548" s="45"/>
      <c r="G548" s="45"/>
      <c r="H548" s="45"/>
      <c r="I548" s="45"/>
      <c r="J548" s="45"/>
      <c r="K548" s="45"/>
      <c r="L548" s="45"/>
      <c r="M548" s="45"/>
      <c r="N548" s="45"/>
      <c r="O548" s="45"/>
      <c r="P548" s="45"/>
      <c r="Q548" s="45"/>
    </row>
    <row r="549" spans="1:17" x14ac:dyDescent="0.2">
      <c r="A549" s="45"/>
      <c r="B549" s="45"/>
      <c r="C549" s="311"/>
      <c r="D549" s="45"/>
      <c r="E549" s="45"/>
      <c r="F549" s="45"/>
      <c r="G549" s="45"/>
      <c r="H549" s="45"/>
      <c r="I549" s="45"/>
      <c r="J549" s="45"/>
      <c r="K549" s="45"/>
      <c r="L549" s="45"/>
      <c r="M549" s="45"/>
      <c r="N549" s="45"/>
      <c r="O549" s="45"/>
      <c r="P549" s="45"/>
      <c r="Q549" s="45"/>
    </row>
    <row r="550" spans="1:17" x14ac:dyDescent="0.2">
      <c r="A550" s="45"/>
      <c r="B550" s="45"/>
      <c r="C550" s="311"/>
      <c r="D550" s="45"/>
      <c r="E550" s="45"/>
      <c r="F550" s="45"/>
      <c r="G550" s="45"/>
      <c r="H550" s="45"/>
      <c r="I550" s="45"/>
      <c r="J550" s="45"/>
      <c r="K550" s="45"/>
      <c r="L550" s="45"/>
      <c r="M550" s="45"/>
      <c r="N550" s="45"/>
      <c r="O550" s="45"/>
      <c r="P550" s="45"/>
      <c r="Q550" s="45"/>
    </row>
    <row r="551" spans="1:17" x14ac:dyDescent="0.2">
      <c r="A551" s="45"/>
      <c r="B551" s="45"/>
      <c r="C551" s="311"/>
      <c r="D551" s="45"/>
      <c r="E551" s="45"/>
      <c r="F551" s="45"/>
      <c r="G551" s="45"/>
      <c r="H551" s="45"/>
      <c r="I551" s="45"/>
      <c r="J551" s="45"/>
      <c r="K551" s="45"/>
      <c r="L551" s="45"/>
      <c r="M551" s="45"/>
      <c r="N551" s="45"/>
      <c r="O551" s="45"/>
      <c r="P551" s="45"/>
      <c r="Q551" s="45"/>
    </row>
    <row r="552" spans="1:17" x14ac:dyDescent="0.2">
      <c r="A552" s="45"/>
      <c r="B552" s="425" t="s">
        <v>1460</v>
      </c>
      <c r="C552" s="311"/>
      <c r="D552" s="311"/>
      <c r="E552" s="311"/>
      <c r="F552" s="311"/>
      <c r="G552" s="311"/>
      <c r="H552" s="45"/>
      <c r="I552" s="311"/>
      <c r="J552" s="311"/>
      <c r="K552" s="311"/>
      <c r="L552" s="45"/>
      <c r="M552" s="45"/>
      <c r="N552" s="45"/>
      <c r="O552" s="45"/>
      <c r="P552" s="45"/>
      <c r="Q552" s="45"/>
    </row>
    <row r="553" spans="1:17" x14ac:dyDescent="0.2">
      <c r="A553" s="45"/>
      <c r="B553" s="45"/>
      <c r="C553" s="311"/>
      <c r="D553" s="45"/>
      <c r="E553" s="45"/>
      <c r="F553" s="45"/>
      <c r="G553" s="45"/>
      <c r="H553" s="45"/>
      <c r="I553" s="45"/>
      <c r="J553" s="45"/>
      <c r="K553" s="45"/>
      <c r="L553" s="45"/>
      <c r="M553" s="45"/>
      <c r="N553" s="45"/>
      <c r="O553" s="45"/>
      <c r="P553" s="45"/>
      <c r="Q553" s="45"/>
    </row>
    <row r="554" spans="1:17" x14ac:dyDescent="0.2">
      <c r="A554" s="45"/>
      <c r="B554" s="423" t="s">
        <v>1461</v>
      </c>
      <c r="C554" s="311"/>
      <c r="D554" s="45"/>
      <c r="E554" s="45"/>
      <c r="F554" s="45"/>
      <c r="G554" s="45"/>
      <c r="H554" s="45"/>
      <c r="I554" s="45"/>
      <c r="J554" s="45"/>
      <c r="K554" s="45"/>
      <c r="L554" s="45"/>
      <c r="M554" s="45"/>
      <c r="N554" s="45"/>
      <c r="O554" s="45"/>
      <c r="P554" s="45"/>
      <c r="Q554" s="45"/>
    </row>
    <row r="555" spans="1:17" x14ac:dyDescent="0.2">
      <c r="A555" s="45"/>
      <c r="B555" s="45"/>
      <c r="C555" s="311"/>
      <c r="D555" s="45"/>
      <c r="E555" s="45"/>
      <c r="F555" s="45"/>
      <c r="G555" s="45"/>
      <c r="H555" s="45"/>
      <c r="I555" s="45"/>
      <c r="J555" s="45"/>
      <c r="K555" s="45"/>
      <c r="L555" s="45"/>
      <c r="M555" s="45"/>
      <c r="N555" s="45"/>
      <c r="O555" s="45"/>
      <c r="P555" s="45"/>
      <c r="Q555" s="45"/>
    </row>
    <row r="556" spans="1:17" x14ac:dyDescent="0.2">
      <c r="A556" s="312">
        <v>1</v>
      </c>
      <c r="B556" s="423" t="s">
        <v>1462</v>
      </c>
      <c r="C556" s="311"/>
      <c r="D556" s="313">
        <v>10907444068</v>
      </c>
      <c r="E556" s="45"/>
      <c r="F556" s="313">
        <v>10194926070</v>
      </c>
      <c r="G556" s="313"/>
      <c r="H556" s="313">
        <v>568609349</v>
      </c>
      <c r="I556" s="313"/>
      <c r="J556" s="313">
        <v>143908648</v>
      </c>
      <c r="K556" s="313">
        <v>75298903</v>
      </c>
      <c r="L556" s="313">
        <v>68609745</v>
      </c>
      <c r="M556" s="313"/>
      <c r="N556" s="313"/>
      <c r="O556" s="313"/>
      <c r="P556" s="313"/>
      <c r="Q556" s="313"/>
    </row>
    <row r="557" spans="1:17" x14ac:dyDescent="0.2">
      <c r="A557" s="45"/>
      <c r="B557" s="45"/>
      <c r="C557" s="311"/>
      <c r="D557" s="45"/>
      <c r="E557" s="45"/>
      <c r="F557" s="45"/>
      <c r="G557" s="45"/>
      <c r="H557" s="45"/>
      <c r="I557" s="45"/>
      <c r="J557" s="45"/>
      <c r="K557" s="45"/>
      <c r="L557" s="45"/>
      <c r="M557" s="45"/>
      <c r="N557" s="45"/>
      <c r="O557" s="45"/>
      <c r="P557" s="45"/>
      <c r="Q557" s="45"/>
    </row>
    <row r="558" spans="1:17" x14ac:dyDescent="0.2">
      <c r="A558" s="312">
        <v>2</v>
      </c>
      <c r="B558" s="423" t="s">
        <v>1463</v>
      </c>
      <c r="C558" s="311"/>
      <c r="D558" s="313">
        <v>3922604709</v>
      </c>
      <c r="E558" s="313"/>
      <c r="F558" s="313">
        <v>3655298713</v>
      </c>
      <c r="G558" s="313"/>
      <c r="H558" s="313">
        <v>211103567</v>
      </c>
      <c r="I558" s="313"/>
      <c r="J558" s="313">
        <v>56202429</v>
      </c>
      <c r="K558" s="313">
        <v>29077633</v>
      </c>
      <c r="L558" s="313">
        <v>27124796</v>
      </c>
      <c r="M558" s="313"/>
      <c r="N558" s="313"/>
      <c r="O558" s="313"/>
      <c r="P558" s="313"/>
      <c r="Q558" s="313"/>
    </row>
    <row r="559" spans="1:17" x14ac:dyDescent="0.2">
      <c r="A559" s="312">
        <v>3</v>
      </c>
      <c r="B559" s="423" t="s">
        <v>1464</v>
      </c>
      <c r="C559" s="311"/>
      <c r="D559" s="313">
        <v>6984839359</v>
      </c>
      <c r="E559" s="313"/>
      <c r="F559" s="313">
        <v>6539627357</v>
      </c>
      <c r="G559" s="313"/>
      <c r="H559" s="313">
        <v>357505782</v>
      </c>
      <c r="I559" s="313"/>
      <c r="J559" s="313">
        <v>87706220</v>
      </c>
      <c r="K559" s="313">
        <v>46221270</v>
      </c>
      <c r="L559" s="313">
        <v>41484949</v>
      </c>
      <c r="M559" s="313"/>
      <c r="N559" s="313"/>
      <c r="O559" s="313"/>
      <c r="P559" s="313"/>
      <c r="Q559" s="313"/>
    </row>
    <row r="560" spans="1:17" x14ac:dyDescent="0.2">
      <c r="A560" s="45"/>
      <c r="B560" s="45"/>
      <c r="C560" s="311"/>
      <c r="D560" s="313"/>
      <c r="E560" s="313"/>
      <c r="F560" s="313"/>
      <c r="G560" s="313"/>
      <c r="H560" s="313"/>
      <c r="I560" s="313"/>
      <c r="J560" s="313"/>
      <c r="K560" s="313"/>
      <c r="L560" s="313"/>
      <c r="M560" s="313"/>
      <c r="N560" s="313"/>
      <c r="O560" s="313"/>
      <c r="P560" s="313"/>
      <c r="Q560" s="313"/>
    </row>
    <row r="561" spans="1:17" x14ac:dyDescent="0.2">
      <c r="A561" s="312">
        <v>4</v>
      </c>
      <c r="B561" s="423" t="s">
        <v>1465</v>
      </c>
      <c r="C561" s="311"/>
      <c r="D561" s="313">
        <v>296834854</v>
      </c>
      <c r="E561" s="313"/>
      <c r="F561" s="313">
        <v>269886192</v>
      </c>
      <c r="G561" s="313"/>
      <c r="H561" s="313">
        <v>23811187</v>
      </c>
      <c r="I561" s="313"/>
      <c r="J561" s="313">
        <v>3137474</v>
      </c>
      <c r="K561" s="313">
        <v>1653794</v>
      </c>
      <c r="L561" s="313">
        <v>1483680</v>
      </c>
      <c r="M561" s="313"/>
      <c r="N561" s="313"/>
      <c r="O561" s="313"/>
      <c r="P561" s="313"/>
      <c r="Q561" s="313"/>
    </row>
    <row r="562" spans="1:17" x14ac:dyDescent="0.2">
      <c r="A562" s="312">
        <v>5</v>
      </c>
      <c r="B562" s="423" t="s">
        <v>1466</v>
      </c>
      <c r="C562" s="311"/>
      <c r="D562" s="313">
        <v>7281674212</v>
      </c>
      <c r="E562" s="313"/>
      <c r="F562" s="313">
        <v>6809513549</v>
      </c>
      <c r="G562" s="313"/>
      <c r="H562" s="313">
        <v>381316969</v>
      </c>
      <c r="I562" s="313"/>
      <c r="J562" s="313">
        <v>90843694</v>
      </c>
      <c r="K562" s="313">
        <v>47875065</v>
      </c>
      <c r="L562" s="313">
        <v>42968629</v>
      </c>
      <c r="M562" s="313"/>
      <c r="N562" s="313"/>
      <c r="O562" s="313"/>
      <c r="P562" s="313"/>
      <c r="Q562" s="313"/>
    </row>
    <row r="563" spans="1:17" x14ac:dyDescent="0.2">
      <c r="A563" s="45"/>
      <c r="B563" s="45"/>
      <c r="C563" s="311"/>
      <c r="D563" s="313"/>
      <c r="E563" s="313"/>
      <c r="F563" s="313"/>
      <c r="G563" s="313"/>
      <c r="H563" s="313"/>
      <c r="I563" s="313"/>
      <c r="J563" s="313"/>
      <c r="K563" s="313"/>
      <c r="L563" s="313"/>
      <c r="M563" s="313"/>
      <c r="N563" s="313"/>
      <c r="O563" s="313"/>
      <c r="P563" s="313"/>
      <c r="Q563" s="313"/>
    </row>
    <row r="564" spans="1:17" x14ac:dyDescent="0.2">
      <c r="A564" s="45"/>
      <c r="B564" s="423" t="s">
        <v>1467</v>
      </c>
      <c r="C564" s="311"/>
      <c r="D564" s="313"/>
      <c r="E564" s="313"/>
      <c r="F564" s="313"/>
      <c r="G564" s="313"/>
      <c r="H564" s="313"/>
      <c r="I564" s="313"/>
      <c r="J564" s="313"/>
      <c r="K564" s="313"/>
      <c r="L564" s="313"/>
      <c r="M564" s="313"/>
      <c r="N564" s="313"/>
      <c r="O564" s="313"/>
      <c r="P564" s="313"/>
      <c r="Q564" s="313"/>
    </row>
    <row r="565" spans="1:17" x14ac:dyDescent="0.2">
      <c r="A565" s="312">
        <v>6</v>
      </c>
      <c r="B565" s="423" t="s">
        <v>1470</v>
      </c>
      <c r="C565" s="311"/>
      <c r="D565" s="313">
        <v>64509936</v>
      </c>
      <c r="E565" s="313"/>
      <c r="F565" s="313">
        <v>59890781</v>
      </c>
      <c r="G565" s="313"/>
      <c r="H565" s="313">
        <v>3875238</v>
      </c>
      <c r="I565" s="313"/>
      <c r="J565" s="313">
        <v>743918</v>
      </c>
      <c r="K565" s="313">
        <v>385551</v>
      </c>
      <c r="L565" s="313">
        <v>358367</v>
      </c>
      <c r="M565" s="313"/>
      <c r="N565" s="313"/>
      <c r="O565" s="313"/>
      <c r="P565" s="313"/>
      <c r="Q565" s="313"/>
    </row>
    <row r="566" spans="1:17" x14ac:dyDescent="0.2">
      <c r="A566" s="312">
        <v>7</v>
      </c>
      <c r="B566" s="423" t="s">
        <v>1471</v>
      </c>
      <c r="C566" s="311"/>
      <c r="D566" s="313">
        <v>66398898</v>
      </c>
      <c r="E566" s="313"/>
      <c r="F566" s="313">
        <v>62536188</v>
      </c>
      <c r="G566" s="313"/>
      <c r="H566" s="313">
        <v>2511431</v>
      </c>
      <c r="I566" s="313"/>
      <c r="J566" s="313">
        <v>1351279</v>
      </c>
      <c r="K566" s="313">
        <v>693576</v>
      </c>
      <c r="L566" s="313">
        <v>657702</v>
      </c>
      <c r="M566" s="313"/>
      <c r="N566" s="313"/>
      <c r="O566" s="313"/>
      <c r="P566" s="313"/>
      <c r="Q566" s="313"/>
    </row>
    <row r="567" spans="1:17" x14ac:dyDescent="0.2">
      <c r="A567" s="312">
        <v>8</v>
      </c>
      <c r="B567" s="423" t="s">
        <v>947</v>
      </c>
      <c r="C567" s="311"/>
      <c r="D567" s="313">
        <v>19279557</v>
      </c>
      <c r="E567" s="313"/>
      <c r="F567" s="313">
        <v>19024116</v>
      </c>
      <c r="G567" s="313"/>
      <c r="H567" s="313">
        <v>0</v>
      </c>
      <c r="I567" s="313"/>
      <c r="J567" s="313">
        <v>255440</v>
      </c>
      <c r="K567" s="313">
        <v>133507</v>
      </c>
      <c r="L567" s="313">
        <v>121933</v>
      </c>
      <c r="M567" s="313"/>
      <c r="N567" s="313"/>
      <c r="O567" s="313"/>
      <c r="P567" s="313"/>
      <c r="Q567" s="313"/>
    </row>
    <row r="568" spans="1:17" x14ac:dyDescent="0.2">
      <c r="A568" s="312">
        <v>9</v>
      </c>
      <c r="B568" s="423" t="s">
        <v>948</v>
      </c>
      <c r="C568" s="311"/>
      <c r="D568" s="313">
        <v>141138202</v>
      </c>
      <c r="E568" s="313"/>
      <c r="F568" s="313">
        <v>129933875</v>
      </c>
      <c r="G568" s="313"/>
      <c r="H568" s="313">
        <v>9535669</v>
      </c>
      <c r="I568" s="313"/>
      <c r="J568" s="313">
        <v>1668658</v>
      </c>
      <c r="K568" s="313">
        <v>859437</v>
      </c>
      <c r="L568" s="313">
        <v>809220</v>
      </c>
      <c r="M568" s="313"/>
      <c r="N568" s="313"/>
      <c r="O568" s="313"/>
      <c r="P568" s="313"/>
      <c r="Q568" s="313"/>
    </row>
    <row r="569" spans="1:17" x14ac:dyDescent="0.2">
      <c r="A569" s="312">
        <v>10</v>
      </c>
      <c r="B569" s="423" t="s">
        <v>949</v>
      </c>
      <c r="C569" s="311"/>
      <c r="D569" s="313">
        <v>124310</v>
      </c>
      <c r="E569" s="313"/>
      <c r="F569" s="313">
        <v>116617</v>
      </c>
      <c r="G569" s="313"/>
      <c r="H569" s="313">
        <v>5281</v>
      </c>
      <c r="I569" s="313"/>
      <c r="J569" s="313">
        <v>2412</v>
      </c>
      <c r="K569" s="313">
        <v>1223</v>
      </c>
      <c r="L569" s="313">
        <v>1188</v>
      </c>
      <c r="M569" s="313"/>
      <c r="N569" s="313"/>
      <c r="O569" s="313"/>
      <c r="P569" s="313"/>
      <c r="Q569" s="313"/>
    </row>
    <row r="570" spans="1:17" x14ac:dyDescent="0.2">
      <c r="A570" s="312">
        <v>11</v>
      </c>
      <c r="B570" s="423" t="s">
        <v>2275</v>
      </c>
      <c r="C570" s="311"/>
      <c r="D570" s="313">
        <v>183002470</v>
      </c>
      <c r="E570" s="313"/>
      <c r="F570" s="313">
        <v>174570689</v>
      </c>
      <c r="G570" s="313"/>
      <c r="H570" s="313">
        <v>6196953</v>
      </c>
      <c r="I570" s="313"/>
      <c r="J570" s="313">
        <v>2234828</v>
      </c>
      <c r="K570" s="313">
        <v>1133630</v>
      </c>
      <c r="L570" s="313">
        <v>1101198</v>
      </c>
      <c r="M570" s="313"/>
      <c r="N570" s="313"/>
      <c r="O570" s="313"/>
      <c r="P570" s="313"/>
      <c r="Q570" s="313"/>
    </row>
    <row r="571" spans="1:17" x14ac:dyDescent="0.2">
      <c r="A571" s="312">
        <v>12</v>
      </c>
      <c r="B571" s="423" t="s">
        <v>950</v>
      </c>
      <c r="C571" s="311"/>
      <c r="D571" s="313">
        <v>474453373</v>
      </c>
      <c r="E571" s="313"/>
      <c r="F571" s="313">
        <v>446072266</v>
      </c>
      <c r="G571" s="313"/>
      <c r="H571" s="313">
        <v>22124573</v>
      </c>
      <c r="I571" s="313"/>
      <c r="J571" s="313">
        <v>6256534</v>
      </c>
      <c r="K571" s="313">
        <v>3206924</v>
      </c>
      <c r="L571" s="313">
        <v>3049610</v>
      </c>
      <c r="M571" s="313"/>
      <c r="N571" s="313"/>
      <c r="O571" s="313"/>
      <c r="P571" s="313"/>
      <c r="Q571" s="313"/>
    </row>
    <row r="572" spans="1:17" x14ac:dyDescent="0.2">
      <c r="A572" s="45"/>
      <c r="B572" s="45"/>
      <c r="C572" s="311"/>
      <c r="D572" s="313"/>
      <c r="E572" s="313"/>
      <c r="F572" s="313"/>
      <c r="G572" s="313"/>
      <c r="H572" s="313"/>
      <c r="I572" s="313"/>
      <c r="J572" s="313"/>
      <c r="K572" s="313"/>
      <c r="L572" s="313"/>
      <c r="M572" s="313"/>
      <c r="N572" s="313"/>
      <c r="O572" s="313"/>
      <c r="P572" s="313"/>
      <c r="Q572" s="313"/>
    </row>
    <row r="573" spans="1:17" x14ac:dyDescent="0.2">
      <c r="A573" s="45"/>
      <c r="B573" s="423" t="s">
        <v>951</v>
      </c>
      <c r="C573" s="311"/>
      <c r="D573" s="313"/>
      <c r="E573" s="313"/>
      <c r="F573" s="313"/>
      <c r="G573" s="313"/>
      <c r="H573" s="313"/>
      <c r="I573" s="313"/>
      <c r="J573" s="313"/>
      <c r="K573" s="313"/>
      <c r="L573" s="313"/>
      <c r="M573" s="313"/>
      <c r="N573" s="313"/>
      <c r="O573" s="313"/>
      <c r="P573" s="313"/>
      <c r="Q573" s="313"/>
    </row>
    <row r="574" spans="1:17" x14ac:dyDescent="0.2">
      <c r="A574" s="312">
        <v>13</v>
      </c>
      <c r="B574" s="423" t="s">
        <v>646</v>
      </c>
      <c r="C574" s="311"/>
      <c r="D574" s="313">
        <v>1438518390</v>
      </c>
      <c r="E574" s="313"/>
      <c r="F574" s="313">
        <v>1342260433</v>
      </c>
      <c r="G574" s="313"/>
      <c r="H574" s="313">
        <v>78899320</v>
      </c>
      <c r="I574" s="313"/>
      <c r="J574" s="313">
        <v>17358636</v>
      </c>
      <c r="K574" s="313">
        <v>9059596</v>
      </c>
      <c r="L574" s="313">
        <v>8299040</v>
      </c>
      <c r="M574" s="313"/>
      <c r="N574" s="313"/>
      <c r="O574" s="313"/>
      <c r="P574" s="313"/>
      <c r="Q574" s="313"/>
    </row>
    <row r="575" spans="1:17" x14ac:dyDescent="0.2">
      <c r="A575" s="312">
        <v>14</v>
      </c>
      <c r="B575" s="423" t="s">
        <v>647</v>
      </c>
      <c r="C575" s="311"/>
      <c r="D575" s="313">
        <v>86323268</v>
      </c>
      <c r="E575" s="313"/>
      <c r="F575" s="313">
        <v>80926985</v>
      </c>
      <c r="G575" s="313"/>
      <c r="H575" s="313">
        <v>3690612</v>
      </c>
      <c r="I575" s="313"/>
      <c r="J575" s="313">
        <v>1705672</v>
      </c>
      <c r="K575" s="313">
        <v>865212</v>
      </c>
      <c r="L575" s="313">
        <v>840459</v>
      </c>
      <c r="M575" s="313"/>
      <c r="N575" s="313"/>
      <c r="O575" s="313"/>
      <c r="P575" s="313"/>
      <c r="Q575" s="313"/>
    </row>
    <row r="576" spans="1:17" x14ac:dyDescent="0.2">
      <c r="A576" s="312">
        <v>15</v>
      </c>
      <c r="B576" s="423" t="s">
        <v>648</v>
      </c>
      <c r="C576" s="311"/>
      <c r="D576" s="313">
        <v>1719772</v>
      </c>
      <c r="E576" s="313"/>
      <c r="F576" s="313">
        <v>1712216</v>
      </c>
      <c r="G576" s="313"/>
      <c r="H576" s="313">
        <v>7556</v>
      </c>
      <c r="I576" s="313"/>
      <c r="J576" s="313">
        <v>0</v>
      </c>
      <c r="K576" s="313">
        <v>0</v>
      </c>
      <c r="L576" s="313">
        <v>0</v>
      </c>
      <c r="M576" s="313"/>
      <c r="N576" s="313"/>
      <c r="O576" s="313"/>
      <c r="P576" s="313"/>
      <c r="Q576" s="313"/>
    </row>
    <row r="577" spans="1:17" x14ac:dyDescent="0.2">
      <c r="A577" s="312">
        <v>16</v>
      </c>
      <c r="B577" s="426" t="s">
        <v>1955</v>
      </c>
      <c r="C577" s="311"/>
      <c r="D577" s="313">
        <v>31620707</v>
      </c>
      <c r="E577" s="313"/>
      <c r="F577" s="313">
        <v>0</v>
      </c>
      <c r="G577" s="313"/>
      <c r="H577" s="313">
        <v>1227530</v>
      </c>
      <c r="I577" s="313"/>
      <c r="J577" s="313">
        <v>0</v>
      </c>
      <c r="K577" s="313">
        <v>0</v>
      </c>
      <c r="L577" s="313">
        <v>0</v>
      </c>
      <c r="M577" s="313"/>
      <c r="N577" s="313"/>
      <c r="O577" s="313"/>
      <c r="P577" s="313"/>
      <c r="Q577" s="313"/>
    </row>
    <row r="578" spans="1:17" x14ac:dyDescent="0.2">
      <c r="A578" s="312">
        <v>17</v>
      </c>
      <c r="B578" s="423" t="s">
        <v>649</v>
      </c>
      <c r="C578" s="311"/>
      <c r="D578" s="313">
        <v>237184</v>
      </c>
      <c r="E578" s="313"/>
      <c r="F578" s="313">
        <v>0</v>
      </c>
      <c r="G578" s="313"/>
      <c r="H578" s="313">
        <v>237184</v>
      </c>
      <c r="I578" s="313"/>
      <c r="J578" s="313">
        <v>0</v>
      </c>
      <c r="K578" s="313">
        <v>0</v>
      </c>
      <c r="L578" s="313">
        <v>0</v>
      </c>
      <c r="M578" s="313"/>
      <c r="N578" s="313"/>
      <c r="O578" s="313"/>
      <c r="P578" s="313"/>
      <c r="Q578" s="313"/>
    </row>
    <row r="579" spans="1:17" x14ac:dyDescent="0.2">
      <c r="A579" s="312">
        <v>18</v>
      </c>
      <c r="B579" s="426" t="s">
        <v>1956</v>
      </c>
      <c r="C579" s="45"/>
      <c r="D579" s="313">
        <v>15691507</v>
      </c>
      <c r="E579" s="313"/>
      <c r="F579" s="313">
        <v>0</v>
      </c>
      <c r="G579" s="313"/>
      <c r="H579" s="313">
        <v>746553</v>
      </c>
      <c r="I579" s="313"/>
      <c r="J579" s="313">
        <v>0</v>
      </c>
      <c r="K579" s="313">
        <v>0</v>
      </c>
      <c r="L579" s="313">
        <v>0</v>
      </c>
      <c r="M579" s="313"/>
      <c r="N579" s="313"/>
      <c r="O579" s="313"/>
      <c r="P579" s="313"/>
      <c r="Q579" s="313"/>
    </row>
    <row r="580" spans="1:17" x14ac:dyDescent="0.2">
      <c r="A580" s="312">
        <v>19</v>
      </c>
      <c r="B580" s="426" t="s">
        <v>2130</v>
      </c>
      <c r="C580" s="45"/>
      <c r="D580" s="313">
        <v>4697653</v>
      </c>
      <c r="E580" s="313"/>
      <c r="F580" s="313">
        <v>0</v>
      </c>
      <c r="G580" s="313"/>
      <c r="H580" s="313">
        <v>0</v>
      </c>
      <c r="I580" s="313"/>
      <c r="J580" s="313">
        <v>53794</v>
      </c>
      <c r="K580" s="313">
        <v>28049</v>
      </c>
      <c r="L580" s="313">
        <v>25745</v>
      </c>
      <c r="M580" s="313"/>
      <c r="N580" s="313"/>
      <c r="O580" s="313"/>
      <c r="P580" s="313"/>
      <c r="Q580" s="313"/>
    </row>
    <row r="581" spans="1:17" x14ac:dyDescent="0.2">
      <c r="A581" s="312">
        <v>20</v>
      </c>
      <c r="B581" s="426" t="s">
        <v>2131</v>
      </c>
      <c r="C581" s="45"/>
      <c r="D581" s="313">
        <v>6765972</v>
      </c>
      <c r="E581" s="313"/>
      <c r="F581" s="313">
        <v>0</v>
      </c>
      <c r="G581" s="313"/>
      <c r="H581" s="313">
        <v>0</v>
      </c>
      <c r="I581" s="313"/>
      <c r="J581" s="313">
        <v>77479</v>
      </c>
      <c r="K581" s="313">
        <v>40398</v>
      </c>
      <c r="L581" s="313">
        <v>37080</v>
      </c>
      <c r="M581" s="313"/>
      <c r="N581" s="313"/>
      <c r="O581" s="313"/>
      <c r="P581" s="313"/>
      <c r="Q581" s="313"/>
    </row>
    <row r="582" spans="1:17" x14ac:dyDescent="0.2">
      <c r="A582" s="312">
        <v>21</v>
      </c>
      <c r="B582" s="426" t="s">
        <v>2132</v>
      </c>
      <c r="C582" s="45"/>
      <c r="D582" s="313">
        <v>1236415</v>
      </c>
      <c r="E582" s="313"/>
      <c r="F582" s="313">
        <v>0</v>
      </c>
      <c r="G582" s="313"/>
      <c r="H582" s="313">
        <v>0</v>
      </c>
      <c r="I582" s="313"/>
      <c r="J582" s="313">
        <v>14158</v>
      </c>
      <c r="K582" s="313">
        <v>7382</v>
      </c>
      <c r="L582" s="313">
        <v>6776</v>
      </c>
      <c r="M582" s="313"/>
      <c r="N582" s="313"/>
      <c r="O582" s="313"/>
      <c r="P582" s="313"/>
      <c r="Q582" s="313"/>
    </row>
    <row r="583" spans="1:17" x14ac:dyDescent="0.2">
      <c r="A583" s="312">
        <v>22</v>
      </c>
      <c r="B583" s="423" t="s">
        <v>1042</v>
      </c>
      <c r="C583" s="311"/>
      <c r="D583" s="313">
        <v>1586810867</v>
      </c>
      <c r="E583" s="313"/>
      <c r="F583" s="313">
        <v>1424899634</v>
      </c>
      <c r="G583" s="313"/>
      <c r="H583" s="313">
        <v>84808755</v>
      </c>
      <c r="I583" s="313"/>
      <c r="J583" s="313">
        <v>19209739</v>
      </c>
      <c r="K583" s="313">
        <v>10000638</v>
      </c>
      <c r="L583" s="313">
        <v>9209101</v>
      </c>
      <c r="M583" s="313"/>
      <c r="N583" s="313"/>
      <c r="O583" s="313"/>
      <c r="P583" s="313"/>
      <c r="Q583" s="313"/>
    </row>
    <row r="584" spans="1:17" x14ac:dyDescent="0.2">
      <c r="A584" s="45"/>
      <c r="B584" s="45"/>
      <c r="C584" s="311"/>
      <c r="D584" s="313"/>
      <c r="E584" s="313"/>
      <c r="F584" s="313"/>
      <c r="G584" s="313"/>
      <c r="H584" s="313"/>
      <c r="I584" s="313"/>
      <c r="J584" s="313"/>
      <c r="K584" s="313"/>
      <c r="L584" s="313"/>
      <c r="M584" s="313"/>
      <c r="N584" s="313"/>
      <c r="O584" s="313"/>
      <c r="P584" s="313"/>
      <c r="Q584" s="313"/>
    </row>
    <row r="585" spans="1:17" x14ac:dyDescent="0.2">
      <c r="A585" s="312">
        <v>23</v>
      </c>
      <c r="B585" s="423" t="s">
        <v>1043</v>
      </c>
      <c r="C585" s="311"/>
      <c r="D585" s="313">
        <v>6169316718</v>
      </c>
      <c r="E585" s="313"/>
      <c r="F585" s="313">
        <v>5830686181</v>
      </c>
      <c r="G585" s="313"/>
      <c r="H585" s="313">
        <v>318632787</v>
      </c>
      <c r="I585" s="313"/>
      <c r="J585" s="313">
        <v>77890490</v>
      </c>
      <c r="K585" s="313">
        <v>41081352</v>
      </c>
      <c r="L585" s="313">
        <v>36809138</v>
      </c>
      <c r="M585" s="313"/>
      <c r="N585" s="313"/>
      <c r="O585" s="313"/>
      <c r="P585" s="313"/>
      <c r="Q585" s="313"/>
    </row>
    <row r="586" spans="1:17" x14ac:dyDescent="0.2">
      <c r="A586" s="45"/>
      <c r="B586" s="45"/>
      <c r="C586" s="311"/>
      <c r="D586" s="313"/>
      <c r="E586" s="313"/>
      <c r="F586" s="313"/>
      <c r="G586" s="313"/>
      <c r="H586" s="313"/>
      <c r="I586" s="313"/>
      <c r="J586" s="313"/>
      <c r="K586" s="313"/>
      <c r="L586" s="313"/>
      <c r="M586" s="313"/>
      <c r="N586" s="313"/>
      <c r="O586" s="313"/>
      <c r="P586" s="313"/>
      <c r="Q586" s="313"/>
    </row>
    <row r="587" spans="1:17" x14ac:dyDescent="0.2">
      <c r="A587" s="45"/>
      <c r="B587" s="423" t="s">
        <v>1044</v>
      </c>
      <c r="C587" s="311"/>
      <c r="D587" s="313"/>
      <c r="E587" s="313"/>
      <c r="F587" s="313"/>
      <c r="G587" s="313"/>
      <c r="H587" s="313"/>
      <c r="I587" s="313"/>
      <c r="J587" s="313"/>
      <c r="K587" s="313"/>
      <c r="L587" s="313"/>
      <c r="M587" s="313"/>
      <c r="N587" s="313"/>
      <c r="O587" s="313"/>
      <c r="P587" s="313"/>
      <c r="Q587" s="313"/>
    </row>
    <row r="588" spans="1:17" x14ac:dyDescent="0.2">
      <c r="A588" s="312">
        <v>24</v>
      </c>
      <c r="B588" s="423" t="s">
        <v>1045</v>
      </c>
      <c r="C588" s="311"/>
      <c r="D588" s="313">
        <v>1747033170</v>
      </c>
      <c r="E588" s="313"/>
      <c r="F588" s="313">
        <v>1643983057</v>
      </c>
      <c r="G588" s="313"/>
      <c r="H588" s="313">
        <v>78577229</v>
      </c>
      <c r="I588" s="313"/>
      <c r="J588" s="313">
        <v>24472885</v>
      </c>
      <c r="K588" s="313">
        <v>12599774</v>
      </c>
      <c r="L588" s="313">
        <v>11873111</v>
      </c>
      <c r="M588" s="313"/>
      <c r="N588" s="313"/>
      <c r="O588" s="313"/>
      <c r="P588" s="313"/>
      <c r="Q588" s="313"/>
    </row>
    <row r="589" spans="1:17" x14ac:dyDescent="0.2">
      <c r="A589" s="45"/>
      <c r="B589" s="45"/>
      <c r="C589" s="311"/>
      <c r="D589" s="313"/>
      <c r="E589" s="313"/>
      <c r="F589" s="313"/>
      <c r="G589" s="313"/>
      <c r="H589" s="313"/>
      <c r="I589" s="313"/>
      <c r="J589" s="313"/>
      <c r="K589" s="313"/>
      <c r="L589" s="313"/>
      <c r="M589" s="313"/>
      <c r="N589" s="313"/>
      <c r="O589" s="313"/>
      <c r="P589" s="313"/>
      <c r="Q589" s="313"/>
    </row>
    <row r="590" spans="1:17" x14ac:dyDescent="0.2">
      <c r="A590" s="45"/>
      <c r="B590" s="423" t="s">
        <v>1046</v>
      </c>
      <c r="C590" s="311"/>
      <c r="D590" s="313"/>
      <c r="E590" s="313"/>
      <c r="F590" s="313"/>
      <c r="G590" s="313"/>
      <c r="H590" s="313"/>
      <c r="I590" s="313"/>
      <c r="J590" s="313"/>
      <c r="K590" s="313"/>
      <c r="L590" s="313"/>
      <c r="M590" s="313"/>
      <c r="N590" s="313"/>
      <c r="O590" s="313"/>
      <c r="P590" s="313"/>
      <c r="Q590" s="313"/>
    </row>
    <row r="591" spans="1:17" x14ac:dyDescent="0.2">
      <c r="A591" s="312">
        <v>25</v>
      </c>
      <c r="B591" s="423" t="s">
        <v>1047</v>
      </c>
      <c r="C591" s="311"/>
      <c r="D591" s="313">
        <v>935841768</v>
      </c>
      <c r="E591" s="313"/>
      <c r="F591" s="313">
        <v>879083724</v>
      </c>
      <c r="G591" s="313"/>
      <c r="H591" s="313">
        <v>42365201</v>
      </c>
      <c r="I591" s="313"/>
      <c r="J591" s="313">
        <v>14392842</v>
      </c>
      <c r="K591" s="313">
        <v>7409946</v>
      </c>
      <c r="L591" s="313">
        <v>6982896</v>
      </c>
      <c r="M591" s="313"/>
      <c r="N591" s="313"/>
      <c r="O591" s="313"/>
      <c r="P591" s="313"/>
      <c r="Q591" s="313"/>
    </row>
    <row r="592" spans="1:17" x14ac:dyDescent="0.2">
      <c r="A592" s="312">
        <v>26</v>
      </c>
      <c r="B592" s="423" t="s">
        <v>1048</v>
      </c>
      <c r="C592" s="311"/>
      <c r="D592" s="313">
        <v>415869665</v>
      </c>
      <c r="E592" s="313"/>
      <c r="F592" s="313">
        <v>389129204</v>
      </c>
      <c r="G592" s="313"/>
      <c r="H592" s="313">
        <v>20250490</v>
      </c>
      <c r="I592" s="313"/>
      <c r="J592" s="313">
        <v>6489972</v>
      </c>
      <c r="K592" s="313">
        <v>3330483</v>
      </c>
      <c r="L592" s="313">
        <v>3159489</v>
      </c>
      <c r="M592" s="313"/>
      <c r="N592" s="313"/>
      <c r="O592" s="313"/>
      <c r="P592" s="313"/>
      <c r="Q592" s="313"/>
    </row>
    <row r="593" spans="1:24" x14ac:dyDescent="0.2">
      <c r="A593" s="312">
        <v>27</v>
      </c>
      <c r="B593" s="423" t="s">
        <v>2195</v>
      </c>
      <c r="C593" s="311"/>
      <c r="D593" s="313">
        <v>15097734</v>
      </c>
      <c r="E593" s="313"/>
      <c r="F593" s="313">
        <v>14409914</v>
      </c>
      <c r="G593" s="313"/>
      <c r="H593" s="313">
        <v>573177</v>
      </c>
      <c r="I593" s="313"/>
      <c r="J593" s="313">
        <v>114644</v>
      </c>
      <c r="K593" s="313">
        <v>58510</v>
      </c>
      <c r="L593" s="313">
        <v>56133</v>
      </c>
      <c r="M593" s="313"/>
      <c r="N593" s="313"/>
      <c r="O593" s="313"/>
      <c r="P593" s="313"/>
      <c r="Q593" s="313"/>
    </row>
    <row r="594" spans="1:24" x14ac:dyDescent="0.2">
      <c r="A594" s="312">
        <v>28</v>
      </c>
      <c r="B594" s="423" t="s">
        <v>1049</v>
      </c>
      <c r="C594" s="311"/>
      <c r="D594" s="313">
        <v>53284218</v>
      </c>
      <c r="E594" s="313"/>
      <c r="F594" s="313">
        <v>50152056</v>
      </c>
      <c r="G594" s="313"/>
      <c r="H594" s="313">
        <v>2517072</v>
      </c>
      <c r="I594" s="313"/>
      <c r="J594" s="313">
        <v>615089</v>
      </c>
      <c r="K594" s="313">
        <v>323451</v>
      </c>
      <c r="L594" s="313">
        <v>291638</v>
      </c>
      <c r="M594" s="313"/>
      <c r="N594" s="313"/>
      <c r="O594" s="313"/>
      <c r="P594" s="313"/>
      <c r="Q594" s="313"/>
    </row>
    <row r="595" spans="1:24" x14ac:dyDescent="0.2">
      <c r="A595" s="312">
        <v>29</v>
      </c>
      <c r="B595" s="423" t="s">
        <v>1050</v>
      </c>
      <c r="C595" s="311"/>
      <c r="D595" s="313">
        <v>22878471</v>
      </c>
      <c r="E595" s="313"/>
      <c r="F595" s="313">
        <v>22157158</v>
      </c>
      <c r="G595" s="313"/>
      <c r="H595" s="313">
        <v>678002</v>
      </c>
      <c r="I595" s="313"/>
      <c r="J595" s="313">
        <v>106904</v>
      </c>
      <c r="K595" s="313">
        <v>49275</v>
      </c>
      <c r="L595" s="313">
        <v>57629</v>
      </c>
      <c r="M595" s="313"/>
      <c r="N595" s="313"/>
      <c r="O595" s="313"/>
      <c r="P595" s="313"/>
      <c r="Q595" s="313"/>
    </row>
    <row r="596" spans="1:24" x14ac:dyDescent="0.2">
      <c r="A596" s="312">
        <v>30</v>
      </c>
      <c r="B596" s="426" t="s">
        <v>1766</v>
      </c>
      <c r="C596" s="311"/>
      <c r="D596" s="313">
        <v>0</v>
      </c>
      <c r="E596" s="313"/>
      <c r="F596" s="313">
        <v>0</v>
      </c>
      <c r="G596" s="313"/>
      <c r="H596" s="313">
        <v>0</v>
      </c>
      <c r="I596" s="313"/>
      <c r="J596" s="313">
        <v>0</v>
      </c>
      <c r="K596" s="313">
        <v>0</v>
      </c>
      <c r="L596" s="313">
        <v>0</v>
      </c>
      <c r="M596" s="313"/>
      <c r="N596" s="313"/>
      <c r="O596" s="313"/>
      <c r="P596" s="313"/>
      <c r="Q596" s="313"/>
    </row>
    <row r="597" spans="1:24" x14ac:dyDescent="0.2">
      <c r="A597" s="312">
        <v>31</v>
      </c>
      <c r="B597" s="426" t="s">
        <v>1767</v>
      </c>
      <c r="C597" s="311"/>
      <c r="D597" s="313">
        <v>0</v>
      </c>
      <c r="E597" s="313"/>
      <c r="F597" s="313">
        <v>0</v>
      </c>
      <c r="G597" s="313"/>
      <c r="H597" s="313">
        <v>0</v>
      </c>
      <c r="I597" s="313"/>
      <c r="J597" s="313">
        <v>0</v>
      </c>
      <c r="K597" s="313">
        <v>0</v>
      </c>
      <c r="L597" s="313">
        <v>0</v>
      </c>
      <c r="M597" s="313"/>
      <c r="N597" s="313"/>
      <c r="O597" s="313"/>
      <c r="P597" s="313"/>
      <c r="Q597" s="313"/>
    </row>
    <row r="598" spans="1:24" x14ac:dyDescent="0.2">
      <c r="A598" s="312">
        <v>32</v>
      </c>
      <c r="B598" s="426" t="s">
        <v>1768</v>
      </c>
      <c r="C598" s="311"/>
      <c r="D598" s="313">
        <v>194934</v>
      </c>
      <c r="E598" s="313"/>
      <c r="F598" s="313">
        <v>0</v>
      </c>
      <c r="G598" s="313"/>
      <c r="H598" s="313">
        <v>4637</v>
      </c>
      <c r="I598" s="313"/>
      <c r="J598" s="313">
        <v>0</v>
      </c>
      <c r="K598" s="313">
        <v>0</v>
      </c>
      <c r="L598" s="313">
        <v>0</v>
      </c>
      <c r="M598" s="313"/>
      <c r="N598" s="313"/>
      <c r="O598" s="313"/>
      <c r="P598" s="313"/>
      <c r="Q598" s="313"/>
    </row>
    <row r="599" spans="1:24" x14ac:dyDescent="0.2">
      <c r="A599" s="312">
        <v>33</v>
      </c>
      <c r="B599" s="426" t="s">
        <v>1769</v>
      </c>
      <c r="C599" s="311"/>
      <c r="D599" s="313">
        <v>532644</v>
      </c>
      <c r="E599" s="313"/>
      <c r="F599" s="313">
        <v>0</v>
      </c>
      <c r="G599" s="313"/>
      <c r="H599" s="313">
        <v>18854</v>
      </c>
      <c r="I599" s="313"/>
      <c r="J599" s="313">
        <v>0</v>
      </c>
      <c r="K599" s="313">
        <v>0</v>
      </c>
      <c r="L599" s="313">
        <v>0</v>
      </c>
      <c r="M599" s="313"/>
      <c r="N599" s="313"/>
      <c r="O599" s="313"/>
      <c r="P599" s="313"/>
      <c r="Q599" s="313"/>
    </row>
    <row r="600" spans="1:24" x14ac:dyDescent="0.2">
      <c r="A600" s="312">
        <v>34</v>
      </c>
      <c r="B600" s="423" t="s">
        <v>1051</v>
      </c>
      <c r="C600" s="311"/>
      <c r="D600" s="313">
        <v>0</v>
      </c>
      <c r="E600" s="313"/>
      <c r="F600" s="313">
        <v>0</v>
      </c>
      <c r="G600" s="313"/>
      <c r="H600" s="313">
        <v>0</v>
      </c>
      <c r="I600" s="313"/>
      <c r="J600" s="313">
        <v>0</v>
      </c>
      <c r="K600" s="313">
        <v>0</v>
      </c>
      <c r="L600" s="313">
        <v>0</v>
      </c>
      <c r="M600" s="313"/>
      <c r="N600" s="313"/>
      <c r="O600" s="313"/>
      <c r="P600" s="313"/>
      <c r="Q600" s="313"/>
    </row>
    <row r="601" spans="1:24" x14ac:dyDescent="0.2">
      <c r="A601" s="312">
        <v>35</v>
      </c>
      <c r="B601" s="423" t="s">
        <v>1052</v>
      </c>
      <c r="C601" s="311"/>
      <c r="D601" s="313">
        <v>1443699434</v>
      </c>
      <c r="E601" s="313"/>
      <c r="F601" s="313">
        <v>1354932056</v>
      </c>
      <c r="G601" s="313"/>
      <c r="H601" s="313">
        <v>66407433</v>
      </c>
      <c r="I601" s="313"/>
      <c r="J601" s="313">
        <v>21719451</v>
      </c>
      <c r="K601" s="313">
        <v>11171666</v>
      </c>
      <c r="L601" s="313">
        <v>10547786</v>
      </c>
      <c r="M601" s="313"/>
      <c r="N601" s="313"/>
      <c r="O601" s="313"/>
      <c r="P601" s="313"/>
      <c r="Q601" s="313"/>
    </row>
    <row r="602" spans="1:24" ht="13.5" thickBot="1" x14ac:dyDescent="0.25">
      <c r="A602" s="45"/>
      <c r="B602" s="45"/>
      <c r="C602" s="311"/>
      <c r="D602" s="313"/>
      <c r="E602" s="313"/>
      <c r="F602" s="313"/>
      <c r="G602" s="313"/>
      <c r="H602" s="313"/>
      <c r="I602" s="313"/>
      <c r="J602" s="313"/>
      <c r="K602" s="313"/>
      <c r="L602" s="313"/>
      <c r="M602" s="313"/>
      <c r="N602" s="313"/>
      <c r="O602" s="313" t="s">
        <v>1770</v>
      </c>
      <c r="P602" s="313"/>
      <c r="Q602" s="313"/>
      <c r="T602" s="116"/>
    </row>
    <row r="603" spans="1:24" ht="13.5" thickBot="1" x14ac:dyDescent="0.25">
      <c r="A603" s="312">
        <v>36</v>
      </c>
      <c r="B603" s="423" t="s">
        <v>1053</v>
      </c>
      <c r="C603" s="311"/>
      <c r="D603" s="313">
        <v>303333736</v>
      </c>
      <c r="E603" s="313"/>
      <c r="F603" s="313">
        <v>289051001</v>
      </c>
      <c r="G603" s="313"/>
      <c r="H603" s="313">
        <v>12169795</v>
      </c>
      <c r="I603" s="313"/>
      <c r="J603" s="313">
        <v>2753434</v>
      </c>
      <c r="K603" s="313">
        <v>1428109</v>
      </c>
      <c r="L603" s="313">
        <v>1325325</v>
      </c>
      <c r="M603" s="313"/>
      <c r="N603" s="313"/>
      <c r="O603" s="313">
        <v>203907068</v>
      </c>
      <c r="P603" s="313"/>
      <c r="Q603" s="313"/>
      <c r="R603" s="492">
        <v>100154246.48</v>
      </c>
      <c r="S603" s="53" t="s">
        <v>2523</v>
      </c>
      <c r="T603" s="384"/>
      <c r="W603" s="355"/>
      <c r="X603" s="45"/>
    </row>
    <row r="604" spans="1:24" x14ac:dyDescent="0.2">
      <c r="A604" s="312">
        <v>37</v>
      </c>
      <c r="B604" s="423" t="s">
        <v>1054</v>
      </c>
      <c r="C604" s="311"/>
      <c r="D604" s="322">
        <v>4.9200000000000001E-2</v>
      </c>
      <c r="E604" s="45"/>
      <c r="F604" s="322">
        <v>4.9599999999999998E-2</v>
      </c>
      <c r="G604" s="322"/>
      <c r="H604" s="322">
        <v>3.8199999999999998E-2</v>
      </c>
      <c r="I604" s="322"/>
      <c r="J604" s="493">
        <v>3.5400000000000001E-2</v>
      </c>
      <c r="K604" s="322">
        <v>3.4799999999999998E-2</v>
      </c>
      <c r="L604" s="322">
        <v>3.5999999999999997E-2</v>
      </c>
      <c r="M604" s="322"/>
      <c r="N604" s="322"/>
      <c r="O604" s="322"/>
      <c r="P604" s="322"/>
      <c r="Q604" s="322"/>
      <c r="T604" s="356"/>
      <c r="W604" s="319"/>
    </row>
    <row r="605" spans="1:24" x14ac:dyDescent="0.2">
      <c r="A605" s="45"/>
      <c r="B605" s="45"/>
      <c r="C605" s="311"/>
      <c r="D605" s="45"/>
      <c r="E605" s="45"/>
      <c r="F605" s="45"/>
      <c r="G605" s="45"/>
      <c r="H605" s="45"/>
      <c r="I605" s="45"/>
      <c r="J605" s="45"/>
      <c r="K605" s="45"/>
      <c r="L605" s="45"/>
      <c r="M605" s="45"/>
      <c r="N605" s="45"/>
      <c r="O605" s="45"/>
      <c r="P605" s="45"/>
      <c r="Q605" s="45"/>
    </row>
    <row r="606" spans="1:24" x14ac:dyDescent="0.2">
      <c r="A606" s="45"/>
      <c r="B606" s="45"/>
      <c r="C606" s="311"/>
      <c r="D606" s="323"/>
      <c r="E606" s="45"/>
      <c r="F606" s="323"/>
      <c r="G606" s="323"/>
      <c r="H606" s="323"/>
      <c r="I606" s="323"/>
      <c r="J606" s="45"/>
      <c r="K606" s="323"/>
      <c r="L606" s="323"/>
      <c r="M606" s="323"/>
      <c r="N606" s="323"/>
      <c r="O606" s="323"/>
      <c r="P606" s="323"/>
      <c r="Q606" s="323"/>
    </row>
    <row r="607" spans="1:24" x14ac:dyDescent="0.2">
      <c r="A607" s="45"/>
      <c r="B607" s="45"/>
      <c r="C607" s="311"/>
      <c r="D607" s="45"/>
      <c r="E607" s="45"/>
      <c r="F607" s="45"/>
      <c r="G607" s="45"/>
      <c r="H607" s="45"/>
      <c r="I607" s="45"/>
      <c r="J607" s="45"/>
      <c r="K607" s="45"/>
      <c r="L607" s="45"/>
      <c r="M607" s="45"/>
      <c r="N607" s="45"/>
      <c r="O607" s="45"/>
      <c r="P607" s="45"/>
      <c r="Q607" s="45"/>
    </row>
    <row r="608" spans="1:24" x14ac:dyDescent="0.2">
      <c r="A608" s="45"/>
      <c r="B608" s="45"/>
      <c r="C608" s="311"/>
      <c r="D608" s="45"/>
      <c r="E608" s="45"/>
      <c r="F608" s="45"/>
      <c r="G608" s="45"/>
      <c r="H608" s="45"/>
      <c r="I608" s="45"/>
      <c r="J608" s="45"/>
      <c r="K608" s="45"/>
      <c r="L608" s="45"/>
      <c r="M608" s="45"/>
      <c r="N608" s="45"/>
      <c r="O608" s="45"/>
      <c r="P608" s="45"/>
      <c r="Q608" s="45"/>
    </row>
    <row r="609" spans="1:25" x14ac:dyDescent="0.2">
      <c r="A609" s="45"/>
      <c r="B609" s="425" t="s">
        <v>1055</v>
      </c>
      <c r="C609" s="311"/>
      <c r="D609" s="45"/>
      <c r="E609" s="45"/>
      <c r="F609" s="45"/>
      <c r="G609" s="45"/>
      <c r="H609" s="45"/>
      <c r="I609" s="45"/>
      <c r="J609" s="45"/>
      <c r="K609" s="45"/>
      <c r="L609" s="45"/>
      <c r="M609" s="45"/>
      <c r="N609" s="45"/>
      <c r="O609" s="45"/>
      <c r="P609" s="45"/>
      <c r="Q609" s="45"/>
    </row>
    <row r="610" spans="1:25" x14ac:dyDescent="0.2">
      <c r="A610" s="45"/>
      <c r="B610" s="45"/>
      <c r="C610" s="311"/>
      <c r="D610" s="45"/>
      <c r="E610" s="45"/>
      <c r="F610" s="45"/>
      <c r="G610" s="45"/>
      <c r="H610" s="45"/>
      <c r="I610" s="45"/>
      <c r="J610" s="45"/>
      <c r="K610" s="45"/>
      <c r="L610" s="45"/>
      <c r="M610" s="45"/>
      <c r="N610" s="45"/>
      <c r="O610" s="45"/>
      <c r="P610" s="45"/>
      <c r="Q610" s="45"/>
    </row>
    <row r="611" spans="1:25" x14ac:dyDescent="0.2">
      <c r="A611" s="45"/>
      <c r="B611" s="423" t="s">
        <v>1056</v>
      </c>
      <c r="C611" s="311"/>
      <c r="D611" s="45"/>
      <c r="E611" s="45"/>
      <c r="F611" s="45"/>
      <c r="G611" s="45"/>
      <c r="H611" s="45"/>
      <c r="I611" s="45"/>
      <c r="J611" s="45"/>
      <c r="K611" s="45"/>
      <c r="L611" s="45"/>
      <c r="M611" s="45"/>
      <c r="N611" s="45"/>
      <c r="O611" s="45"/>
      <c r="P611" s="45"/>
      <c r="Q611" s="45"/>
    </row>
    <row r="612" spans="1:25" x14ac:dyDescent="0.2">
      <c r="A612" s="312">
        <v>1</v>
      </c>
      <c r="B612" s="426" t="s">
        <v>1957</v>
      </c>
      <c r="C612" s="424" t="s">
        <v>1423</v>
      </c>
      <c r="D612" s="313">
        <v>44456</v>
      </c>
      <c r="E612" s="45"/>
      <c r="F612" s="313">
        <v>41552</v>
      </c>
      <c r="G612" s="313"/>
      <c r="H612" s="313">
        <v>2318</v>
      </c>
      <c r="I612" s="313"/>
      <c r="J612" s="313">
        <v>587</v>
      </c>
      <c r="K612" s="313">
        <v>307</v>
      </c>
      <c r="L612" s="313">
        <v>280</v>
      </c>
      <c r="M612" s="313"/>
      <c r="N612" s="313"/>
      <c r="O612" s="313">
        <v>44456</v>
      </c>
      <c r="P612" s="313"/>
      <c r="Q612" s="313"/>
      <c r="R612" s="313"/>
      <c r="S612" s="313"/>
      <c r="T612" s="313"/>
      <c r="U612" s="319"/>
      <c r="V612" s="319"/>
      <c r="W612" s="319"/>
      <c r="X612" s="319"/>
      <c r="Y612" s="319"/>
    </row>
    <row r="613" spans="1:25" x14ac:dyDescent="0.2">
      <c r="A613" s="312">
        <v>2</v>
      </c>
      <c r="B613" s="426" t="s">
        <v>1958</v>
      </c>
      <c r="C613" s="424" t="s">
        <v>1425</v>
      </c>
      <c r="D613" s="313">
        <v>144369</v>
      </c>
      <c r="E613" s="45"/>
      <c r="F613" s="313">
        <v>144369</v>
      </c>
      <c r="G613" s="313"/>
      <c r="H613" s="313">
        <v>0</v>
      </c>
      <c r="I613" s="313"/>
      <c r="J613" s="313">
        <v>0</v>
      </c>
      <c r="K613" s="313">
        <v>0</v>
      </c>
      <c r="L613" s="313">
        <v>0</v>
      </c>
      <c r="M613" s="313"/>
      <c r="N613" s="313"/>
      <c r="O613" s="313">
        <v>144369</v>
      </c>
      <c r="P613" s="313"/>
      <c r="Q613" s="313"/>
      <c r="R613" s="313"/>
      <c r="S613" s="313"/>
      <c r="T613" s="313"/>
      <c r="U613" s="324"/>
      <c r="V613" s="319"/>
      <c r="W613" s="319"/>
      <c r="X613" s="319"/>
      <c r="Y613" s="319"/>
    </row>
    <row r="614" spans="1:25" x14ac:dyDescent="0.2">
      <c r="A614" s="312">
        <v>3</v>
      </c>
      <c r="B614" s="426" t="s">
        <v>1959</v>
      </c>
      <c r="C614" s="424" t="s">
        <v>1423</v>
      </c>
      <c r="D614" s="313">
        <v>112943498</v>
      </c>
      <c r="E614" s="45"/>
      <c r="F614" s="313">
        <v>105565478</v>
      </c>
      <c r="G614" s="313"/>
      <c r="H614" s="313">
        <v>5887867</v>
      </c>
      <c r="I614" s="313"/>
      <c r="J614" s="313">
        <v>1490153</v>
      </c>
      <c r="K614" s="313">
        <v>779709</v>
      </c>
      <c r="L614" s="313">
        <v>710444</v>
      </c>
      <c r="M614" s="313"/>
      <c r="N614" s="313"/>
      <c r="O614" s="313">
        <v>112943498</v>
      </c>
      <c r="P614" s="313"/>
      <c r="Q614" s="313"/>
      <c r="R614" s="313"/>
      <c r="S614" s="313"/>
      <c r="T614" s="313"/>
      <c r="U614" s="324"/>
    </row>
    <row r="615" spans="1:25" x14ac:dyDescent="0.2">
      <c r="A615" s="312">
        <v>4</v>
      </c>
      <c r="B615" s="423" t="s">
        <v>1057</v>
      </c>
      <c r="C615" s="311"/>
      <c r="D615" s="313">
        <v>113132322</v>
      </c>
      <c r="E615" s="45"/>
      <c r="F615" s="313">
        <v>105751398</v>
      </c>
      <c r="G615" s="313"/>
      <c r="H615" s="313">
        <v>5890184</v>
      </c>
      <c r="I615" s="313"/>
      <c r="J615" s="313">
        <v>1490740</v>
      </c>
      <c r="K615" s="313">
        <v>780016</v>
      </c>
      <c r="L615" s="313">
        <v>710724</v>
      </c>
      <c r="M615" s="313"/>
      <c r="N615" s="313"/>
      <c r="O615" s="313"/>
      <c r="P615" s="313" t="s">
        <v>557</v>
      </c>
      <c r="Q615" s="313"/>
      <c r="R615" s="313"/>
      <c r="S615" s="313"/>
      <c r="T615" s="313"/>
      <c r="U615" s="324"/>
    </row>
    <row r="616" spans="1:25" x14ac:dyDescent="0.2">
      <c r="A616" s="45"/>
      <c r="B616" s="45"/>
      <c r="C616" s="311"/>
      <c r="D616" s="45"/>
      <c r="E616" s="45"/>
      <c r="F616" s="313"/>
      <c r="G616" s="313"/>
      <c r="H616" s="313"/>
      <c r="I616" s="313"/>
      <c r="J616" s="313"/>
      <c r="K616" s="313"/>
      <c r="L616" s="313"/>
      <c r="M616" s="313"/>
      <c r="N616" s="313"/>
      <c r="O616" s="313"/>
      <c r="P616" s="313"/>
      <c r="Q616" s="313"/>
      <c r="R616" s="313"/>
      <c r="S616" s="313"/>
      <c r="T616" s="313"/>
    </row>
    <row r="617" spans="1:25" x14ac:dyDescent="0.2">
      <c r="A617" s="45"/>
      <c r="B617" s="423" t="s">
        <v>1058</v>
      </c>
      <c r="C617" s="311"/>
      <c r="D617" s="45"/>
      <c r="E617" s="45"/>
      <c r="F617" s="313"/>
      <c r="G617" s="313"/>
      <c r="H617" s="313"/>
      <c r="I617" s="313"/>
      <c r="J617" s="313"/>
      <c r="K617" s="313"/>
      <c r="L617" s="313"/>
      <c r="M617" s="313"/>
      <c r="N617" s="313"/>
      <c r="O617" s="313"/>
      <c r="P617" s="313"/>
      <c r="Q617" s="313"/>
      <c r="R617" s="313"/>
      <c r="S617" s="313"/>
      <c r="T617" s="313"/>
      <c r="U617" s="319"/>
      <c r="V617" s="319"/>
      <c r="W617" s="319"/>
      <c r="X617" s="319"/>
      <c r="Y617" s="319"/>
    </row>
    <row r="618" spans="1:25" x14ac:dyDescent="0.2">
      <c r="A618" s="45"/>
      <c r="B618" s="426" t="s">
        <v>1960</v>
      </c>
      <c r="C618" s="311"/>
      <c r="D618" s="45"/>
      <c r="E618" s="45"/>
      <c r="F618" s="313"/>
      <c r="G618" s="313"/>
      <c r="H618" s="313"/>
      <c r="I618" s="313"/>
      <c r="J618" s="313"/>
      <c r="K618" s="313"/>
      <c r="L618" s="313"/>
      <c r="M618" s="313"/>
      <c r="N618" s="313"/>
      <c r="O618" s="313"/>
      <c r="P618" s="313"/>
      <c r="Q618" s="313"/>
      <c r="R618" s="313" t="s">
        <v>1988</v>
      </c>
      <c r="S618" s="313"/>
      <c r="T618" s="313"/>
      <c r="U618" s="319"/>
      <c r="V618" s="319"/>
      <c r="W618" s="324"/>
      <c r="X618" s="319"/>
      <c r="Y618" s="319"/>
    </row>
    <row r="619" spans="1:25" x14ac:dyDescent="0.2">
      <c r="A619" s="312">
        <v>5</v>
      </c>
      <c r="B619" s="426" t="s">
        <v>1961</v>
      </c>
      <c r="C619" s="424" t="s">
        <v>1270</v>
      </c>
      <c r="D619" s="313">
        <v>25383482</v>
      </c>
      <c r="E619" s="45"/>
      <c r="F619" s="313">
        <v>23812574</v>
      </c>
      <c r="G619" s="313"/>
      <c r="H619" s="313">
        <v>1078420</v>
      </c>
      <c r="I619" s="313"/>
      <c r="J619" s="313">
        <v>492487</v>
      </c>
      <c r="K619" s="313">
        <v>249817</v>
      </c>
      <c r="L619" s="313">
        <v>242670</v>
      </c>
      <c r="M619" s="313"/>
      <c r="N619" s="313"/>
      <c r="O619" s="313">
        <v>25383482</v>
      </c>
      <c r="P619" s="313"/>
      <c r="Q619" s="313"/>
      <c r="R619" s="313"/>
      <c r="S619" s="313"/>
      <c r="T619" s="313"/>
      <c r="U619" s="324"/>
      <c r="V619" s="319"/>
      <c r="W619" s="319"/>
      <c r="X619" s="319"/>
      <c r="Y619" s="319"/>
    </row>
    <row r="620" spans="1:25" x14ac:dyDescent="0.2">
      <c r="A620" s="312">
        <v>6</v>
      </c>
      <c r="B620" s="426" t="s">
        <v>1962</v>
      </c>
      <c r="C620" s="424" t="s">
        <v>1270</v>
      </c>
      <c r="D620" s="313">
        <v>356830966</v>
      </c>
      <c r="E620" s="45"/>
      <c r="F620" s="313">
        <v>334747763</v>
      </c>
      <c r="G620" s="313"/>
      <c r="H620" s="313">
        <v>15160008</v>
      </c>
      <c r="I620" s="313"/>
      <c r="J620" s="313">
        <v>6923194</v>
      </c>
      <c r="K620" s="313">
        <v>3511832</v>
      </c>
      <c r="L620" s="313">
        <v>3411363</v>
      </c>
      <c r="M620" s="313"/>
      <c r="N620" s="313"/>
      <c r="O620" s="313">
        <v>356830966</v>
      </c>
      <c r="P620" s="313"/>
      <c r="Q620" s="313"/>
      <c r="R620" s="313">
        <v>1253854</v>
      </c>
      <c r="S620" s="313"/>
      <c r="T620" s="313"/>
      <c r="U620" s="324"/>
      <c r="V620" s="319"/>
      <c r="W620" s="319"/>
      <c r="X620" s="319"/>
      <c r="Y620" s="319"/>
    </row>
    <row r="621" spans="1:25" x14ac:dyDescent="0.2">
      <c r="A621" s="312">
        <v>7</v>
      </c>
      <c r="B621" s="426" t="s">
        <v>1963</v>
      </c>
      <c r="C621" s="424" t="s">
        <v>1270</v>
      </c>
      <c r="D621" s="313">
        <v>4413195225</v>
      </c>
      <c r="E621" s="45"/>
      <c r="F621" s="313">
        <v>4140075759</v>
      </c>
      <c r="G621" s="313"/>
      <c r="H621" s="313">
        <v>187495147</v>
      </c>
      <c r="I621" s="313"/>
      <c r="J621" s="313">
        <v>85624318</v>
      </c>
      <c r="K621" s="313">
        <v>43433445</v>
      </c>
      <c r="L621" s="313">
        <v>42190873</v>
      </c>
      <c r="M621" s="313"/>
      <c r="N621" s="313"/>
      <c r="O621" s="313">
        <v>4413195225</v>
      </c>
      <c r="P621" s="313"/>
      <c r="Q621" s="313"/>
      <c r="R621" s="313">
        <v>9653592</v>
      </c>
      <c r="S621" s="313"/>
      <c r="T621" s="313"/>
      <c r="U621" s="324"/>
      <c r="V621" s="319"/>
      <c r="W621" s="319"/>
      <c r="X621" s="319"/>
      <c r="Y621" s="319"/>
    </row>
    <row r="622" spans="1:25" x14ac:dyDescent="0.2">
      <c r="A622" s="312">
        <v>8</v>
      </c>
      <c r="B622" s="426" t="s">
        <v>1964</v>
      </c>
      <c r="C622" s="424" t="s">
        <v>1270</v>
      </c>
      <c r="D622" s="313">
        <v>371776675</v>
      </c>
      <c r="E622" s="45"/>
      <c r="F622" s="313">
        <v>348768527</v>
      </c>
      <c r="G622" s="313"/>
      <c r="H622" s="313">
        <v>15794978</v>
      </c>
      <c r="I622" s="313"/>
      <c r="J622" s="313">
        <v>7213169</v>
      </c>
      <c r="K622" s="313">
        <v>3658923</v>
      </c>
      <c r="L622" s="313">
        <v>3554246</v>
      </c>
      <c r="M622" s="313"/>
      <c r="N622" s="313"/>
      <c r="O622" s="313">
        <v>371776675</v>
      </c>
      <c r="P622" s="313"/>
      <c r="Q622" s="313"/>
      <c r="R622" s="313">
        <v>1538557</v>
      </c>
      <c r="S622" s="313"/>
      <c r="T622" s="313"/>
      <c r="U622" s="324"/>
      <c r="V622" s="319"/>
      <c r="W622" s="319"/>
      <c r="X622" s="319"/>
      <c r="Y622" s="319"/>
    </row>
    <row r="623" spans="1:25" x14ac:dyDescent="0.2">
      <c r="A623" s="312">
        <v>9</v>
      </c>
      <c r="B623" s="426" t="s">
        <v>1965</v>
      </c>
      <c r="C623" s="424" t="s">
        <v>1270</v>
      </c>
      <c r="D623" s="313">
        <v>260025217</v>
      </c>
      <c r="E623" s="45"/>
      <c r="F623" s="313">
        <v>243933033</v>
      </c>
      <c r="G623" s="313"/>
      <c r="H623" s="313">
        <v>11047204</v>
      </c>
      <c r="I623" s="313"/>
      <c r="J623" s="313">
        <v>5044980</v>
      </c>
      <c r="K623" s="313">
        <v>2559096</v>
      </c>
      <c r="L623" s="313">
        <v>2485884</v>
      </c>
      <c r="M623" s="313"/>
      <c r="N623" s="313"/>
      <c r="O623" s="313">
        <v>260025217</v>
      </c>
      <c r="P623" s="313"/>
      <c r="Q623" s="313"/>
      <c r="R623" s="313">
        <v>1111502</v>
      </c>
      <c r="S623" s="313"/>
      <c r="T623" s="313"/>
      <c r="U623" s="324"/>
      <c r="V623" s="319"/>
      <c r="W623" s="319"/>
      <c r="X623" s="319"/>
      <c r="Y623" s="319"/>
    </row>
    <row r="624" spans="1:25" x14ac:dyDescent="0.2">
      <c r="A624" s="312">
        <v>10</v>
      </c>
      <c r="B624" s="426" t="s">
        <v>1966</v>
      </c>
      <c r="C624" s="424" t="s">
        <v>1270</v>
      </c>
      <c r="D624" s="313">
        <v>47960436</v>
      </c>
      <c r="E624" s="45"/>
      <c r="F624" s="313">
        <v>44992308</v>
      </c>
      <c r="G624" s="313"/>
      <c r="H624" s="313">
        <v>2037605</v>
      </c>
      <c r="I624" s="313"/>
      <c r="J624" s="313">
        <v>930523</v>
      </c>
      <c r="K624" s="313">
        <v>472013</v>
      </c>
      <c r="L624" s="313">
        <v>458510</v>
      </c>
      <c r="M624" s="313"/>
      <c r="N624" s="313"/>
      <c r="O624" s="313">
        <v>47960436</v>
      </c>
      <c r="P624" s="313"/>
      <c r="Q624" s="313"/>
      <c r="R624" s="313">
        <v>99995</v>
      </c>
      <c r="S624" s="313"/>
      <c r="T624" s="313"/>
      <c r="U624" s="324"/>
      <c r="V624" s="319"/>
      <c r="W624" s="319"/>
      <c r="X624" s="319"/>
      <c r="Y624" s="319"/>
    </row>
    <row r="625" spans="1:25" x14ac:dyDescent="0.2">
      <c r="A625" s="312">
        <v>11</v>
      </c>
      <c r="B625" s="426" t="s">
        <v>1967</v>
      </c>
      <c r="C625" s="424" t="s">
        <v>1270</v>
      </c>
      <c r="D625" s="313">
        <v>158472628</v>
      </c>
      <c r="E625" s="45"/>
      <c r="F625" s="313">
        <v>148665231</v>
      </c>
      <c r="G625" s="313"/>
      <c r="H625" s="313">
        <v>6732729</v>
      </c>
      <c r="I625" s="313"/>
      <c r="J625" s="313">
        <v>3074668</v>
      </c>
      <c r="K625" s="313">
        <v>1559644</v>
      </c>
      <c r="L625" s="313">
        <v>1515024</v>
      </c>
      <c r="M625" s="313"/>
      <c r="N625" s="313"/>
      <c r="O625" s="313">
        <v>158472628</v>
      </c>
      <c r="P625" s="313"/>
      <c r="Q625" s="313"/>
      <c r="R625" s="313">
        <v>13657500</v>
      </c>
      <c r="S625" s="313"/>
      <c r="T625" s="313"/>
      <c r="U625" s="324"/>
      <c r="V625" s="319"/>
      <c r="W625" s="319"/>
      <c r="X625" s="319"/>
      <c r="Y625" s="319"/>
    </row>
    <row r="626" spans="1:25" x14ac:dyDescent="0.2">
      <c r="A626" s="312">
        <v>12</v>
      </c>
      <c r="B626" s="426" t="s">
        <v>1968</v>
      </c>
      <c r="C626" s="424" t="s">
        <v>1272</v>
      </c>
      <c r="D626" s="313">
        <v>7769120</v>
      </c>
      <c r="E626" s="45"/>
      <c r="F626" s="313">
        <v>3996228</v>
      </c>
      <c r="G626" s="313"/>
      <c r="H626" s="313">
        <v>2590071</v>
      </c>
      <c r="I626" s="313"/>
      <c r="J626" s="313">
        <v>1182820</v>
      </c>
      <c r="K626" s="313">
        <v>599993</v>
      </c>
      <c r="L626" s="313">
        <v>582828</v>
      </c>
      <c r="M626" s="313"/>
      <c r="N626" s="313"/>
      <c r="O626" s="313">
        <v>7769120</v>
      </c>
      <c r="P626" s="313"/>
      <c r="Q626" s="313"/>
      <c r="R626" s="313"/>
      <c r="S626" s="313"/>
      <c r="T626" s="313"/>
      <c r="U626" s="324"/>
    </row>
    <row r="627" spans="1:25" x14ac:dyDescent="0.2">
      <c r="A627" s="312">
        <v>13</v>
      </c>
      <c r="B627" s="426" t="s">
        <v>1969</v>
      </c>
      <c r="C627" s="424" t="s">
        <v>1278</v>
      </c>
      <c r="D627" s="313">
        <v>5888380</v>
      </c>
      <c r="E627" s="45"/>
      <c r="F627" s="313">
        <v>4543558</v>
      </c>
      <c r="G627" s="313"/>
      <c r="H627" s="313">
        <v>0</v>
      </c>
      <c r="I627" s="313"/>
      <c r="J627" s="313">
        <v>1344822</v>
      </c>
      <c r="K627" s="313">
        <v>682169</v>
      </c>
      <c r="L627" s="313">
        <v>662653</v>
      </c>
      <c r="M627" s="313"/>
      <c r="N627" s="313"/>
      <c r="O627" s="313">
        <v>5888380</v>
      </c>
      <c r="P627" s="313"/>
      <c r="Q627" s="313"/>
      <c r="R627" s="313"/>
      <c r="S627" s="313"/>
      <c r="T627" s="313"/>
      <c r="U627" s="324"/>
    </row>
    <row r="628" spans="1:25" x14ac:dyDescent="0.2">
      <c r="A628" s="312">
        <v>14</v>
      </c>
      <c r="B628" s="426" t="s">
        <v>1355</v>
      </c>
      <c r="C628" s="45"/>
      <c r="D628" s="313">
        <v>5647302128</v>
      </c>
      <c r="E628" s="45"/>
      <c r="F628" s="313">
        <v>5293534982</v>
      </c>
      <c r="G628" s="313"/>
      <c r="H628" s="313">
        <v>241936163</v>
      </c>
      <c r="I628" s="313"/>
      <c r="J628" s="313">
        <v>111830983</v>
      </c>
      <c r="K628" s="313">
        <v>56726932</v>
      </c>
      <c r="L628" s="313">
        <v>55104051</v>
      </c>
      <c r="M628" s="313"/>
      <c r="N628" s="313"/>
      <c r="O628" s="313">
        <v>5647302128</v>
      </c>
      <c r="P628" s="313" t="s">
        <v>557</v>
      </c>
      <c r="Q628" s="313" t="s">
        <v>557</v>
      </c>
      <c r="R628" s="313" t="s">
        <v>1061</v>
      </c>
      <c r="S628" s="313"/>
      <c r="T628" s="313"/>
      <c r="U628" s="324"/>
      <c r="V628" s="324"/>
    </row>
    <row r="629" spans="1:25" x14ac:dyDescent="0.2">
      <c r="A629" s="45"/>
      <c r="B629" s="45"/>
      <c r="C629" s="45"/>
      <c r="D629" s="45"/>
      <c r="E629" s="45"/>
      <c r="F629" s="313"/>
      <c r="G629" s="313"/>
      <c r="H629" s="313"/>
      <c r="I629" s="313"/>
      <c r="J629" s="313"/>
      <c r="K629" s="313"/>
      <c r="L629" s="313"/>
      <c r="M629" s="313"/>
      <c r="N629" s="313"/>
      <c r="O629" s="313"/>
      <c r="P629" s="313"/>
      <c r="Q629" s="313"/>
      <c r="R629" s="313"/>
      <c r="S629" s="313"/>
      <c r="T629" s="313"/>
      <c r="U629" s="319"/>
      <c r="V629" s="319"/>
      <c r="W629" s="319"/>
      <c r="X629" s="319"/>
      <c r="Y629" s="319"/>
    </row>
    <row r="630" spans="1:25" x14ac:dyDescent="0.2">
      <c r="A630" s="45"/>
      <c r="B630" s="426" t="s">
        <v>1970</v>
      </c>
      <c r="C630" s="311"/>
      <c r="D630" s="45"/>
      <c r="E630" s="45"/>
      <c r="F630" s="313"/>
      <c r="G630" s="313"/>
      <c r="H630" s="313"/>
      <c r="I630" s="313"/>
      <c r="J630" s="313"/>
      <c r="K630" s="313"/>
      <c r="L630" s="313"/>
      <c r="M630" s="313"/>
      <c r="N630" s="313"/>
      <c r="O630" s="313"/>
      <c r="P630" s="313"/>
      <c r="Q630" s="313"/>
      <c r="R630" s="313"/>
      <c r="S630" s="313"/>
      <c r="T630" s="313"/>
      <c r="U630" s="319"/>
      <c r="V630" s="319"/>
      <c r="W630" s="319"/>
      <c r="X630" s="319"/>
      <c r="Y630" s="319"/>
    </row>
    <row r="631" spans="1:25" x14ac:dyDescent="0.2">
      <c r="A631" s="312">
        <v>15</v>
      </c>
      <c r="B631" s="426" t="s">
        <v>1971</v>
      </c>
      <c r="C631" s="424" t="s">
        <v>1270</v>
      </c>
      <c r="D631" s="313">
        <v>855636</v>
      </c>
      <c r="E631" s="45"/>
      <c r="F631" s="313">
        <v>802684</v>
      </c>
      <c r="G631" s="313"/>
      <c r="H631" s="313">
        <v>36352</v>
      </c>
      <c r="I631" s="313"/>
      <c r="J631" s="313">
        <v>16601</v>
      </c>
      <c r="K631" s="313">
        <v>8421</v>
      </c>
      <c r="L631" s="313">
        <v>8180</v>
      </c>
      <c r="M631" s="313"/>
      <c r="N631" s="313"/>
      <c r="O631" s="313">
        <v>855636</v>
      </c>
      <c r="P631" s="313"/>
      <c r="Q631" s="313"/>
      <c r="R631" s="313"/>
      <c r="S631" s="313"/>
      <c r="T631" s="313"/>
      <c r="U631" s="324"/>
      <c r="V631" s="319"/>
      <c r="W631" s="319"/>
      <c r="X631" s="319"/>
      <c r="Y631" s="319"/>
    </row>
    <row r="632" spans="1:25" x14ac:dyDescent="0.2">
      <c r="A632" s="312">
        <v>16</v>
      </c>
      <c r="B632" s="426" t="s">
        <v>1972</v>
      </c>
      <c r="C632" s="424" t="s">
        <v>1270</v>
      </c>
      <c r="D632" s="313">
        <v>5185319</v>
      </c>
      <c r="E632" s="45"/>
      <c r="F632" s="313">
        <v>4864416</v>
      </c>
      <c r="G632" s="313"/>
      <c r="H632" s="313">
        <v>220299</v>
      </c>
      <c r="I632" s="313"/>
      <c r="J632" s="313">
        <v>100605</v>
      </c>
      <c r="K632" s="313">
        <v>51032</v>
      </c>
      <c r="L632" s="313">
        <v>49573</v>
      </c>
      <c r="M632" s="313"/>
      <c r="N632" s="313"/>
      <c r="O632" s="313">
        <v>5185319</v>
      </c>
      <c r="P632" s="313"/>
      <c r="Q632" s="313"/>
      <c r="R632" s="313">
        <v>851</v>
      </c>
      <c r="S632" s="313"/>
      <c r="T632" s="313"/>
      <c r="U632" s="324"/>
      <c r="V632" s="319"/>
      <c r="W632" s="319"/>
      <c r="X632" s="319"/>
      <c r="Y632" s="319"/>
    </row>
    <row r="633" spans="1:25" x14ac:dyDescent="0.2">
      <c r="A633" s="312">
        <v>17</v>
      </c>
      <c r="B633" s="426" t="s">
        <v>1973</v>
      </c>
      <c r="C633" s="424" t="s">
        <v>1270</v>
      </c>
      <c r="D633" s="313">
        <v>25900914</v>
      </c>
      <c r="E633" s="45"/>
      <c r="F633" s="313">
        <v>24297984</v>
      </c>
      <c r="G633" s="313"/>
      <c r="H633" s="313">
        <v>1100404</v>
      </c>
      <c r="I633" s="313"/>
      <c r="J633" s="313">
        <v>502527</v>
      </c>
      <c r="K633" s="313">
        <v>254910</v>
      </c>
      <c r="L633" s="313">
        <v>247617</v>
      </c>
      <c r="M633" s="313"/>
      <c r="N633" s="313"/>
      <c r="O633" s="313">
        <v>25900914</v>
      </c>
      <c r="P633" s="313"/>
      <c r="Q633" s="313"/>
      <c r="R633" s="313">
        <v>9500</v>
      </c>
      <c r="S633" s="313"/>
      <c r="T633" s="313"/>
      <c r="U633" s="324"/>
      <c r="V633" s="319"/>
      <c r="W633" s="319"/>
      <c r="X633" s="319"/>
      <c r="Y633" s="319"/>
    </row>
    <row r="634" spans="1:25" x14ac:dyDescent="0.2">
      <c r="A634" s="312">
        <v>18</v>
      </c>
      <c r="B634" s="426" t="s">
        <v>1974</v>
      </c>
      <c r="C634" s="424" t="s">
        <v>1270</v>
      </c>
      <c r="D634" s="313">
        <v>14864455</v>
      </c>
      <c r="E634" s="45"/>
      <c r="F634" s="313">
        <v>13944538</v>
      </c>
      <c r="G634" s="313"/>
      <c r="H634" s="313">
        <v>631518</v>
      </c>
      <c r="I634" s="313"/>
      <c r="J634" s="313">
        <v>288398</v>
      </c>
      <c r="K634" s="313">
        <v>146292</v>
      </c>
      <c r="L634" s="313">
        <v>142107</v>
      </c>
      <c r="M634" s="313"/>
      <c r="N634" s="313"/>
      <c r="O634" s="313">
        <v>14864455</v>
      </c>
      <c r="P634" s="313"/>
      <c r="Q634" s="313"/>
      <c r="R634" s="313">
        <v>12939</v>
      </c>
      <c r="S634" s="313"/>
      <c r="T634" s="313"/>
      <c r="U634" s="324"/>
      <c r="V634" s="319"/>
      <c r="W634" s="319"/>
      <c r="X634" s="319"/>
      <c r="Y634" s="319"/>
    </row>
    <row r="635" spans="1:25" x14ac:dyDescent="0.2">
      <c r="A635" s="312">
        <v>19</v>
      </c>
      <c r="B635" s="426" t="s">
        <v>1975</v>
      </c>
      <c r="C635" s="424" t="s">
        <v>1270</v>
      </c>
      <c r="D635" s="313">
        <v>1388844</v>
      </c>
      <c r="E635" s="45"/>
      <c r="F635" s="313">
        <v>1302892</v>
      </c>
      <c r="G635" s="313"/>
      <c r="H635" s="313">
        <v>59005</v>
      </c>
      <c r="I635" s="313"/>
      <c r="J635" s="313">
        <v>26946</v>
      </c>
      <c r="K635" s="313">
        <v>13669</v>
      </c>
      <c r="L635" s="313">
        <v>13278</v>
      </c>
      <c r="M635" s="313"/>
      <c r="N635" s="313"/>
      <c r="O635" s="313">
        <v>1388844</v>
      </c>
      <c r="P635" s="313"/>
      <c r="Q635" s="313"/>
      <c r="R635" s="313">
        <v>859</v>
      </c>
      <c r="S635" s="313"/>
      <c r="T635" s="313"/>
      <c r="U635" s="324"/>
      <c r="V635" s="319"/>
      <c r="W635" s="319"/>
      <c r="X635" s="319"/>
      <c r="Y635" s="319"/>
    </row>
    <row r="636" spans="1:25" x14ac:dyDescent="0.2">
      <c r="A636" s="312">
        <v>20</v>
      </c>
      <c r="B636" s="426" t="s">
        <v>1976</v>
      </c>
      <c r="C636" s="424" t="s">
        <v>1270</v>
      </c>
      <c r="D636" s="313">
        <v>328985</v>
      </c>
      <c r="E636" s="45"/>
      <c r="F636" s="313">
        <v>308625</v>
      </c>
      <c r="G636" s="313"/>
      <c r="H636" s="313">
        <v>13977</v>
      </c>
      <c r="I636" s="313"/>
      <c r="J636" s="313">
        <v>6383</v>
      </c>
      <c r="K636" s="313">
        <v>3238</v>
      </c>
      <c r="L636" s="313">
        <v>3145</v>
      </c>
      <c r="M636" s="313"/>
      <c r="N636" s="313"/>
      <c r="O636" s="313">
        <v>328985</v>
      </c>
      <c r="P636" s="313"/>
      <c r="Q636" s="313"/>
      <c r="R636" s="313">
        <v>389</v>
      </c>
      <c r="S636" s="313"/>
      <c r="T636" s="313"/>
      <c r="U636" s="324"/>
      <c r="V636" s="319"/>
      <c r="W636" s="319"/>
      <c r="X636" s="319"/>
      <c r="Y636" s="319"/>
    </row>
    <row r="637" spans="1:25" x14ac:dyDescent="0.2">
      <c r="A637" s="312">
        <v>21</v>
      </c>
      <c r="B637" s="426" t="s">
        <v>1977</v>
      </c>
      <c r="C637" s="424" t="s">
        <v>1270</v>
      </c>
      <c r="D637" s="313">
        <v>198900</v>
      </c>
      <c r="E637" s="45"/>
      <c r="F637" s="313">
        <v>186591</v>
      </c>
      <c r="G637" s="313"/>
      <c r="H637" s="313">
        <v>8450</v>
      </c>
      <c r="I637" s="313"/>
      <c r="J637" s="313">
        <v>3859</v>
      </c>
      <c r="K637" s="313">
        <v>1958</v>
      </c>
      <c r="L637" s="313">
        <v>1902</v>
      </c>
      <c r="M637" s="313"/>
      <c r="N637" s="313"/>
      <c r="O637" s="313">
        <v>198900</v>
      </c>
      <c r="P637" s="313"/>
      <c r="Q637" s="313"/>
      <c r="R637" s="313">
        <v>24539</v>
      </c>
      <c r="S637" s="313"/>
      <c r="T637" s="313"/>
      <c r="U637" s="324"/>
      <c r="V637" s="319"/>
      <c r="W637" s="319"/>
      <c r="X637" s="319"/>
      <c r="Y637" s="319"/>
    </row>
    <row r="638" spans="1:25" x14ac:dyDescent="0.2">
      <c r="A638" s="312">
        <v>22</v>
      </c>
      <c r="B638" s="426" t="s">
        <v>1978</v>
      </c>
      <c r="C638" s="424" t="s">
        <v>1270</v>
      </c>
      <c r="D638" s="313">
        <v>645788</v>
      </c>
      <c r="E638" s="45"/>
      <c r="F638" s="313">
        <v>605822</v>
      </c>
      <c r="G638" s="313"/>
      <c r="H638" s="313">
        <v>27436</v>
      </c>
      <c r="I638" s="313"/>
      <c r="J638" s="313">
        <v>12530</v>
      </c>
      <c r="K638" s="313">
        <v>6356</v>
      </c>
      <c r="L638" s="313">
        <v>6174</v>
      </c>
      <c r="M638" s="313"/>
      <c r="N638" s="313"/>
      <c r="O638" s="313">
        <v>645788</v>
      </c>
      <c r="P638" s="313"/>
      <c r="Q638" s="313"/>
      <c r="R638" s="313"/>
      <c r="S638" s="313"/>
      <c r="T638" s="313"/>
      <c r="U638" s="324"/>
      <c r="V638" s="319"/>
      <c r="W638" s="319"/>
      <c r="X638" s="319"/>
      <c r="Y638" s="319"/>
    </row>
    <row r="639" spans="1:25" x14ac:dyDescent="0.2">
      <c r="A639" s="312">
        <v>23</v>
      </c>
      <c r="B639" s="426" t="s">
        <v>1968</v>
      </c>
      <c r="C639" s="424" t="s">
        <v>1272</v>
      </c>
      <c r="D639" s="313">
        <v>389</v>
      </c>
      <c r="E639" s="45"/>
      <c r="F639" s="313">
        <v>200</v>
      </c>
      <c r="G639" s="313"/>
      <c r="H639" s="313">
        <v>130</v>
      </c>
      <c r="I639" s="313"/>
      <c r="J639" s="313">
        <v>59</v>
      </c>
      <c r="K639" s="313">
        <v>30</v>
      </c>
      <c r="L639" s="313">
        <v>29</v>
      </c>
      <c r="M639" s="313"/>
      <c r="N639" s="313"/>
      <c r="O639" s="313">
        <v>389</v>
      </c>
      <c r="P639" s="313"/>
      <c r="Q639" s="313"/>
      <c r="R639" s="313"/>
      <c r="S639" s="313"/>
      <c r="T639" s="313"/>
      <c r="U639" s="324"/>
    </row>
    <row r="640" spans="1:25" x14ac:dyDescent="0.2">
      <c r="A640" s="312">
        <v>24</v>
      </c>
      <c r="B640" s="426" t="s">
        <v>1969</v>
      </c>
      <c r="C640" s="424" t="s">
        <v>1278</v>
      </c>
      <c r="D640" s="313">
        <v>24150</v>
      </c>
      <c r="E640" s="45"/>
      <c r="F640" s="313">
        <v>18634</v>
      </c>
      <c r="G640" s="313"/>
      <c r="H640" s="313">
        <v>0</v>
      </c>
      <c r="I640" s="313"/>
      <c r="J640" s="313">
        <v>5515</v>
      </c>
      <c r="K640" s="313">
        <v>2798</v>
      </c>
      <c r="L640" s="313">
        <v>2718</v>
      </c>
      <c r="M640" s="313"/>
      <c r="N640" s="313"/>
      <c r="O640" s="313">
        <v>24150</v>
      </c>
      <c r="P640" s="313"/>
      <c r="Q640" s="313"/>
      <c r="R640" s="313"/>
      <c r="S640" s="313"/>
      <c r="T640" s="313"/>
      <c r="U640" s="324"/>
    </row>
    <row r="641" spans="1:25" x14ac:dyDescent="0.2">
      <c r="A641" s="312">
        <v>25</v>
      </c>
      <c r="B641" s="423" t="s">
        <v>1062</v>
      </c>
      <c r="C641" s="45"/>
      <c r="D641" s="313">
        <v>49393380</v>
      </c>
      <c r="E641" s="45"/>
      <c r="F641" s="313">
        <v>46332385</v>
      </c>
      <c r="G641" s="313"/>
      <c r="H641" s="313">
        <v>2097571</v>
      </c>
      <c r="I641" s="313"/>
      <c r="J641" s="313">
        <v>963423</v>
      </c>
      <c r="K641" s="313">
        <v>488702</v>
      </c>
      <c r="L641" s="313">
        <v>474721</v>
      </c>
      <c r="M641" s="313"/>
      <c r="N641" s="313"/>
      <c r="O641" s="313">
        <v>49393380</v>
      </c>
      <c r="P641" s="313" t="s">
        <v>557</v>
      </c>
      <c r="Q641" s="313" t="s">
        <v>557</v>
      </c>
      <c r="R641" s="313" t="s">
        <v>1063</v>
      </c>
      <c r="S641" s="313"/>
      <c r="T641" s="313"/>
      <c r="U641" s="324"/>
      <c r="V641" s="324"/>
    </row>
    <row r="642" spans="1:25" x14ac:dyDescent="0.2">
      <c r="A642" s="45"/>
      <c r="B642" s="45"/>
      <c r="C642" s="45"/>
      <c r="D642" s="45"/>
      <c r="E642" s="45"/>
      <c r="F642" s="313"/>
      <c r="G642" s="313"/>
      <c r="H642" s="313"/>
      <c r="I642" s="313"/>
      <c r="J642" s="313"/>
      <c r="K642" s="313"/>
      <c r="L642" s="313"/>
      <c r="M642" s="313"/>
      <c r="N642" s="313"/>
      <c r="O642" s="313"/>
      <c r="P642" s="313"/>
      <c r="Q642" s="313"/>
      <c r="R642" s="313"/>
      <c r="S642" s="313"/>
      <c r="T642" s="313"/>
      <c r="U642" s="319"/>
      <c r="V642" s="319"/>
      <c r="W642" s="319"/>
      <c r="X642" s="319"/>
      <c r="Y642" s="319"/>
    </row>
    <row r="643" spans="1:25" x14ac:dyDescent="0.2">
      <c r="A643" s="45"/>
      <c r="B643" s="426" t="s">
        <v>1979</v>
      </c>
      <c r="C643" s="311"/>
      <c r="D643" s="45"/>
      <c r="E643" s="45"/>
      <c r="F643" s="313"/>
      <c r="G643" s="313"/>
      <c r="H643" s="313"/>
      <c r="I643" s="313"/>
      <c r="J643" s="313"/>
      <c r="K643" s="313"/>
      <c r="L643" s="313"/>
      <c r="M643" s="313"/>
      <c r="N643" s="313"/>
      <c r="O643" s="313"/>
      <c r="P643" s="313"/>
      <c r="Q643" s="313"/>
      <c r="R643" s="313"/>
      <c r="S643" s="313" t="s">
        <v>2524</v>
      </c>
      <c r="T643" s="313" t="s">
        <v>2525</v>
      </c>
      <c r="U643" s="319"/>
      <c r="V643" s="319"/>
      <c r="W643" s="319"/>
      <c r="X643" s="319"/>
      <c r="Y643" s="319"/>
    </row>
    <row r="644" spans="1:25" x14ac:dyDescent="0.2">
      <c r="A644" s="312">
        <v>26</v>
      </c>
      <c r="B644" s="426" t="s">
        <v>1980</v>
      </c>
      <c r="C644" s="424" t="s">
        <v>1270</v>
      </c>
      <c r="D644" s="313">
        <v>894513</v>
      </c>
      <c r="E644" s="45"/>
      <c r="F644" s="313">
        <v>861471</v>
      </c>
      <c r="G644" s="313"/>
      <c r="H644" s="313">
        <v>22683</v>
      </c>
      <c r="I644" s="313"/>
      <c r="J644" s="313">
        <v>10359</v>
      </c>
      <c r="K644" s="313">
        <v>5255</v>
      </c>
      <c r="L644" s="313">
        <v>5104</v>
      </c>
      <c r="M644" s="313"/>
      <c r="N644" s="313"/>
      <c r="O644" s="313">
        <v>533901</v>
      </c>
      <c r="P644" s="313"/>
      <c r="Q644" s="313"/>
      <c r="R644" s="313"/>
      <c r="S644" s="313">
        <v>360612</v>
      </c>
      <c r="T644" s="313"/>
      <c r="U644" s="324"/>
      <c r="V644" s="319"/>
      <c r="W644" s="319"/>
      <c r="X644" s="319"/>
      <c r="Y644" s="319"/>
    </row>
    <row r="645" spans="1:25" x14ac:dyDescent="0.2">
      <c r="A645" s="312">
        <v>27</v>
      </c>
      <c r="B645" s="426" t="s">
        <v>1981</v>
      </c>
      <c r="C645" s="424" t="s">
        <v>1270</v>
      </c>
      <c r="D645" s="313">
        <v>90414571</v>
      </c>
      <c r="E645" s="45"/>
      <c r="F645" s="313">
        <v>84869439</v>
      </c>
      <c r="G645" s="313"/>
      <c r="H645" s="313">
        <v>3806705</v>
      </c>
      <c r="I645" s="313"/>
      <c r="J645" s="313">
        <v>1738426</v>
      </c>
      <c r="K645" s="313">
        <v>881827</v>
      </c>
      <c r="L645" s="313">
        <v>856599</v>
      </c>
      <c r="M645" s="313"/>
      <c r="N645" s="313"/>
      <c r="O645" s="313">
        <v>89600893</v>
      </c>
      <c r="P645" s="313"/>
      <c r="Q645" s="313"/>
      <c r="R645" s="313">
        <v>124725</v>
      </c>
      <c r="S645" s="313">
        <v>813678</v>
      </c>
      <c r="T645" s="313"/>
      <c r="U645" s="324"/>
      <c r="V645" s="319"/>
      <c r="W645" s="319"/>
      <c r="X645" s="319"/>
      <c r="Y645" s="319"/>
    </row>
    <row r="646" spans="1:25" x14ac:dyDescent="0.2">
      <c r="A646" s="312">
        <v>28</v>
      </c>
      <c r="B646" s="426" t="s">
        <v>1982</v>
      </c>
      <c r="C646" s="424" t="s">
        <v>1270</v>
      </c>
      <c r="D646" s="313">
        <v>84141317</v>
      </c>
      <c r="E646" s="45"/>
      <c r="F646" s="313">
        <v>78934062</v>
      </c>
      <c r="G646" s="313"/>
      <c r="H646" s="313">
        <v>3574754</v>
      </c>
      <c r="I646" s="313"/>
      <c r="J646" s="313">
        <v>1632500</v>
      </c>
      <c r="K646" s="313">
        <v>828096</v>
      </c>
      <c r="L646" s="313">
        <v>804405</v>
      </c>
      <c r="M646" s="313"/>
      <c r="N646" s="313"/>
      <c r="O646" s="313">
        <v>84141317</v>
      </c>
      <c r="P646" s="313"/>
      <c r="Q646" s="313"/>
      <c r="R646" s="313">
        <v>27103</v>
      </c>
      <c r="S646" s="313"/>
      <c r="T646" s="313"/>
      <c r="U646" s="324"/>
      <c r="V646" s="319"/>
      <c r="W646" s="319"/>
      <c r="X646" s="319"/>
      <c r="Y646" s="319"/>
    </row>
    <row r="647" spans="1:25" x14ac:dyDescent="0.2">
      <c r="A647" s="312">
        <v>29</v>
      </c>
      <c r="B647" s="426" t="s">
        <v>1983</v>
      </c>
      <c r="C647" s="424" t="s">
        <v>1270</v>
      </c>
      <c r="D647" s="313">
        <v>701938620</v>
      </c>
      <c r="E647" s="45"/>
      <c r="F647" s="313">
        <v>658497736</v>
      </c>
      <c r="G647" s="313"/>
      <c r="H647" s="313">
        <v>29821949</v>
      </c>
      <c r="I647" s="313"/>
      <c r="J647" s="313">
        <v>13618934</v>
      </c>
      <c r="K647" s="313">
        <v>6908286</v>
      </c>
      <c r="L647" s="313">
        <v>6710649</v>
      </c>
      <c r="M647" s="313"/>
      <c r="N647" s="313"/>
      <c r="O647" s="313">
        <v>701938620</v>
      </c>
      <c r="P647" s="313"/>
      <c r="Q647" s="313"/>
      <c r="R647" s="313">
        <v>693179</v>
      </c>
      <c r="S647" s="313"/>
      <c r="T647" s="313"/>
      <c r="U647" s="324"/>
      <c r="V647" s="319"/>
      <c r="W647" s="319"/>
      <c r="X647" s="319"/>
      <c r="Y647" s="319"/>
    </row>
    <row r="648" spans="1:25" x14ac:dyDescent="0.2">
      <c r="A648" s="312">
        <v>30</v>
      </c>
      <c r="B648" s="426" t="s">
        <v>1984</v>
      </c>
      <c r="C648" s="424" t="s">
        <v>1270</v>
      </c>
      <c r="D648" s="313">
        <v>137728524</v>
      </c>
      <c r="E648" s="45"/>
      <c r="F648" s="313">
        <v>129298332</v>
      </c>
      <c r="G648" s="313"/>
      <c r="H648" s="313">
        <v>5787285</v>
      </c>
      <c r="I648" s="313"/>
      <c r="J648" s="313">
        <v>2642907</v>
      </c>
      <c r="K648" s="313">
        <v>1340630</v>
      </c>
      <c r="L648" s="313">
        <v>1302277</v>
      </c>
      <c r="M648" s="313"/>
      <c r="N648" s="313"/>
      <c r="O648" s="313">
        <v>136219081</v>
      </c>
      <c r="P648" s="313"/>
      <c r="Q648" s="313"/>
      <c r="R648" s="313">
        <v>158415</v>
      </c>
      <c r="S648" s="313">
        <v>1261558</v>
      </c>
      <c r="T648" s="313">
        <v>247886</v>
      </c>
      <c r="U648" s="324"/>
      <c r="V648" s="319"/>
      <c r="W648" s="319"/>
      <c r="X648" s="319"/>
      <c r="Y648" s="319"/>
    </row>
    <row r="649" spans="1:25" x14ac:dyDescent="0.2">
      <c r="A649" s="312">
        <v>31</v>
      </c>
      <c r="B649" s="426" t="s">
        <v>1985</v>
      </c>
      <c r="C649" s="424" t="s">
        <v>1270</v>
      </c>
      <c r="D649" s="313">
        <v>77666661</v>
      </c>
      <c r="E649" s="45"/>
      <c r="F649" s="313">
        <v>72890132</v>
      </c>
      <c r="G649" s="313"/>
      <c r="H649" s="313">
        <v>3279063</v>
      </c>
      <c r="I649" s="313"/>
      <c r="J649" s="313">
        <v>1497466</v>
      </c>
      <c r="K649" s="313">
        <v>759598</v>
      </c>
      <c r="L649" s="313">
        <v>737867</v>
      </c>
      <c r="M649" s="313"/>
      <c r="N649" s="313"/>
      <c r="O649" s="313">
        <v>77181435</v>
      </c>
      <c r="P649" s="313"/>
      <c r="Q649" s="313"/>
      <c r="R649" s="313">
        <v>77221</v>
      </c>
      <c r="S649" s="313">
        <v>329568</v>
      </c>
      <c r="T649" s="313">
        <v>155658</v>
      </c>
      <c r="U649" s="324"/>
      <c r="V649" s="319"/>
      <c r="W649" s="319"/>
      <c r="X649" s="319"/>
      <c r="Y649" s="319"/>
    </row>
    <row r="650" spans="1:25" x14ac:dyDescent="0.2">
      <c r="A650" s="312">
        <v>32</v>
      </c>
      <c r="B650" s="426" t="s">
        <v>1986</v>
      </c>
      <c r="C650" s="424" t="s">
        <v>1270</v>
      </c>
      <c r="D650" s="313">
        <v>19565396</v>
      </c>
      <c r="E650" s="45"/>
      <c r="F650" s="313">
        <v>18356430</v>
      </c>
      <c r="G650" s="313"/>
      <c r="H650" s="313">
        <v>829949</v>
      </c>
      <c r="I650" s="313"/>
      <c r="J650" s="313">
        <v>379017</v>
      </c>
      <c r="K650" s="313">
        <v>192259</v>
      </c>
      <c r="L650" s="313">
        <v>186758</v>
      </c>
      <c r="M650" s="313"/>
      <c r="N650" s="313"/>
      <c r="O650" s="313">
        <v>19535055</v>
      </c>
      <c r="P650" s="313"/>
      <c r="Q650" s="313"/>
      <c r="R650" s="313">
        <v>7550</v>
      </c>
      <c r="S650" s="313">
        <v>30341</v>
      </c>
      <c r="T650" s="313"/>
      <c r="U650" s="324"/>
      <c r="V650" s="319"/>
      <c r="W650" s="319"/>
      <c r="X650" s="319"/>
      <c r="Y650" s="319"/>
    </row>
    <row r="651" spans="1:25" x14ac:dyDescent="0.2">
      <c r="A651" s="312">
        <v>33</v>
      </c>
      <c r="B651" s="426" t="s">
        <v>1987</v>
      </c>
      <c r="C651" s="424" t="s">
        <v>1270</v>
      </c>
      <c r="D651" s="313">
        <v>406991</v>
      </c>
      <c r="E651" s="45"/>
      <c r="F651" s="313">
        <v>381804</v>
      </c>
      <c r="G651" s="313"/>
      <c r="H651" s="313">
        <v>17291</v>
      </c>
      <c r="I651" s="313"/>
      <c r="J651" s="313">
        <v>7896</v>
      </c>
      <c r="K651" s="313">
        <v>4005</v>
      </c>
      <c r="L651" s="313">
        <v>3891</v>
      </c>
      <c r="M651" s="313"/>
      <c r="N651" s="313"/>
      <c r="O651" s="313">
        <v>406991</v>
      </c>
      <c r="P651" s="313"/>
      <c r="Q651" s="313"/>
      <c r="R651" s="313">
        <v>1088193</v>
      </c>
      <c r="S651" s="313"/>
      <c r="T651" s="313"/>
      <c r="U651" s="324"/>
      <c r="V651" s="319"/>
      <c r="W651" s="319"/>
      <c r="X651" s="319"/>
      <c r="Y651" s="319"/>
    </row>
    <row r="652" spans="1:25" x14ac:dyDescent="0.2">
      <c r="A652" s="312">
        <v>34</v>
      </c>
      <c r="B652" s="426" t="s">
        <v>1968</v>
      </c>
      <c r="C652" s="424" t="s">
        <v>1272</v>
      </c>
      <c r="D652" s="313">
        <v>914</v>
      </c>
      <c r="E652" s="45"/>
      <c r="F652" s="313">
        <v>470</v>
      </c>
      <c r="G652" s="313"/>
      <c r="H652" s="313">
        <v>305</v>
      </c>
      <c r="I652" s="313"/>
      <c r="J652" s="313">
        <v>139</v>
      </c>
      <c r="K652" s="313">
        <v>71</v>
      </c>
      <c r="L652" s="313">
        <v>69</v>
      </c>
      <c r="M652" s="313"/>
      <c r="N652" s="313"/>
      <c r="O652" s="313">
        <v>914</v>
      </c>
      <c r="P652" s="313"/>
      <c r="Q652" s="313"/>
      <c r="R652" s="313"/>
      <c r="S652" s="313"/>
      <c r="T652" s="313"/>
      <c r="U652" s="324"/>
      <c r="W652" s="319"/>
    </row>
    <row r="653" spans="1:25" x14ac:dyDescent="0.2">
      <c r="A653" s="312">
        <v>35</v>
      </c>
      <c r="B653" s="426" t="s">
        <v>1969</v>
      </c>
      <c r="C653" s="424" t="s">
        <v>1278</v>
      </c>
      <c r="D653" s="313">
        <v>1087279</v>
      </c>
      <c r="E653" s="45"/>
      <c r="F653" s="313">
        <v>838960</v>
      </c>
      <c r="G653" s="313"/>
      <c r="H653" s="313">
        <v>0</v>
      </c>
      <c r="I653" s="313"/>
      <c r="J653" s="313">
        <v>248319</v>
      </c>
      <c r="K653" s="313">
        <v>125961</v>
      </c>
      <c r="L653" s="313">
        <v>122358</v>
      </c>
      <c r="M653" s="313"/>
      <c r="N653" s="313"/>
      <c r="O653" s="313">
        <v>1087279</v>
      </c>
      <c r="P653" s="313"/>
      <c r="Q653" s="313"/>
      <c r="R653" s="313"/>
      <c r="S653" s="313"/>
      <c r="T653" s="313"/>
      <c r="U653" s="324"/>
    </row>
    <row r="654" spans="1:25" x14ac:dyDescent="0.2">
      <c r="A654" s="312">
        <v>36</v>
      </c>
      <c r="B654" s="423" t="s">
        <v>1064</v>
      </c>
      <c r="C654" s="45"/>
      <c r="D654" s="313">
        <v>1113844785</v>
      </c>
      <c r="E654" s="45"/>
      <c r="F654" s="313">
        <v>1044928837</v>
      </c>
      <c r="G654" s="313"/>
      <c r="H654" s="313">
        <v>47139984</v>
      </c>
      <c r="I654" s="313"/>
      <c r="J654" s="313">
        <v>21775964</v>
      </c>
      <c r="K654" s="313">
        <v>11045987</v>
      </c>
      <c r="L654" s="313">
        <v>10729977</v>
      </c>
      <c r="M654" s="313"/>
      <c r="N654" s="313"/>
      <c r="O654" s="313">
        <v>1113844785</v>
      </c>
      <c r="P654" s="313" t="s">
        <v>557</v>
      </c>
      <c r="Q654" s="313" t="s">
        <v>557</v>
      </c>
      <c r="R654" s="313" t="s">
        <v>1065</v>
      </c>
      <c r="S654" s="313">
        <v>2795757</v>
      </c>
      <c r="T654" s="313">
        <v>403543</v>
      </c>
      <c r="U654" s="324"/>
      <c r="V654" s="324"/>
      <c r="W654" s="316"/>
    </row>
    <row r="655" spans="1:25" x14ac:dyDescent="0.2">
      <c r="A655" s="45"/>
      <c r="B655" s="45"/>
      <c r="C655" s="45"/>
      <c r="D655" s="45"/>
      <c r="E655" s="45"/>
      <c r="F655" s="313"/>
      <c r="G655" s="313"/>
      <c r="H655" s="313"/>
      <c r="I655" s="313"/>
      <c r="J655" s="313"/>
      <c r="K655" s="313"/>
      <c r="L655" s="313"/>
      <c r="M655" s="313"/>
      <c r="N655" s="313"/>
      <c r="O655" s="313"/>
      <c r="P655" s="313"/>
      <c r="Q655" s="313"/>
      <c r="R655" s="313"/>
      <c r="S655" s="313"/>
      <c r="T655" s="313"/>
    </row>
    <row r="656" spans="1:25" x14ac:dyDescent="0.2">
      <c r="A656" s="312">
        <v>37</v>
      </c>
      <c r="B656" s="423" t="s">
        <v>912</v>
      </c>
      <c r="C656" s="311"/>
      <c r="D656" s="313">
        <v>6810540292</v>
      </c>
      <c r="E656" s="45"/>
      <c r="F656" s="313">
        <v>6384796204</v>
      </c>
      <c r="G656" s="313"/>
      <c r="H656" s="313">
        <v>291173718</v>
      </c>
      <c r="I656" s="313"/>
      <c r="J656" s="313">
        <v>134570370</v>
      </c>
      <c r="K656" s="313">
        <v>68261622</v>
      </c>
      <c r="L656" s="313">
        <v>66308748</v>
      </c>
      <c r="M656" s="313"/>
      <c r="N656" s="313"/>
      <c r="O656" s="313"/>
      <c r="P656" s="313"/>
      <c r="Q656" s="313"/>
      <c r="R656" s="313"/>
      <c r="S656" s="313"/>
      <c r="T656" s="313"/>
      <c r="U656" s="324"/>
    </row>
    <row r="657" spans="1:25" x14ac:dyDescent="0.2">
      <c r="A657" s="45"/>
      <c r="B657" s="45"/>
      <c r="C657" s="311"/>
      <c r="D657" s="45"/>
      <c r="E657" s="45"/>
      <c r="F657" s="313"/>
      <c r="G657" s="313"/>
      <c r="H657" s="313"/>
      <c r="I657" s="313"/>
      <c r="J657" s="313"/>
      <c r="K657" s="313"/>
      <c r="L657" s="313"/>
      <c r="M657" s="313"/>
      <c r="N657" s="313"/>
      <c r="O657" s="313"/>
      <c r="P657" s="313"/>
      <c r="Q657" s="313"/>
      <c r="R657" s="313"/>
      <c r="S657" s="313"/>
      <c r="T657" s="313"/>
    </row>
    <row r="658" spans="1:25" x14ac:dyDescent="0.2">
      <c r="A658" s="45"/>
      <c r="B658" s="425" t="s">
        <v>1072</v>
      </c>
      <c r="C658" s="45"/>
      <c r="D658" s="45"/>
      <c r="E658" s="45"/>
      <c r="F658" s="313"/>
      <c r="G658" s="313"/>
      <c r="H658" s="313"/>
      <c r="I658" s="313"/>
      <c r="J658" s="313"/>
      <c r="K658" s="313"/>
      <c r="L658" s="313"/>
      <c r="M658" s="313"/>
      <c r="N658" s="313"/>
      <c r="O658" s="313"/>
      <c r="P658" s="313"/>
      <c r="Q658" s="313"/>
      <c r="R658" s="313"/>
      <c r="S658" s="313"/>
      <c r="T658" s="313"/>
    </row>
    <row r="659" spans="1:25" x14ac:dyDescent="0.2">
      <c r="A659" s="45"/>
      <c r="B659" s="45"/>
      <c r="C659" s="311"/>
      <c r="D659" s="45"/>
      <c r="E659" s="45"/>
      <c r="F659" s="313"/>
      <c r="G659" s="313"/>
      <c r="H659" s="313"/>
      <c r="I659" s="313"/>
      <c r="J659" s="313"/>
      <c r="K659" s="313"/>
      <c r="L659" s="313"/>
      <c r="M659" s="313"/>
      <c r="N659" s="313"/>
      <c r="O659" s="313"/>
      <c r="P659" s="313"/>
      <c r="Q659" s="313"/>
      <c r="R659" s="313"/>
      <c r="S659" s="313"/>
      <c r="T659" s="313"/>
    </row>
    <row r="660" spans="1:25" x14ac:dyDescent="0.2">
      <c r="A660" s="45"/>
      <c r="B660" s="423" t="s">
        <v>1066</v>
      </c>
      <c r="C660" s="311"/>
      <c r="D660" s="45"/>
      <c r="E660" s="45"/>
      <c r="F660" s="313"/>
      <c r="G660" s="313"/>
      <c r="H660" s="313"/>
      <c r="I660" s="313"/>
      <c r="J660" s="313"/>
      <c r="K660" s="313"/>
      <c r="L660" s="313"/>
      <c r="M660" s="313"/>
      <c r="N660" s="313"/>
      <c r="O660" s="313"/>
      <c r="P660" s="313"/>
      <c r="Q660" s="313"/>
      <c r="R660" s="313"/>
      <c r="S660" s="313"/>
      <c r="T660" s="313"/>
    </row>
    <row r="661" spans="1:25" x14ac:dyDescent="0.2">
      <c r="A661" s="45"/>
      <c r="B661" s="426" t="s">
        <v>1581</v>
      </c>
      <c r="C661" s="311"/>
      <c r="D661" s="45"/>
      <c r="E661" s="45"/>
      <c r="F661" s="313"/>
      <c r="G661" s="313"/>
      <c r="H661" s="313"/>
      <c r="I661" s="313"/>
      <c r="J661" s="313"/>
      <c r="K661" s="313"/>
      <c r="L661" s="313"/>
      <c r="M661" s="313" t="s">
        <v>1067</v>
      </c>
      <c r="N661" s="313"/>
      <c r="O661" s="313"/>
      <c r="P661" s="313"/>
      <c r="Q661" s="313"/>
      <c r="R661" s="313" t="s">
        <v>1988</v>
      </c>
      <c r="S661" s="313"/>
      <c r="T661" s="313" t="s">
        <v>2497</v>
      </c>
      <c r="W661" s="324"/>
    </row>
    <row r="662" spans="1:25" x14ac:dyDescent="0.2">
      <c r="A662" s="312">
        <v>1</v>
      </c>
      <c r="B662" s="426" t="s">
        <v>1989</v>
      </c>
      <c r="C662" s="424" t="s">
        <v>1850</v>
      </c>
      <c r="D662" s="313">
        <v>33118179</v>
      </c>
      <c r="E662" s="45"/>
      <c r="F662" s="313">
        <v>31642365</v>
      </c>
      <c r="G662" s="313"/>
      <c r="H662" s="313">
        <v>1433015</v>
      </c>
      <c r="I662" s="313"/>
      <c r="J662" s="313">
        <v>42798</v>
      </c>
      <c r="K662" s="313">
        <v>42798</v>
      </c>
      <c r="L662" s="313">
        <v>0</v>
      </c>
      <c r="M662" s="313"/>
      <c r="N662" s="313"/>
      <c r="O662" s="313">
        <v>33075380</v>
      </c>
      <c r="P662" s="313"/>
      <c r="Q662" s="313"/>
      <c r="R662" s="313">
        <v>37699</v>
      </c>
      <c r="S662" s="313" t="s">
        <v>2498</v>
      </c>
      <c r="T662" s="313">
        <v>42798</v>
      </c>
      <c r="U662" s="319"/>
      <c r="V662" s="319"/>
      <c r="W662" s="319"/>
      <c r="X662" s="319"/>
      <c r="Y662" s="319"/>
    </row>
    <row r="663" spans="1:25" x14ac:dyDescent="0.2">
      <c r="A663" s="312">
        <v>2</v>
      </c>
      <c r="B663" s="426" t="s">
        <v>1990</v>
      </c>
      <c r="C663" s="424" t="s">
        <v>1850</v>
      </c>
      <c r="D663" s="313">
        <v>31993802</v>
      </c>
      <c r="E663" s="45"/>
      <c r="F663" s="313">
        <v>30607647</v>
      </c>
      <c r="G663" s="313"/>
      <c r="H663" s="313">
        <v>1386155</v>
      </c>
      <c r="I663" s="313"/>
      <c r="J663" s="313">
        <v>0</v>
      </c>
      <c r="K663" s="313">
        <v>0</v>
      </c>
      <c r="L663" s="313">
        <v>0</v>
      </c>
      <c r="M663" s="313"/>
      <c r="N663" s="313"/>
      <c r="O663" s="313">
        <v>31993802</v>
      </c>
      <c r="P663" s="313"/>
      <c r="Q663" s="313"/>
      <c r="R663" s="313">
        <v>42915</v>
      </c>
      <c r="S663" s="313"/>
      <c r="T663" s="313"/>
      <c r="U663" s="319"/>
      <c r="V663" s="319"/>
      <c r="W663" s="319"/>
      <c r="X663" s="319"/>
      <c r="Y663" s="319"/>
    </row>
    <row r="664" spans="1:25" x14ac:dyDescent="0.2">
      <c r="A664" s="312">
        <v>3</v>
      </c>
      <c r="B664" s="426" t="s">
        <v>1991</v>
      </c>
      <c r="C664" s="424" t="s">
        <v>1850</v>
      </c>
      <c r="D664" s="313">
        <v>386506841</v>
      </c>
      <c r="E664" s="45"/>
      <c r="F664" s="313">
        <v>369761152</v>
      </c>
      <c r="G664" s="313"/>
      <c r="H664" s="313">
        <v>16745689</v>
      </c>
      <c r="I664" s="313"/>
      <c r="J664" s="313">
        <v>0</v>
      </c>
      <c r="K664" s="313">
        <v>0</v>
      </c>
      <c r="L664" s="313">
        <v>0</v>
      </c>
      <c r="M664" s="313"/>
      <c r="N664" s="313"/>
      <c r="O664" s="313">
        <v>386506841</v>
      </c>
      <c r="P664" s="313"/>
      <c r="Q664" s="313"/>
      <c r="R664" s="313">
        <v>347093</v>
      </c>
      <c r="S664" s="313"/>
      <c r="T664" s="313"/>
      <c r="U664" s="319"/>
      <c r="V664" s="319"/>
      <c r="W664" s="319"/>
      <c r="X664" s="319"/>
      <c r="Y664" s="319"/>
    </row>
    <row r="665" spans="1:25" x14ac:dyDescent="0.2">
      <c r="A665" s="312">
        <v>4</v>
      </c>
      <c r="B665" s="426" t="s">
        <v>1992</v>
      </c>
      <c r="C665" s="424" t="s">
        <v>1850</v>
      </c>
      <c r="D665" s="313">
        <v>70360451</v>
      </c>
      <c r="E665" s="45"/>
      <c r="F665" s="313">
        <v>67312033</v>
      </c>
      <c r="G665" s="313"/>
      <c r="H665" s="313">
        <v>3048418</v>
      </c>
      <c r="I665" s="313"/>
      <c r="J665" s="313">
        <v>0</v>
      </c>
      <c r="K665" s="313">
        <v>0</v>
      </c>
      <c r="L665" s="313">
        <v>0</v>
      </c>
      <c r="M665" s="313"/>
      <c r="N665" s="313"/>
      <c r="O665" s="313">
        <v>70360451</v>
      </c>
      <c r="P665" s="313"/>
      <c r="Q665" s="313"/>
      <c r="R665" s="313">
        <v>426444</v>
      </c>
      <c r="S665" s="313"/>
      <c r="T665" s="313"/>
      <c r="U665" s="319"/>
      <c r="V665" s="319"/>
      <c r="W665" s="319"/>
      <c r="X665" s="319"/>
      <c r="Y665" s="319"/>
    </row>
    <row r="666" spans="1:25" x14ac:dyDescent="0.2">
      <c r="A666" s="312">
        <v>5</v>
      </c>
      <c r="B666" s="426" t="s">
        <v>1993</v>
      </c>
      <c r="C666" s="424" t="s">
        <v>1850</v>
      </c>
      <c r="D666" s="313">
        <v>551441092</v>
      </c>
      <c r="E666" s="45"/>
      <c r="F666" s="313">
        <v>526922378</v>
      </c>
      <c r="G666" s="313"/>
      <c r="H666" s="313">
        <v>23863184</v>
      </c>
      <c r="I666" s="313"/>
      <c r="J666" s="313">
        <v>655531</v>
      </c>
      <c r="K666" s="313">
        <v>655531</v>
      </c>
      <c r="L666" s="313">
        <v>0</v>
      </c>
      <c r="M666" s="313"/>
      <c r="N666" s="313"/>
      <c r="O666" s="313">
        <v>550785561</v>
      </c>
      <c r="P666" s="313"/>
      <c r="Q666" s="313"/>
      <c r="R666" s="313">
        <v>235309</v>
      </c>
      <c r="S666" s="313" t="s">
        <v>2499</v>
      </c>
      <c r="T666" s="313">
        <v>655531</v>
      </c>
      <c r="U666" s="319"/>
      <c r="V666" s="319"/>
      <c r="W666" s="319"/>
      <c r="X666" s="319"/>
      <c r="Y666" s="319"/>
    </row>
    <row r="667" spans="1:25" x14ac:dyDescent="0.2">
      <c r="A667" s="312">
        <v>6</v>
      </c>
      <c r="B667" s="426" t="s">
        <v>1994</v>
      </c>
      <c r="C667" s="424" t="s">
        <v>1850</v>
      </c>
      <c r="D667" s="313">
        <v>240353260</v>
      </c>
      <c r="E667" s="45"/>
      <c r="F667" s="313">
        <v>229593250</v>
      </c>
      <c r="G667" s="313"/>
      <c r="H667" s="313">
        <v>10397786</v>
      </c>
      <c r="I667" s="313"/>
      <c r="J667" s="313">
        <v>362225</v>
      </c>
      <c r="K667" s="313">
        <v>362225</v>
      </c>
      <c r="L667" s="313">
        <v>0</v>
      </c>
      <c r="M667" s="313"/>
      <c r="N667" s="313"/>
      <c r="O667" s="313">
        <v>239991036</v>
      </c>
      <c r="P667" s="313"/>
      <c r="Q667" s="313"/>
      <c r="R667" s="313">
        <v>538739</v>
      </c>
      <c r="S667" s="313" t="s">
        <v>2500</v>
      </c>
      <c r="T667" s="313">
        <v>362225</v>
      </c>
      <c r="U667" s="319"/>
      <c r="V667" s="319"/>
      <c r="W667" s="319"/>
      <c r="X667" s="319"/>
      <c r="Y667" s="319"/>
    </row>
    <row r="668" spans="1:25" x14ac:dyDescent="0.2">
      <c r="A668" s="312">
        <v>7</v>
      </c>
      <c r="B668" s="426" t="s">
        <v>1995</v>
      </c>
      <c r="C668" s="424" t="s">
        <v>1850</v>
      </c>
      <c r="D668" s="313">
        <v>618115</v>
      </c>
      <c r="E668" s="45"/>
      <c r="F668" s="313">
        <v>591335</v>
      </c>
      <c r="G668" s="313"/>
      <c r="H668" s="313">
        <v>26780</v>
      </c>
      <c r="I668" s="313"/>
      <c r="J668" s="313">
        <v>0</v>
      </c>
      <c r="K668" s="313">
        <v>0</v>
      </c>
      <c r="L668" s="313">
        <v>0</v>
      </c>
      <c r="M668" s="313"/>
      <c r="N668" s="313"/>
      <c r="O668" s="313">
        <v>618115</v>
      </c>
      <c r="P668" s="313"/>
      <c r="Q668" s="313"/>
      <c r="R668" s="313">
        <v>379</v>
      </c>
      <c r="S668" s="313"/>
      <c r="T668" s="313"/>
      <c r="U668" s="319"/>
      <c r="V668" s="319"/>
      <c r="W668" s="319"/>
      <c r="X668" s="319"/>
      <c r="Y668" s="319"/>
    </row>
    <row r="669" spans="1:25" x14ac:dyDescent="0.2">
      <c r="A669" s="312">
        <v>8</v>
      </c>
      <c r="B669" s="426" t="s">
        <v>1996</v>
      </c>
      <c r="C669" s="424" t="s">
        <v>1850</v>
      </c>
      <c r="D669" s="313">
        <v>1233716</v>
      </c>
      <c r="E669" s="45"/>
      <c r="F669" s="313">
        <v>1180264</v>
      </c>
      <c r="G669" s="313"/>
      <c r="H669" s="313">
        <v>53452</v>
      </c>
      <c r="I669" s="313"/>
      <c r="J669" s="313">
        <v>0</v>
      </c>
      <c r="K669" s="313">
        <v>0</v>
      </c>
      <c r="L669" s="313">
        <v>0</v>
      </c>
      <c r="M669" s="313"/>
      <c r="N669" s="313"/>
      <c r="O669" s="313">
        <v>1233716</v>
      </c>
      <c r="P669" s="313"/>
      <c r="Q669" s="313"/>
      <c r="R669" s="313">
        <v>1299</v>
      </c>
      <c r="S669" s="313"/>
      <c r="T669" s="313"/>
      <c r="U669" s="319"/>
      <c r="V669" s="319"/>
      <c r="W669" s="319"/>
      <c r="X669" s="319"/>
      <c r="Y669" s="319"/>
    </row>
    <row r="670" spans="1:25" x14ac:dyDescent="0.2">
      <c r="A670" s="312">
        <v>9</v>
      </c>
      <c r="B670" s="426" t="s">
        <v>1997</v>
      </c>
      <c r="C670" s="424" t="s">
        <v>1850</v>
      </c>
      <c r="D670" s="313">
        <v>254317</v>
      </c>
      <c r="E670" s="45"/>
      <c r="F670" s="313">
        <v>243299</v>
      </c>
      <c r="G670" s="313"/>
      <c r="H670" s="313">
        <v>11018</v>
      </c>
      <c r="I670" s="313"/>
      <c r="J670" s="313">
        <v>0</v>
      </c>
      <c r="K670" s="313">
        <v>0</v>
      </c>
      <c r="L670" s="313">
        <v>0</v>
      </c>
      <c r="M670" s="313"/>
      <c r="N670" s="313"/>
      <c r="O670" s="313">
        <v>254317</v>
      </c>
      <c r="P670" s="313"/>
      <c r="Q670" s="313"/>
      <c r="R670" s="313">
        <v>1629877</v>
      </c>
      <c r="S670" s="313"/>
      <c r="T670" s="313"/>
      <c r="U670" s="319"/>
      <c r="V670" s="319"/>
      <c r="W670" s="319"/>
      <c r="X670" s="319"/>
      <c r="Y670" s="319"/>
    </row>
    <row r="671" spans="1:25" x14ac:dyDescent="0.2">
      <c r="A671" s="312">
        <v>10</v>
      </c>
      <c r="B671" s="426" t="s">
        <v>1968</v>
      </c>
      <c r="C671" s="424" t="s">
        <v>1272</v>
      </c>
      <c r="D671" s="313">
        <v>1317205</v>
      </c>
      <c r="E671" s="45"/>
      <c r="F671" s="313">
        <v>677535</v>
      </c>
      <c r="G671" s="313"/>
      <c r="H671" s="313">
        <v>439130</v>
      </c>
      <c r="I671" s="313"/>
      <c r="J671" s="313">
        <v>200540</v>
      </c>
      <c r="K671" s="313">
        <v>101725</v>
      </c>
      <c r="L671" s="313">
        <v>98815</v>
      </c>
      <c r="M671" s="313"/>
      <c r="N671" s="313"/>
      <c r="O671" s="313">
        <v>1317205</v>
      </c>
      <c r="P671" s="313"/>
      <c r="Q671" s="313"/>
      <c r="R671" s="313"/>
      <c r="S671" s="313"/>
      <c r="T671" s="313"/>
      <c r="U671" s="319"/>
      <c r="V671" s="319"/>
      <c r="W671" s="319"/>
      <c r="X671" s="319"/>
      <c r="Y671" s="319"/>
    </row>
    <row r="672" spans="1:25" x14ac:dyDescent="0.2">
      <c r="A672" s="312">
        <v>11</v>
      </c>
      <c r="B672" s="426" t="s">
        <v>1969</v>
      </c>
      <c r="C672" s="424" t="s">
        <v>1278</v>
      </c>
      <c r="D672" s="313">
        <v>312672</v>
      </c>
      <c r="E672" s="45"/>
      <c r="F672" s="313">
        <v>241262</v>
      </c>
      <c r="G672" s="313"/>
      <c r="H672" s="313">
        <v>0</v>
      </c>
      <c r="I672" s="313"/>
      <c r="J672" s="313">
        <v>71410</v>
      </c>
      <c r="K672" s="313">
        <v>36223</v>
      </c>
      <c r="L672" s="313">
        <v>35187</v>
      </c>
      <c r="M672" s="313"/>
      <c r="N672" s="313"/>
      <c r="O672" s="313">
        <v>312672</v>
      </c>
      <c r="P672" s="313"/>
      <c r="Q672" s="313"/>
      <c r="R672" s="313"/>
      <c r="S672" s="313"/>
      <c r="T672" s="313"/>
      <c r="U672" s="319"/>
    </row>
    <row r="673" spans="1:25" x14ac:dyDescent="0.2">
      <c r="A673" s="312">
        <v>12</v>
      </c>
      <c r="B673" s="426" t="s">
        <v>1998</v>
      </c>
      <c r="C673" s="311"/>
      <c r="D673" s="313">
        <v>1317509651</v>
      </c>
      <c r="E673" s="45"/>
      <c r="F673" s="313">
        <v>1258772521</v>
      </c>
      <c r="G673" s="313"/>
      <c r="H673" s="313">
        <v>57404626</v>
      </c>
      <c r="I673" s="313"/>
      <c r="J673" s="313">
        <v>1332504</v>
      </c>
      <c r="K673" s="313">
        <v>1198502</v>
      </c>
      <c r="L673" s="313">
        <v>134002</v>
      </c>
      <c r="M673" s="313"/>
      <c r="N673" s="313"/>
      <c r="O673" s="313"/>
      <c r="P673" s="313" t="s">
        <v>557</v>
      </c>
      <c r="Q673" s="313"/>
      <c r="R673" s="313"/>
      <c r="S673" s="313"/>
      <c r="T673" s="313"/>
      <c r="U673" s="324"/>
    </row>
    <row r="674" spans="1:25" x14ac:dyDescent="0.2">
      <c r="A674" s="45"/>
      <c r="B674" s="45"/>
      <c r="C674" s="311"/>
      <c r="D674" s="45"/>
      <c r="E674" s="45"/>
      <c r="F674" s="313"/>
      <c r="G674" s="313"/>
      <c r="H674" s="313"/>
      <c r="I674" s="313"/>
      <c r="J674" s="313"/>
      <c r="K674" s="313"/>
      <c r="L674" s="313"/>
      <c r="M674" s="313"/>
      <c r="N674" s="313"/>
      <c r="O674" s="313"/>
      <c r="P674" s="313"/>
      <c r="Q674" s="313"/>
      <c r="R674" s="313"/>
      <c r="S674" s="313"/>
      <c r="T674" s="313"/>
    </row>
    <row r="675" spans="1:25" x14ac:dyDescent="0.2">
      <c r="A675" s="45"/>
      <c r="B675" s="426" t="s">
        <v>1999</v>
      </c>
      <c r="C675" s="311"/>
      <c r="D675" s="45"/>
      <c r="E675" s="45"/>
      <c r="F675" s="313"/>
      <c r="G675" s="313"/>
      <c r="H675" s="313"/>
      <c r="I675" s="313"/>
      <c r="J675" s="313"/>
      <c r="K675" s="313"/>
      <c r="L675" s="313"/>
      <c r="M675" s="313"/>
      <c r="N675" s="313"/>
      <c r="O675" s="313"/>
      <c r="P675" s="313"/>
      <c r="Q675" s="313"/>
      <c r="R675" s="313" t="s">
        <v>1070</v>
      </c>
      <c r="S675" s="313"/>
      <c r="T675" s="313"/>
      <c r="W675" s="319"/>
    </row>
    <row r="676" spans="1:25" x14ac:dyDescent="0.2">
      <c r="A676" s="312">
        <v>13</v>
      </c>
      <c r="B676" s="426" t="s">
        <v>1989</v>
      </c>
      <c r="C676" s="424" t="s">
        <v>1285</v>
      </c>
      <c r="D676" s="313">
        <v>2775188</v>
      </c>
      <c r="E676" s="45"/>
      <c r="F676" s="313">
        <v>0</v>
      </c>
      <c r="G676" s="313"/>
      <c r="H676" s="313">
        <v>2775188</v>
      </c>
      <c r="I676" s="313"/>
      <c r="J676" s="313">
        <v>0</v>
      </c>
      <c r="K676" s="313">
        <v>0</v>
      </c>
      <c r="L676" s="313">
        <v>0</v>
      </c>
      <c r="M676" s="313"/>
      <c r="N676" s="313"/>
      <c r="O676" s="313">
        <v>2775188</v>
      </c>
      <c r="P676" s="313"/>
      <c r="Q676" s="313"/>
      <c r="R676" s="313">
        <v>3055558</v>
      </c>
      <c r="S676" s="313"/>
      <c r="T676" s="313"/>
      <c r="U676" s="319"/>
      <c r="V676" s="319"/>
      <c r="W676" s="319"/>
      <c r="X676" s="319"/>
      <c r="Y676" s="319"/>
    </row>
    <row r="677" spans="1:25" x14ac:dyDescent="0.2">
      <c r="A677" s="312">
        <v>14</v>
      </c>
      <c r="B677" s="426" t="s">
        <v>1990</v>
      </c>
      <c r="C677" s="424" t="s">
        <v>1285</v>
      </c>
      <c r="D677" s="313">
        <v>1801902</v>
      </c>
      <c r="E677" s="45"/>
      <c r="F677" s="313">
        <v>0</v>
      </c>
      <c r="G677" s="313"/>
      <c r="H677" s="313">
        <v>1801902</v>
      </c>
      <c r="I677" s="313"/>
      <c r="J677" s="313">
        <v>0</v>
      </c>
      <c r="K677" s="313">
        <v>0</v>
      </c>
      <c r="L677" s="313">
        <v>0</v>
      </c>
      <c r="M677" s="313"/>
      <c r="N677" s="313"/>
      <c r="O677" s="313">
        <v>1801902</v>
      </c>
      <c r="P677" s="313"/>
      <c r="Q677" s="313"/>
      <c r="R677" s="313">
        <v>1801902</v>
      </c>
      <c r="S677" s="313">
        <v>0</v>
      </c>
      <c r="T677" s="313"/>
      <c r="U677" s="319"/>
      <c r="V677" s="319"/>
      <c r="W677" s="319"/>
      <c r="X677" s="319"/>
      <c r="Y677" s="319"/>
    </row>
    <row r="678" spans="1:25" x14ac:dyDescent="0.2">
      <c r="A678" s="312">
        <v>15</v>
      </c>
      <c r="B678" s="426" t="s">
        <v>1991</v>
      </c>
      <c r="C678" s="424" t="s">
        <v>1285</v>
      </c>
      <c r="D678" s="313">
        <v>33429229</v>
      </c>
      <c r="E678" s="45"/>
      <c r="F678" s="313">
        <v>0</v>
      </c>
      <c r="G678" s="313"/>
      <c r="H678" s="313">
        <v>33429229</v>
      </c>
      <c r="I678" s="313"/>
      <c r="J678" s="313">
        <v>0</v>
      </c>
      <c r="K678" s="313">
        <v>0</v>
      </c>
      <c r="L678" s="313">
        <v>0</v>
      </c>
      <c r="M678" s="313"/>
      <c r="N678" s="313"/>
      <c r="O678" s="313">
        <v>33429229</v>
      </c>
      <c r="P678" s="313"/>
      <c r="Q678" s="313"/>
      <c r="R678" s="313">
        <v>33429229</v>
      </c>
      <c r="S678" s="313">
        <v>0</v>
      </c>
      <c r="T678" s="313"/>
      <c r="U678" s="319"/>
      <c r="V678" s="319"/>
      <c r="W678" s="319"/>
      <c r="X678" s="319"/>
      <c r="Y678" s="319"/>
    </row>
    <row r="679" spans="1:25" x14ac:dyDescent="0.2">
      <c r="A679" s="312">
        <v>16</v>
      </c>
      <c r="B679" s="426" t="s">
        <v>1992</v>
      </c>
      <c r="C679" s="424" t="s">
        <v>1285</v>
      </c>
      <c r="D679" s="313">
        <v>2411758</v>
      </c>
      <c r="E679" s="45"/>
      <c r="F679" s="313">
        <v>0</v>
      </c>
      <c r="G679" s="313"/>
      <c r="H679" s="313">
        <v>2411758</v>
      </c>
      <c r="I679" s="313"/>
      <c r="J679" s="313">
        <v>0</v>
      </c>
      <c r="K679" s="313">
        <v>0</v>
      </c>
      <c r="L679" s="313">
        <v>0</v>
      </c>
      <c r="M679" s="313"/>
      <c r="N679" s="313"/>
      <c r="O679" s="313">
        <v>2411758</v>
      </c>
      <c r="P679" s="313"/>
      <c r="Q679" s="313"/>
      <c r="R679" s="313">
        <v>7181081</v>
      </c>
      <c r="S679" s="313"/>
      <c r="T679" s="313"/>
      <c r="U679" s="319"/>
      <c r="V679" s="319"/>
      <c r="W679" s="319"/>
      <c r="X679" s="319"/>
      <c r="Y679" s="319"/>
    </row>
    <row r="680" spans="1:25" x14ac:dyDescent="0.2">
      <c r="A680" s="312">
        <v>17</v>
      </c>
      <c r="B680" s="426" t="s">
        <v>1993</v>
      </c>
      <c r="C680" s="424" t="s">
        <v>1285</v>
      </c>
      <c r="D680" s="313">
        <v>37546240</v>
      </c>
      <c r="E680" s="45"/>
      <c r="F680" s="313">
        <v>0</v>
      </c>
      <c r="G680" s="313"/>
      <c r="H680" s="313">
        <v>37546240</v>
      </c>
      <c r="I680" s="313"/>
      <c r="J680" s="313">
        <v>0</v>
      </c>
      <c r="K680" s="313">
        <v>0</v>
      </c>
      <c r="L680" s="313">
        <v>0</v>
      </c>
      <c r="M680" s="313"/>
      <c r="N680" s="313"/>
      <c r="O680" s="313">
        <v>37546240</v>
      </c>
      <c r="P680" s="313"/>
      <c r="Q680" s="313"/>
      <c r="R680" s="313">
        <v>37597598</v>
      </c>
      <c r="S680" s="313">
        <v>0</v>
      </c>
      <c r="T680" s="313"/>
      <c r="U680" s="319"/>
      <c r="V680" s="319"/>
      <c r="W680" s="319"/>
      <c r="X680" s="319"/>
      <c r="Y680" s="319"/>
    </row>
    <row r="681" spans="1:25" x14ac:dyDescent="0.2">
      <c r="A681" s="312">
        <v>18</v>
      </c>
      <c r="B681" s="426" t="s">
        <v>1994</v>
      </c>
      <c r="C681" s="424" t="s">
        <v>1285</v>
      </c>
      <c r="D681" s="313">
        <v>16512914</v>
      </c>
      <c r="E681" s="45"/>
      <c r="F681" s="313">
        <v>0</v>
      </c>
      <c r="G681" s="313"/>
      <c r="H681" s="313">
        <v>16512914</v>
      </c>
      <c r="I681" s="313"/>
      <c r="J681" s="313">
        <v>0</v>
      </c>
      <c r="K681" s="313">
        <v>0</v>
      </c>
      <c r="L681" s="313">
        <v>0</v>
      </c>
      <c r="M681" s="313"/>
      <c r="N681" s="313"/>
      <c r="O681" s="313">
        <v>16512914</v>
      </c>
      <c r="P681" s="313"/>
      <c r="Q681" s="313"/>
      <c r="R681" s="313">
        <v>19642292</v>
      </c>
      <c r="S681" s="313">
        <v>0</v>
      </c>
      <c r="T681" s="313"/>
      <c r="U681" s="319"/>
      <c r="V681" s="319"/>
      <c r="W681" s="319"/>
      <c r="X681" s="319"/>
      <c r="Y681" s="319"/>
    </row>
    <row r="682" spans="1:25" x14ac:dyDescent="0.2">
      <c r="A682" s="312">
        <v>19</v>
      </c>
      <c r="B682" s="426" t="s">
        <v>1968</v>
      </c>
      <c r="C682" s="424" t="s">
        <v>1285</v>
      </c>
      <c r="D682" s="313">
        <v>0</v>
      </c>
      <c r="E682" s="45"/>
      <c r="F682" s="313">
        <v>0</v>
      </c>
      <c r="G682" s="313"/>
      <c r="H682" s="313">
        <v>0</v>
      </c>
      <c r="I682" s="313"/>
      <c r="J682" s="313">
        <v>0</v>
      </c>
      <c r="K682" s="313">
        <v>0</v>
      </c>
      <c r="L682" s="313">
        <v>0</v>
      </c>
      <c r="M682" s="313"/>
      <c r="N682" s="313"/>
      <c r="O682" s="313">
        <v>0</v>
      </c>
      <c r="P682" s="313"/>
      <c r="Q682" s="313"/>
      <c r="R682" s="313">
        <v>0</v>
      </c>
      <c r="S682" s="313">
        <v>0</v>
      </c>
      <c r="T682" s="313"/>
      <c r="U682" s="319"/>
      <c r="V682" s="319"/>
      <c r="W682" s="319"/>
      <c r="X682" s="319"/>
      <c r="Y682" s="319"/>
    </row>
    <row r="683" spans="1:25" x14ac:dyDescent="0.2">
      <c r="A683" s="312">
        <v>20</v>
      </c>
      <c r="B683" s="426" t="s">
        <v>1969</v>
      </c>
      <c r="C683" s="424" t="s">
        <v>1285</v>
      </c>
      <c r="D683" s="313">
        <v>0</v>
      </c>
      <c r="E683" s="45"/>
      <c r="F683" s="313">
        <v>0</v>
      </c>
      <c r="G683" s="313"/>
      <c r="H683" s="313">
        <v>0</v>
      </c>
      <c r="I683" s="313"/>
      <c r="J683" s="313">
        <v>0</v>
      </c>
      <c r="K683" s="313">
        <v>0</v>
      </c>
      <c r="L683" s="313">
        <v>0</v>
      </c>
      <c r="M683" s="313"/>
      <c r="N683" s="313"/>
      <c r="O683" s="313">
        <v>0</v>
      </c>
      <c r="P683" s="313"/>
      <c r="Q683" s="313"/>
      <c r="R683" s="313">
        <v>0</v>
      </c>
      <c r="S683" s="313"/>
      <c r="T683" s="313"/>
      <c r="U683" s="319"/>
      <c r="W683" s="319"/>
    </row>
    <row r="684" spans="1:25" x14ac:dyDescent="0.2">
      <c r="A684" s="312">
        <v>21</v>
      </c>
      <c r="B684" s="426" t="s">
        <v>2000</v>
      </c>
      <c r="C684" s="311"/>
      <c r="D684" s="313">
        <v>94477230</v>
      </c>
      <c r="E684" s="45"/>
      <c r="F684" s="313">
        <v>0</v>
      </c>
      <c r="G684" s="313"/>
      <c r="H684" s="313">
        <v>94477230</v>
      </c>
      <c r="I684" s="313"/>
      <c r="J684" s="313">
        <v>0</v>
      </c>
      <c r="K684" s="313">
        <v>0</v>
      </c>
      <c r="L684" s="313">
        <v>0</v>
      </c>
      <c r="M684" s="313"/>
      <c r="N684" s="313"/>
      <c r="O684" s="313"/>
      <c r="P684" s="313" t="s">
        <v>557</v>
      </c>
      <c r="Q684" s="313"/>
      <c r="R684" s="313"/>
      <c r="S684" s="313"/>
      <c r="T684" s="313"/>
      <c r="U684" s="324"/>
    </row>
    <row r="685" spans="1:25" x14ac:dyDescent="0.2">
      <c r="A685" s="45"/>
      <c r="B685" s="45"/>
      <c r="C685" s="311"/>
      <c r="D685" s="45"/>
      <c r="E685" s="45"/>
      <c r="F685" s="313"/>
      <c r="G685" s="313"/>
      <c r="H685" s="313"/>
      <c r="I685" s="313"/>
      <c r="J685" s="313"/>
      <c r="K685" s="313"/>
      <c r="L685" s="313"/>
      <c r="M685" s="313"/>
      <c r="N685" s="313"/>
      <c r="O685" s="313"/>
      <c r="P685" s="313"/>
      <c r="Q685" s="313"/>
      <c r="R685" s="313"/>
      <c r="S685" s="313"/>
      <c r="T685" s="313"/>
    </row>
    <row r="686" spans="1:25" x14ac:dyDescent="0.2">
      <c r="A686" s="45"/>
      <c r="B686" s="426" t="s">
        <v>2001</v>
      </c>
      <c r="C686" s="311"/>
      <c r="D686" s="45"/>
      <c r="E686" s="45"/>
      <c r="F686" s="313"/>
      <c r="G686" s="313"/>
      <c r="H686" s="313"/>
      <c r="I686" s="313"/>
      <c r="J686" s="313"/>
      <c r="K686" s="313"/>
      <c r="L686" s="313"/>
      <c r="M686" s="313"/>
      <c r="N686" s="313"/>
      <c r="O686" s="313"/>
      <c r="P686" s="313"/>
      <c r="Q686" s="313"/>
      <c r="R686" s="313"/>
      <c r="S686" s="313"/>
      <c r="T686" s="313"/>
      <c r="W686" s="354"/>
    </row>
    <row r="687" spans="1:25" x14ac:dyDescent="0.2">
      <c r="A687" s="312">
        <v>22</v>
      </c>
      <c r="B687" s="426" t="s">
        <v>1989</v>
      </c>
      <c r="C687" s="424" t="s">
        <v>2134</v>
      </c>
      <c r="D687" s="313">
        <v>280371</v>
      </c>
      <c r="E687" s="45"/>
      <c r="F687" s="313">
        <v>280371</v>
      </c>
      <c r="G687" s="313"/>
      <c r="H687" s="313">
        <v>0</v>
      </c>
      <c r="I687" s="313"/>
      <c r="J687" s="313">
        <v>0</v>
      </c>
      <c r="K687" s="313">
        <v>0</v>
      </c>
      <c r="L687" s="313">
        <v>0</v>
      </c>
      <c r="M687" s="313"/>
      <c r="N687" s="313"/>
      <c r="O687" s="313">
        <v>280371</v>
      </c>
      <c r="P687" s="313"/>
      <c r="Q687" s="313"/>
      <c r="R687" s="313"/>
      <c r="S687" s="313"/>
      <c r="T687" s="313"/>
      <c r="U687" s="319"/>
      <c r="V687" s="319"/>
      <c r="W687" s="319"/>
      <c r="X687" s="319"/>
      <c r="Y687" s="319"/>
    </row>
    <row r="688" spans="1:25" x14ac:dyDescent="0.2">
      <c r="A688" s="312">
        <v>23</v>
      </c>
      <c r="B688" s="426" t="s">
        <v>1992</v>
      </c>
      <c r="C688" s="424" t="s">
        <v>2134</v>
      </c>
      <c r="D688" s="313">
        <v>4769323</v>
      </c>
      <c r="E688" s="45"/>
      <c r="F688" s="313">
        <v>4769323</v>
      </c>
      <c r="G688" s="313"/>
      <c r="H688" s="313">
        <v>0</v>
      </c>
      <c r="I688" s="313"/>
      <c r="J688" s="313">
        <v>0</v>
      </c>
      <c r="K688" s="313">
        <v>0</v>
      </c>
      <c r="L688" s="313">
        <v>0</v>
      </c>
      <c r="M688" s="313"/>
      <c r="N688" s="313"/>
      <c r="O688" s="313">
        <v>4769323</v>
      </c>
      <c r="P688" s="313"/>
      <c r="Q688" s="313"/>
      <c r="R688" s="313"/>
      <c r="S688" s="313"/>
      <c r="T688" s="313"/>
      <c r="U688" s="319"/>
      <c r="V688" s="319"/>
      <c r="W688" s="319"/>
      <c r="X688" s="319"/>
      <c r="Y688" s="319"/>
    </row>
    <row r="689" spans="1:25" x14ac:dyDescent="0.2">
      <c r="A689" s="312">
        <v>24</v>
      </c>
      <c r="B689" s="426" t="s">
        <v>1993</v>
      </c>
      <c r="C689" s="424" t="s">
        <v>2134</v>
      </c>
      <c r="D689" s="313">
        <v>51358</v>
      </c>
      <c r="E689" s="45"/>
      <c r="F689" s="313">
        <v>51358</v>
      </c>
      <c r="G689" s="313"/>
      <c r="H689" s="313">
        <v>0</v>
      </c>
      <c r="I689" s="313"/>
      <c r="J689" s="313">
        <v>0</v>
      </c>
      <c r="K689" s="313">
        <v>0</v>
      </c>
      <c r="L689" s="313">
        <v>0</v>
      </c>
      <c r="M689" s="313"/>
      <c r="N689" s="313"/>
      <c r="O689" s="313">
        <v>51358</v>
      </c>
      <c r="P689" s="313"/>
      <c r="Q689" s="313"/>
      <c r="R689" s="313"/>
      <c r="S689" s="313"/>
      <c r="T689" s="313"/>
      <c r="U689" s="319"/>
      <c r="V689" s="319"/>
      <c r="W689" s="319"/>
      <c r="X689" s="319"/>
      <c r="Y689" s="319"/>
    </row>
    <row r="690" spans="1:25" x14ac:dyDescent="0.2">
      <c r="A690" s="312">
        <v>25</v>
      </c>
      <c r="B690" s="426" t="s">
        <v>1994</v>
      </c>
      <c r="C690" s="424" t="s">
        <v>2134</v>
      </c>
      <c r="D690" s="313">
        <v>3129378</v>
      </c>
      <c r="E690" s="45"/>
      <c r="F690" s="313">
        <v>3129378</v>
      </c>
      <c r="G690" s="313"/>
      <c r="H690" s="313">
        <v>0</v>
      </c>
      <c r="I690" s="313"/>
      <c r="J690" s="313">
        <v>0</v>
      </c>
      <c r="K690" s="313">
        <v>0</v>
      </c>
      <c r="L690" s="313">
        <v>0</v>
      </c>
      <c r="M690" s="313"/>
      <c r="N690" s="313"/>
      <c r="O690" s="313">
        <v>3129378</v>
      </c>
      <c r="P690" s="313"/>
      <c r="Q690" s="313"/>
      <c r="R690" s="313"/>
      <c r="S690" s="313"/>
      <c r="T690" s="313"/>
      <c r="U690" s="319"/>
      <c r="V690" s="319"/>
      <c r="W690" s="319"/>
      <c r="X690" s="319"/>
      <c r="Y690" s="319"/>
    </row>
    <row r="691" spans="1:25" x14ac:dyDescent="0.2">
      <c r="A691" s="312">
        <v>26</v>
      </c>
      <c r="B691" s="426" t="s">
        <v>1968</v>
      </c>
      <c r="C691" s="424" t="s">
        <v>1272</v>
      </c>
      <c r="D691" s="313">
        <v>0</v>
      </c>
      <c r="E691" s="45"/>
      <c r="F691" s="313">
        <v>0</v>
      </c>
      <c r="G691" s="313"/>
      <c r="H691" s="313">
        <v>0</v>
      </c>
      <c r="I691" s="313"/>
      <c r="J691" s="313">
        <v>0</v>
      </c>
      <c r="K691" s="313">
        <v>0</v>
      </c>
      <c r="L691" s="313">
        <v>0</v>
      </c>
      <c r="M691" s="313"/>
      <c r="N691" s="313"/>
      <c r="O691" s="313">
        <v>0</v>
      </c>
      <c r="P691" s="313"/>
      <c r="Q691" s="313"/>
      <c r="R691" s="313"/>
      <c r="S691" s="313"/>
      <c r="T691" s="313"/>
      <c r="U691" s="319"/>
      <c r="V691" s="319"/>
      <c r="W691" s="319"/>
      <c r="X691" s="319"/>
      <c r="Y691" s="319"/>
    </row>
    <row r="692" spans="1:25" x14ac:dyDescent="0.2">
      <c r="A692" s="312">
        <v>27</v>
      </c>
      <c r="B692" s="426" t="s">
        <v>1969</v>
      </c>
      <c r="C692" s="424" t="s">
        <v>1278</v>
      </c>
      <c r="D692" s="313">
        <v>0</v>
      </c>
      <c r="E692" s="45"/>
      <c r="F692" s="313">
        <v>0</v>
      </c>
      <c r="G692" s="313"/>
      <c r="H692" s="313">
        <v>0</v>
      </c>
      <c r="I692" s="313"/>
      <c r="J692" s="313">
        <v>0</v>
      </c>
      <c r="K692" s="313">
        <v>0</v>
      </c>
      <c r="L692" s="313">
        <v>0</v>
      </c>
      <c r="M692" s="313"/>
      <c r="N692" s="313"/>
      <c r="O692" s="313">
        <v>0</v>
      </c>
      <c r="P692" s="313"/>
      <c r="Q692" s="313"/>
      <c r="R692" s="313"/>
      <c r="S692" s="313"/>
      <c r="T692" s="313"/>
      <c r="U692" s="319"/>
    </row>
    <row r="693" spans="1:25" x14ac:dyDescent="0.2">
      <c r="A693" s="312">
        <v>28</v>
      </c>
      <c r="B693" s="426" t="s">
        <v>2002</v>
      </c>
      <c r="C693" s="311"/>
      <c r="D693" s="313">
        <v>8230429</v>
      </c>
      <c r="E693" s="45"/>
      <c r="F693" s="313">
        <v>8230429</v>
      </c>
      <c r="G693" s="313"/>
      <c r="H693" s="313">
        <v>0</v>
      </c>
      <c r="I693" s="313"/>
      <c r="J693" s="313">
        <v>0</v>
      </c>
      <c r="K693" s="313">
        <v>0</v>
      </c>
      <c r="L693" s="313">
        <v>0</v>
      </c>
      <c r="M693" s="313"/>
      <c r="N693" s="313"/>
      <c r="O693" s="313"/>
      <c r="P693" s="313" t="s">
        <v>557</v>
      </c>
      <c r="Q693" s="313"/>
      <c r="R693" s="313"/>
      <c r="S693" s="313"/>
      <c r="T693" s="313"/>
      <c r="U693" s="324"/>
    </row>
    <row r="694" spans="1:25" x14ac:dyDescent="0.2">
      <c r="A694" s="45"/>
      <c r="B694" s="45"/>
      <c r="C694" s="45"/>
      <c r="D694" s="45"/>
      <c r="E694" s="45"/>
      <c r="F694" s="313"/>
      <c r="G694" s="313"/>
      <c r="H694" s="313"/>
      <c r="I694" s="313"/>
      <c r="J694" s="313"/>
      <c r="K694" s="313"/>
      <c r="L694" s="313"/>
      <c r="M694" s="313"/>
      <c r="N694" s="313"/>
      <c r="O694" s="313"/>
      <c r="P694" s="313"/>
      <c r="Q694" s="313"/>
      <c r="R694" s="313"/>
      <c r="S694" s="313"/>
      <c r="T694" s="313"/>
    </row>
    <row r="695" spans="1:25" x14ac:dyDescent="0.2">
      <c r="A695" s="312">
        <v>29</v>
      </c>
      <c r="B695" s="423" t="s">
        <v>914</v>
      </c>
      <c r="C695" s="311"/>
      <c r="D695" s="313">
        <v>1420217310</v>
      </c>
      <c r="E695" s="45"/>
      <c r="F695" s="313">
        <v>1267002950</v>
      </c>
      <c r="G695" s="313"/>
      <c r="H695" s="313">
        <v>151881857</v>
      </c>
      <c r="I695" s="313"/>
      <c r="J695" s="313">
        <v>1332504</v>
      </c>
      <c r="K695" s="313">
        <v>1198502</v>
      </c>
      <c r="L695" s="313">
        <v>134002</v>
      </c>
      <c r="M695" s="313"/>
      <c r="N695" s="313"/>
      <c r="O695" s="313"/>
      <c r="P695" s="313" t="s">
        <v>557</v>
      </c>
      <c r="Q695" s="313"/>
      <c r="R695" s="313"/>
      <c r="S695" s="313"/>
      <c r="T695" s="313"/>
      <c r="U695" s="324"/>
    </row>
    <row r="696" spans="1:25" x14ac:dyDescent="0.2">
      <c r="A696" s="45"/>
      <c r="B696" s="45"/>
      <c r="C696" s="311"/>
      <c r="D696" s="45"/>
      <c r="E696" s="45"/>
      <c r="F696" s="313"/>
      <c r="G696" s="313"/>
      <c r="H696" s="313"/>
      <c r="I696" s="313"/>
      <c r="J696" s="313"/>
      <c r="K696" s="313"/>
      <c r="L696" s="313"/>
      <c r="M696" s="313"/>
      <c r="N696" s="313"/>
      <c r="O696" s="313"/>
      <c r="P696" s="313"/>
      <c r="Q696" s="313"/>
      <c r="R696" s="313"/>
      <c r="S696" s="313"/>
      <c r="T696" s="313"/>
    </row>
    <row r="697" spans="1:25" x14ac:dyDescent="0.2">
      <c r="A697" s="45"/>
      <c r="B697" s="425" t="s">
        <v>1072</v>
      </c>
      <c r="C697" s="45"/>
      <c r="D697" s="45"/>
      <c r="E697" s="45"/>
      <c r="F697" s="313"/>
      <c r="G697" s="313"/>
      <c r="H697" s="313"/>
      <c r="I697" s="313"/>
      <c r="J697" s="313"/>
      <c r="K697" s="313"/>
      <c r="L697" s="313"/>
      <c r="M697" s="313"/>
      <c r="N697" s="313"/>
      <c r="O697" s="313"/>
      <c r="P697" s="313"/>
      <c r="Q697" s="313"/>
      <c r="R697" s="313"/>
      <c r="S697" s="313"/>
      <c r="T697" s="313"/>
    </row>
    <row r="698" spans="1:25" x14ac:dyDescent="0.2">
      <c r="A698" s="45"/>
      <c r="B698" s="45"/>
      <c r="C698" s="45"/>
      <c r="D698" s="45"/>
      <c r="E698" s="45"/>
      <c r="F698" s="313"/>
      <c r="G698" s="313"/>
      <c r="H698" s="313"/>
      <c r="I698" s="313"/>
      <c r="J698" s="313"/>
      <c r="K698" s="313"/>
      <c r="L698" s="313"/>
      <c r="M698" s="313"/>
      <c r="N698" s="313"/>
      <c r="O698" s="313"/>
      <c r="P698" s="313"/>
      <c r="Q698" s="313"/>
      <c r="R698" s="313"/>
      <c r="S698" s="313"/>
      <c r="T698" s="313"/>
    </row>
    <row r="699" spans="1:25" x14ac:dyDescent="0.2">
      <c r="A699" s="45"/>
      <c r="B699" s="423" t="s">
        <v>1073</v>
      </c>
      <c r="C699" s="311"/>
      <c r="D699" s="45"/>
      <c r="E699" s="45"/>
      <c r="F699" s="313"/>
      <c r="G699" s="313"/>
      <c r="H699" s="313"/>
      <c r="I699" s="313"/>
      <c r="J699" s="313"/>
      <c r="K699" s="313"/>
      <c r="L699" s="313"/>
      <c r="M699" s="313"/>
      <c r="N699" s="313"/>
      <c r="O699" s="313"/>
      <c r="P699" s="313"/>
      <c r="Q699" s="313"/>
      <c r="R699" s="313"/>
      <c r="S699" s="313"/>
      <c r="T699" s="313"/>
    </row>
    <row r="700" spans="1:25" x14ac:dyDescent="0.2">
      <c r="A700" s="45"/>
      <c r="B700" s="423" t="s">
        <v>1074</v>
      </c>
      <c r="C700" s="311"/>
      <c r="D700" s="45"/>
      <c r="E700" s="45"/>
      <c r="F700" s="313"/>
      <c r="G700" s="313"/>
      <c r="H700" s="313"/>
      <c r="I700" s="313"/>
      <c r="J700" s="313"/>
      <c r="K700" s="313"/>
      <c r="L700" s="313"/>
      <c r="M700" s="313"/>
      <c r="N700" s="313"/>
      <c r="O700" s="313"/>
      <c r="P700" s="313"/>
      <c r="Q700" s="313"/>
      <c r="R700" s="313"/>
      <c r="S700" s="313"/>
      <c r="T700" s="313"/>
    </row>
    <row r="701" spans="1:25" x14ac:dyDescent="0.2">
      <c r="A701" s="312">
        <v>1</v>
      </c>
      <c r="B701" s="426" t="s">
        <v>2003</v>
      </c>
      <c r="C701" s="427" t="s">
        <v>1852</v>
      </c>
      <c r="D701" s="313">
        <v>9194562</v>
      </c>
      <c r="E701" s="45"/>
      <c r="F701" s="313">
        <v>9185405</v>
      </c>
      <c r="G701" s="313"/>
      <c r="H701" s="313">
        <v>0</v>
      </c>
      <c r="I701" s="313"/>
      <c r="J701" s="313">
        <v>9157</v>
      </c>
      <c r="K701" s="313">
        <v>9157</v>
      </c>
      <c r="L701" s="313">
        <v>0</v>
      </c>
      <c r="M701" s="313"/>
      <c r="N701" s="313"/>
      <c r="O701" s="313">
        <v>9194562</v>
      </c>
      <c r="P701" s="313"/>
      <c r="Q701" s="313"/>
      <c r="R701" s="313"/>
      <c r="S701" s="313"/>
      <c r="T701" s="313"/>
      <c r="U701" s="319"/>
      <c r="V701" s="319"/>
      <c r="W701" s="319"/>
      <c r="X701" s="319"/>
      <c r="Y701" s="319"/>
    </row>
    <row r="702" spans="1:25" x14ac:dyDescent="0.2">
      <c r="A702" s="312">
        <v>2</v>
      </c>
      <c r="B702" s="426" t="s">
        <v>2004</v>
      </c>
      <c r="C702" s="427" t="s">
        <v>1854</v>
      </c>
      <c r="D702" s="313">
        <v>30821242</v>
      </c>
      <c r="E702" s="45"/>
      <c r="F702" s="313">
        <v>30451904</v>
      </c>
      <c r="G702" s="313"/>
      <c r="H702" s="313">
        <v>0</v>
      </c>
      <c r="I702" s="313"/>
      <c r="J702" s="313">
        <v>369338</v>
      </c>
      <c r="K702" s="313">
        <v>369338</v>
      </c>
      <c r="L702" s="313">
        <v>0</v>
      </c>
      <c r="M702" s="313"/>
      <c r="N702" s="313"/>
      <c r="O702" s="313">
        <v>30821242</v>
      </c>
      <c r="P702" s="313"/>
      <c r="Q702" s="313"/>
      <c r="R702" s="313"/>
      <c r="S702" s="313"/>
      <c r="T702" s="313"/>
      <c r="U702" s="319"/>
      <c r="V702" s="319"/>
      <c r="W702" s="319"/>
      <c r="X702" s="319"/>
      <c r="Y702" s="319"/>
    </row>
    <row r="703" spans="1:25" x14ac:dyDescent="0.2">
      <c r="A703" s="312">
        <v>3</v>
      </c>
      <c r="B703" s="426" t="s">
        <v>2005</v>
      </c>
      <c r="C703" s="427" t="s">
        <v>1856</v>
      </c>
      <c r="D703" s="313">
        <v>305122025</v>
      </c>
      <c r="E703" s="45"/>
      <c r="F703" s="313">
        <v>302019357</v>
      </c>
      <c r="G703" s="313"/>
      <c r="H703" s="313">
        <v>0</v>
      </c>
      <c r="I703" s="313"/>
      <c r="J703" s="313">
        <v>3102668</v>
      </c>
      <c r="K703" s="313">
        <v>3102668</v>
      </c>
      <c r="L703" s="313">
        <v>0</v>
      </c>
      <c r="M703" s="313"/>
      <c r="N703" s="313"/>
      <c r="O703" s="313">
        <v>305122025</v>
      </c>
      <c r="P703" s="313"/>
      <c r="Q703" s="313"/>
      <c r="R703" s="313"/>
      <c r="S703" s="313"/>
      <c r="T703" s="313"/>
      <c r="U703" s="319"/>
      <c r="V703" s="319"/>
      <c r="W703" s="316"/>
      <c r="X703" s="319"/>
      <c r="Y703" s="319"/>
    </row>
    <row r="704" spans="1:25" x14ac:dyDescent="0.2">
      <c r="A704" s="312">
        <v>4</v>
      </c>
      <c r="B704" s="426" t="s">
        <v>2006</v>
      </c>
      <c r="C704" s="427" t="s">
        <v>1858</v>
      </c>
      <c r="D704" s="313">
        <v>449646390</v>
      </c>
      <c r="E704" s="45"/>
      <c r="F704" s="313">
        <v>449646390</v>
      </c>
      <c r="G704" s="313"/>
      <c r="H704" s="313">
        <v>0</v>
      </c>
      <c r="I704" s="313"/>
      <c r="J704" s="313">
        <v>0</v>
      </c>
      <c r="K704" s="313">
        <v>0</v>
      </c>
      <c r="L704" s="313">
        <v>0</v>
      </c>
      <c r="M704" s="313"/>
      <c r="N704" s="313"/>
      <c r="O704" s="313">
        <v>449646390</v>
      </c>
      <c r="P704" s="313"/>
      <c r="Q704" s="313"/>
      <c r="R704" s="313"/>
      <c r="S704" s="313"/>
      <c r="T704" s="313"/>
      <c r="U704" s="319"/>
      <c r="V704" s="319"/>
      <c r="W704" s="319"/>
      <c r="X704" s="319"/>
      <c r="Y704" s="319"/>
    </row>
    <row r="705" spans="1:27" x14ac:dyDescent="0.2">
      <c r="A705" s="312">
        <v>5</v>
      </c>
      <c r="B705" s="426" t="s">
        <v>2007</v>
      </c>
      <c r="C705" s="427" t="s">
        <v>1860</v>
      </c>
      <c r="D705" s="313">
        <v>472111952</v>
      </c>
      <c r="E705" s="45"/>
      <c r="F705" s="313">
        <v>472111952</v>
      </c>
      <c r="G705" s="313"/>
      <c r="H705" s="313">
        <v>0</v>
      </c>
      <c r="I705" s="313"/>
      <c r="J705" s="313">
        <v>0</v>
      </c>
      <c r="K705" s="313">
        <v>0</v>
      </c>
      <c r="L705" s="313">
        <v>0</v>
      </c>
      <c r="M705" s="313"/>
      <c r="N705" s="313"/>
      <c r="O705" s="313">
        <v>472111952</v>
      </c>
      <c r="P705" s="313"/>
      <c r="Q705" s="313"/>
      <c r="R705" s="313"/>
      <c r="S705" s="313"/>
      <c r="T705" s="313"/>
      <c r="U705" s="319"/>
      <c r="V705" s="319"/>
      <c r="W705" s="319"/>
      <c r="X705" s="319"/>
      <c r="Y705" s="319"/>
    </row>
    <row r="706" spans="1:27" x14ac:dyDescent="0.2">
      <c r="A706" s="312">
        <v>6</v>
      </c>
      <c r="B706" s="426" t="s">
        <v>2008</v>
      </c>
      <c r="C706" s="427" t="s">
        <v>1862</v>
      </c>
      <c r="D706" s="313">
        <v>2524145</v>
      </c>
      <c r="E706" s="45"/>
      <c r="F706" s="313">
        <v>2524145</v>
      </c>
      <c r="G706" s="313"/>
      <c r="H706" s="313">
        <v>0</v>
      </c>
      <c r="I706" s="313"/>
      <c r="J706" s="313">
        <v>0</v>
      </c>
      <c r="K706" s="313">
        <v>0</v>
      </c>
      <c r="L706" s="313">
        <v>0</v>
      </c>
      <c r="M706" s="313"/>
      <c r="N706" s="313"/>
      <c r="O706" s="313">
        <v>2524145</v>
      </c>
      <c r="P706" s="313"/>
      <c r="Q706" s="313"/>
      <c r="R706" s="313"/>
      <c r="S706" s="313"/>
      <c r="T706" s="313"/>
      <c r="U706" s="319"/>
      <c r="V706" s="319"/>
      <c r="W706" s="319"/>
      <c r="X706" s="319"/>
      <c r="Y706" s="319"/>
    </row>
    <row r="707" spans="1:27" x14ac:dyDescent="0.2">
      <c r="A707" s="312">
        <v>7</v>
      </c>
      <c r="B707" s="426" t="s">
        <v>2009</v>
      </c>
      <c r="C707" s="427" t="s">
        <v>1864</v>
      </c>
      <c r="D707" s="313">
        <v>245161810</v>
      </c>
      <c r="E707" s="45"/>
      <c r="F707" s="313">
        <v>245161810</v>
      </c>
      <c r="G707" s="313"/>
      <c r="H707" s="313">
        <v>0</v>
      </c>
      <c r="I707" s="313"/>
      <c r="J707" s="313">
        <v>0</v>
      </c>
      <c r="K707" s="313">
        <v>0</v>
      </c>
      <c r="L707" s="313">
        <v>0</v>
      </c>
      <c r="M707" s="313"/>
      <c r="N707" s="313"/>
      <c r="O707" s="313">
        <v>245161810</v>
      </c>
      <c r="P707" s="313"/>
      <c r="Q707" s="313"/>
      <c r="R707" s="313"/>
      <c r="S707" s="313"/>
      <c r="T707" s="313"/>
      <c r="U707" s="319"/>
      <c r="V707" s="319"/>
      <c r="W707" s="319"/>
      <c r="X707" s="319"/>
      <c r="Y707" s="319"/>
    </row>
    <row r="708" spans="1:27" x14ac:dyDescent="0.2">
      <c r="A708" s="45"/>
      <c r="B708" s="426" t="s">
        <v>2010</v>
      </c>
      <c r="C708" s="311"/>
      <c r="D708" s="45"/>
      <c r="E708" s="45"/>
      <c r="F708" s="313"/>
      <c r="G708" s="313"/>
      <c r="H708" s="313"/>
      <c r="I708" s="313"/>
      <c r="J708" s="313"/>
      <c r="K708" s="313"/>
      <c r="L708" s="313"/>
      <c r="M708" s="313"/>
      <c r="N708" s="313"/>
      <c r="O708" s="313"/>
      <c r="P708" s="313"/>
      <c r="Q708" s="313"/>
      <c r="R708" s="313"/>
      <c r="S708" s="313"/>
      <c r="T708" s="313"/>
      <c r="V708" s="319"/>
    </row>
    <row r="709" spans="1:27" x14ac:dyDescent="0.2">
      <c r="A709" s="312">
        <v>8</v>
      </c>
      <c r="B709" s="423" t="s">
        <v>1</v>
      </c>
      <c r="C709" s="424" t="s">
        <v>1364</v>
      </c>
      <c r="D709" s="313">
        <v>5363042</v>
      </c>
      <c r="E709" s="45"/>
      <c r="F709" s="313">
        <v>5363042</v>
      </c>
      <c r="G709" s="313"/>
      <c r="H709" s="313">
        <v>0</v>
      </c>
      <c r="I709" s="313"/>
      <c r="J709" s="313">
        <v>0</v>
      </c>
      <c r="K709" s="313">
        <v>0</v>
      </c>
      <c r="L709" s="313">
        <v>0</v>
      </c>
      <c r="M709" s="313"/>
      <c r="N709" s="313"/>
      <c r="O709" s="313">
        <v>5363042</v>
      </c>
      <c r="P709" s="313"/>
      <c r="Q709" s="313"/>
      <c r="R709" s="313" t="s">
        <v>2227</v>
      </c>
      <c r="S709" s="313"/>
      <c r="T709" s="313"/>
      <c r="U709" s="319"/>
      <c r="V709" s="319"/>
      <c r="W709" s="316"/>
      <c r="X709" s="319"/>
      <c r="Y709" s="319"/>
      <c r="AA709" s="319"/>
    </row>
    <row r="710" spans="1:27" x14ac:dyDescent="0.2">
      <c r="A710" s="312">
        <v>9</v>
      </c>
      <c r="B710" s="423" t="s">
        <v>2</v>
      </c>
      <c r="C710" s="424" t="s">
        <v>1364</v>
      </c>
      <c r="D710" s="313">
        <v>321195483</v>
      </c>
      <c r="E710" s="45"/>
      <c r="F710" s="313">
        <v>321195483</v>
      </c>
      <c r="G710" s="313"/>
      <c r="H710" s="313">
        <v>0</v>
      </c>
      <c r="I710" s="313"/>
      <c r="J710" s="313">
        <v>0</v>
      </c>
      <c r="K710" s="313">
        <v>0</v>
      </c>
      <c r="L710" s="313">
        <v>0</v>
      </c>
      <c r="M710" s="313"/>
      <c r="N710" s="313"/>
      <c r="O710" s="313">
        <v>321195483</v>
      </c>
      <c r="P710" s="313"/>
      <c r="Q710" s="313"/>
      <c r="R710" s="313"/>
      <c r="S710" s="313"/>
      <c r="T710" s="313"/>
      <c r="U710" s="319"/>
      <c r="V710" s="319"/>
      <c r="W710" s="319"/>
      <c r="X710" s="319"/>
      <c r="Y710" s="319"/>
    </row>
    <row r="711" spans="1:27" x14ac:dyDescent="0.2">
      <c r="A711" s="312">
        <v>10</v>
      </c>
      <c r="B711" s="426" t="s">
        <v>2011</v>
      </c>
      <c r="C711" s="311"/>
      <c r="D711" s="313">
        <v>326558524</v>
      </c>
      <c r="E711" s="45"/>
      <c r="F711" s="313">
        <v>326558524</v>
      </c>
      <c r="G711" s="313"/>
      <c r="H711" s="313">
        <v>0</v>
      </c>
      <c r="I711" s="313"/>
      <c r="J711" s="313">
        <v>0</v>
      </c>
      <c r="K711" s="313">
        <v>0</v>
      </c>
      <c r="L711" s="313">
        <v>0</v>
      </c>
      <c r="M711" s="313"/>
      <c r="N711" s="313"/>
      <c r="O711" s="313">
        <v>326558524</v>
      </c>
      <c r="P711" s="313" t="s">
        <v>557</v>
      </c>
      <c r="Q711" s="313"/>
      <c r="R711" s="313"/>
      <c r="S711" s="313"/>
      <c r="T711" s="313"/>
      <c r="U711" s="324"/>
      <c r="V711" s="319"/>
      <c r="W711" s="319"/>
    </row>
    <row r="712" spans="1:27" x14ac:dyDescent="0.2">
      <c r="A712" s="312">
        <v>11</v>
      </c>
      <c r="B712" s="426" t="s">
        <v>2012</v>
      </c>
      <c r="C712" s="424" t="s">
        <v>1384</v>
      </c>
      <c r="D712" s="313">
        <v>124944572</v>
      </c>
      <c r="E712" s="45"/>
      <c r="F712" s="313">
        <v>124944572</v>
      </c>
      <c r="G712" s="313"/>
      <c r="H712" s="313">
        <v>0</v>
      </c>
      <c r="I712" s="313"/>
      <c r="J712" s="313">
        <v>0</v>
      </c>
      <c r="K712" s="313">
        <v>0</v>
      </c>
      <c r="L712" s="313">
        <v>0</v>
      </c>
      <c r="M712" s="313"/>
      <c r="N712" s="313"/>
      <c r="O712" s="313">
        <v>124944572</v>
      </c>
      <c r="P712" s="313"/>
      <c r="Q712" s="313"/>
      <c r="R712" s="313"/>
      <c r="S712" s="313"/>
      <c r="T712" s="313"/>
      <c r="U712" s="319"/>
      <c r="V712" s="319"/>
      <c r="W712" s="319"/>
      <c r="X712" s="319"/>
      <c r="Y712" s="319"/>
    </row>
    <row r="713" spans="1:27" x14ac:dyDescent="0.2">
      <c r="A713" s="312">
        <v>12</v>
      </c>
      <c r="B713" s="426" t="s">
        <v>2013</v>
      </c>
      <c r="C713" s="424" t="s">
        <v>1386</v>
      </c>
      <c r="D713" s="313">
        <v>77200740</v>
      </c>
      <c r="E713" s="45"/>
      <c r="F713" s="313">
        <v>77153432</v>
      </c>
      <c r="G713" s="313"/>
      <c r="H713" s="313">
        <v>0</v>
      </c>
      <c r="I713" s="313"/>
      <c r="J713" s="313">
        <v>47308</v>
      </c>
      <c r="K713" s="313">
        <v>20456</v>
      </c>
      <c r="L713" s="313">
        <v>26852</v>
      </c>
      <c r="M713" s="313"/>
      <c r="N713" s="313"/>
      <c r="O713" s="313">
        <v>77200740</v>
      </c>
      <c r="P713" s="313"/>
      <c r="Q713" s="313"/>
      <c r="R713" s="313"/>
      <c r="S713" s="313"/>
      <c r="T713" s="313"/>
      <c r="U713" s="319"/>
      <c r="V713" s="319"/>
      <c r="W713" s="319"/>
      <c r="X713" s="319"/>
      <c r="Y713" s="319"/>
    </row>
    <row r="714" spans="1:27" x14ac:dyDescent="0.2">
      <c r="A714" s="312">
        <v>13</v>
      </c>
      <c r="B714" s="426" t="s">
        <v>2014</v>
      </c>
      <c r="C714" s="424" t="s">
        <v>1388</v>
      </c>
      <c r="D714" s="313">
        <v>159234</v>
      </c>
      <c r="E714" s="45"/>
      <c r="F714" s="313">
        <v>159234</v>
      </c>
      <c r="G714" s="313"/>
      <c r="H714" s="313">
        <v>0</v>
      </c>
      <c r="I714" s="313"/>
      <c r="J714" s="313">
        <v>0</v>
      </c>
      <c r="K714" s="313">
        <v>0</v>
      </c>
      <c r="L714" s="313">
        <v>0</v>
      </c>
      <c r="M714" s="313"/>
      <c r="N714" s="313"/>
      <c r="O714" s="313">
        <v>159234</v>
      </c>
      <c r="P714" s="313"/>
      <c r="Q714" s="313"/>
      <c r="R714" s="313"/>
      <c r="S714" s="313"/>
      <c r="T714" s="313"/>
      <c r="U714" s="319"/>
      <c r="V714" s="319"/>
      <c r="W714" s="319"/>
      <c r="X714" s="319"/>
      <c r="Y714" s="319"/>
    </row>
    <row r="715" spans="1:27" x14ac:dyDescent="0.2">
      <c r="A715" s="312">
        <v>14</v>
      </c>
      <c r="B715" s="426" t="s">
        <v>2015</v>
      </c>
      <c r="C715" s="424" t="s">
        <v>1390</v>
      </c>
      <c r="D715" s="313">
        <v>143087299</v>
      </c>
      <c r="E715" s="45"/>
      <c r="F715" s="313">
        <v>143087299</v>
      </c>
      <c r="G715" s="313"/>
      <c r="H715" s="313">
        <v>0</v>
      </c>
      <c r="I715" s="313"/>
      <c r="J715" s="313">
        <v>0</v>
      </c>
      <c r="K715" s="313">
        <v>0</v>
      </c>
      <c r="L715" s="313">
        <v>0</v>
      </c>
      <c r="M715" s="313"/>
      <c r="N715" s="313"/>
      <c r="O715" s="313">
        <v>143087299</v>
      </c>
      <c r="P715" s="313"/>
      <c r="Q715" s="313"/>
      <c r="R715" s="313"/>
      <c r="S715" s="313"/>
      <c r="T715" s="313"/>
      <c r="U715" s="319"/>
      <c r="V715" s="319"/>
      <c r="W715" s="319"/>
      <c r="X715" s="319"/>
      <c r="Y715" s="319"/>
    </row>
    <row r="716" spans="1:27" x14ac:dyDescent="0.2">
      <c r="A716" s="312">
        <v>15</v>
      </c>
      <c r="B716" s="426" t="s">
        <v>1785</v>
      </c>
      <c r="C716" s="424" t="s">
        <v>1786</v>
      </c>
      <c r="D716" s="313">
        <v>510376</v>
      </c>
      <c r="E716" s="45"/>
      <c r="F716" s="313">
        <v>510376</v>
      </c>
      <c r="G716" s="313"/>
      <c r="H716" s="313">
        <v>0</v>
      </c>
      <c r="I716" s="313"/>
      <c r="J716" s="313">
        <v>0</v>
      </c>
      <c r="K716" s="313">
        <v>0</v>
      </c>
      <c r="L716" s="313">
        <v>0</v>
      </c>
      <c r="M716" s="313"/>
      <c r="N716" s="313"/>
      <c r="O716" s="313">
        <v>510376</v>
      </c>
      <c r="P716" s="313"/>
      <c r="Q716" s="313"/>
      <c r="R716" s="313"/>
      <c r="S716" s="313"/>
      <c r="T716" s="313"/>
      <c r="U716" s="319"/>
      <c r="V716" s="319"/>
      <c r="W716" s="319"/>
      <c r="X716" s="319"/>
      <c r="Y716" s="319"/>
    </row>
    <row r="717" spans="1:27" x14ac:dyDescent="0.2">
      <c r="A717" s="312">
        <v>16</v>
      </c>
      <c r="B717" s="423" t="s">
        <v>3</v>
      </c>
      <c r="C717" s="311"/>
      <c r="D717" s="313">
        <v>2187042871</v>
      </c>
      <c r="E717" s="45"/>
      <c r="F717" s="313">
        <v>2183514400</v>
      </c>
      <c r="G717" s="313"/>
      <c r="H717" s="313">
        <v>0</v>
      </c>
      <c r="I717" s="313"/>
      <c r="J717" s="313">
        <v>3528471</v>
      </c>
      <c r="K717" s="313">
        <v>3501619</v>
      </c>
      <c r="L717" s="313">
        <v>26852</v>
      </c>
      <c r="M717" s="313"/>
      <c r="N717" s="313"/>
      <c r="O717" s="313"/>
      <c r="P717" s="313" t="s">
        <v>557</v>
      </c>
      <c r="Q717" s="313">
        <v>2187042871</v>
      </c>
      <c r="R717" s="313">
        <v>0</v>
      </c>
      <c r="S717" s="313"/>
      <c r="T717" s="313"/>
      <c r="U717" s="324"/>
      <c r="V717" s="319"/>
      <c r="W717" s="319"/>
    </row>
    <row r="718" spans="1:27" x14ac:dyDescent="0.2">
      <c r="A718" s="45"/>
      <c r="B718" s="311"/>
      <c r="C718" s="311"/>
      <c r="D718" s="45"/>
      <c r="E718" s="45"/>
      <c r="F718" s="313"/>
      <c r="G718" s="313"/>
      <c r="H718" s="313"/>
      <c r="I718" s="313"/>
      <c r="J718" s="313"/>
      <c r="K718" s="313"/>
      <c r="L718" s="313"/>
      <c r="M718" s="313"/>
      <c r="N718" s="313"/>
      <c r="O718" s="313"/>
      <c r="P718" s="313"/>
      <c r="Q718" s="313"/>
      <c r="R718" s="313"/>
      <c r="S718" s="313"/>
      <c r="T718" s="313"/>
      <c r="V718" s="319"/>
      <c r="W718" s="319"/>
    </row>
    <row r="719" spans="1:27" x14ac:dyDescent="0.2">
      <c r="A719" s="45"/>
      <c r="B719" s="423" t="s">
        <v>4</v>
      </c>
      <c r="C719" s="311"/>
      <c r="D719" s="45"/>
      <c r="E719" s="45"/>
      <c r="F719" s="313"/>
      <c r="G719" s="313"/>
      <c r="H719" s="313"/>
      <c r="I719" s="313"/>
      <c r="J719" s="313"/>
      <c r="K719" s="313"/>
      <c r="L719" s="313"/>
      <c r="M719" s="313"/>
      <c r="N719" s="313"/>
      <c r="O719" s="313"/>
      <c r="P719" s="313"/>
      <c r="Q719" s="313"/>
      <c r="R719" s="313"/>
      <c r="S719" s="313"/>
      <c r="T719" s="313"/>
      <c r="V719" s="319"/>
      <c r="W719" s="319"/>
    </row>
    <row r="720" spans="1:27" x14ac:dyDescent="0.2">
      <c r="A720" s="312">
        <v>17</v>
      </c>
      <c r="B720" s="426" t="s">
        <v>2003</v>
      </c>
      <c r="C720" s="427" t="s">
        <v>1868</v>
      </c>
      <c r="D720" s="313">
        <v>305488</v>
      </c>
      <c r="E720" s="45"/>
      <c r="F720" s="313">
        <v>0</v>
      </c>
      <c r="G720" s="313"/>
      <c r="H720" s="313">
        <v>305488</v>
      </c>
      <c r="I720" s="313"/>
      <c r="J720" s="313">
        <v>0</v>
      </c>
      <c r="K720" s="313">
        <v>0</v>
      </c>
      <c r="L720" s="313">
        <v>0</v>
      </c>
      <c r="M720" s="313"/>
      <c r="N720" s="313"/>
      <c r="O720" s="313">
        <v>305488</v>
      </c>
      <c r="P720" s="313"/>
      <c r="Q720" s="313"/>
      <c r="R720" s="313"/>
      <c r="S720" s="313"/>
      <c r="T720" s="313"/>
      <c r="U720" s="319"/>
      <c r="V720" s="319"/>
      <c r="W720" s="319"/>
      <c r="X720" s="319"/>
      <c r="Y720" s="319"/>
    </row>
    <row r="721" spans="1:27" x14ac:dyDescent="0.2">
      <c r="A721" s="312">
        <v>18</v>
      </c>
      <c r="B721" s="426" t="s">
        <v>2004</v>
      </c>
      <c r="C721" s="427" t="s">
        <v>1870</v>
      </c>
      <c r="D721" s="313">
        <v>652265</v>
      </c>
      <c r="E721" s="45"/>
      <c r="F721" s="313">
        <v>0</v>
      </c>
      <c r="G721" s="313"/>
      <c r="H721" s="313">
        <v>652265</v>
      </c>
      <c r="I721" s="313"/>
      <c r="J721" s="313">
        <v>0</v>
      </c>
      <c r="K721" s="313">
        <v>0</v>
      </c>
      <c r="L721" s="313">
        <v>0</v>
      </c>
      <c r="M721" s="313"/>
      <c r="N721" s="313"/>
      <c r="O721" s="313">
        <v>652265</v>
      </c>
      <c r="P721" s="313"/>
      <c r="Q721" s="313"/>
      <c r="R721" s="313"/>
      <c r="S721" s="313"/>
      <c r="T721" s="313"/>
      <c r="U721" s="319"/>
      <c r="V721" s="319"/>
      <c r="W721" s="319"/>
      <c r="X721" s="319"/>
      <c r="Y721" s="319"/>
    </row>
    <row r="722" spans="1:27" x14ac:dyDescent="0.2">
      <c r="A722" s="312">
        <v>19</v>
      </c>
      <c r="B722" s="426" t="s">
        <v>2005</v>
      </c>
      <c r="C722" s="427" t="s">
        <v>1872</v>
      </c>
      <c r="D722" s="313">
        <v>9218685</v>
      </c>
      <c r="E722" s="45"/>
      <c r="F722" s="313">
        <v>0</v>
      </c>
      <c r="G722" s="313"/>
      <c r="H722" s="313">
        <v>9218685</v>
      </c>
      <c r="I722" s="313"/>
      <c r="J722" s="313">
        <v>0</v>
      </c>
      <c r="K722" s="313">
        <v>0</v>
      </c>
      <c r="L722" s="313">
        <v>0</v>
      </c>
      <c r="M722" s="313"/>
      <c r="N722" s="313"/>
      <c r="O722" s="313">
        <v>9218685</v>
      </c>
      <c r="P722" s="313"/>
      <c r="Q722" s="313"/>
      <c r="R722" s="313"/>
      <c r="S722" s="313"/>
      <c r="T722" s="313"/>
      <c r="U722" s="319"/>
      <c r="V722" s="319"/>
      <c r="W722" s="319"/>
      <c r="X722" s="319"/>
      <c r="Y722" s="319"/>
    </row>
    <row r="723" spans="1:27" x14ac:dyDescent="0.2">
      <c r="A723" s="312">
        <v>20</v>
      </c>
      <c r="B723" s="426" t="s">
        <v>2006</v>
      </c>
      <c r="C723" s="427" t="s">
        <v>1874</v>
      </c>
      <c r="D723" s="313">
        <v>33401558</v>
      </c>
      <c r="E723" s="45"/>
      <c r="F723" s="313">
        <v>0</v>
      </c>
      <c r="G723" s="313"/>
      <c r="H723" s="313">
        <v>33401558</v>
      </c>
      <c r="I723" s="313"/>
      <c r="J723" s="313">
        <v>0</v>
      </c>
      <c r="K723" s="313">
        <v>0</v>
      </c>
      <c r="L723" s="313">
        <v>0</v>
      </c>
      <c r="M723" s="313"/>
      <c r="N723" s="313"/>
      <c r="O723" s="313">
        <v>33401558</v>
      </c>
      <c r="P723" s="313"/>
      <c r="Q723" s="313"/>
      <c r="R723" s="313"/>
      <c r="S723" s="313"/>
      <c r="T723" s="313"/>
      <c r="U723" s="319"/>
      <c r="V723" s="319"/>
      <c r="W723" s="319"/>
      <c r="X723" s="319"/>
      <c r="Y723" s="319"/>
    </row>
    <row r="724" spans="1:27" x14ac:dyDescent="0.2">
      <c r="A724" s="312">
        <v>21</v>
      </c>
      <c r="B724" s="426" t="s">
        <v>2007</v>
      </c>
      <c r="C724" s="427" t="s">
        <v>1876</v>
      </c>
      <c r="D724" s="313">
        <v>31936306</v>
      </c>
      <c r="E724" s="45"/>
      <c r="F724" s="313">
        <v>0</v>
      </c>
      <c r="G724" s="313"/>
      <c r="H724" s="313">
        <v>31936306</v>
      </c>
      <c r="I724" s="313"/>
      <c r="J724" s="313">
        <v>0</v>
      </c>
      <c r="K724" s="313">
        <v>0</v>
      </c>
      <c r="L724" s="313">
        <v>0</v>
      </c>
      <c r="M724" s="313"/>
      <c r="N724" s="313"/>
      <c r="O724" s="313">
        <v>31936306</v>
      </c>
      <c r="P724" s="313"/>
      <c r="Q724" s="313"/>
      <c r="R724" s="313"/>
      <c r="S724" s="313"/>
      <c r="T724" s="313"/>
      <c r="U724" s="319"/>
      <c r="V724" s="319"/>
      <c r="W724" s="319"/>
      <c r="X724" s="319"/>
      <c r="Y724" s="319"/>
    </row>
    <row r="725" spans="1:27" x14ac:dyDescent="0.2">
      <c r="A725" s="312">
        <v>22</v>
      </c>
      <c r="B725" s="426" t="s">
        <v>2009</v>
      </c>
      <c r="C725" s="427" t="s">
        <v>1878</v>
      </c>
      <c r="D725" s="313">
        <v>5388250</v>
      </c>
      <c r="E725" s="45"/>
      <c r="F725" s="313">
        <v>0</v>
      </c>
      <c r="G725" s="313"/>
      <c r="H725" s="313">
        <v>5388250</v>
      </c>
      <c r="I725" s="313"/>
      <c r="J725" s="313">
        <v>0</v>
      </c>
      <c r="K725" s="313">
        <v>0</v>
      </c>
      <c r="L725" s="313">
        <v>0</v>
      </c>
      <c r="M725" s="313"/>
      <c r="N725" s="313"/>
      <c r="O725" s="313">
        <v>5388250</v>
      </c>
      <c r="P725" s="313"/>
      <c r="Q725" s="313"/>
      <c r="R725" s="313"/>
      <c r="S725" s="313"/>
      <c r="T725" s="313"/>
      <c r="U725" s="319"/>
      <c r="V725" s="319"/>
      <c r="W725" s="319"/>
      <c r="X725" s="319"/>
      <c r="Y725" s="319"/>
    </row>
    <row r="726" spans="1:27" x14ac:dyDescent="0.2">
      <c r="A726" s="45"/>
      <c r="B726" s="426" t="s">
        <v>2010</v>
      </c>
      <c r="C726" s="311"/>
      <c r="D726" s="45"/>
      <c r="E726" s="45"/>
      <c r="F726" s="313"/>
      <c r="G726" s="313"/>
      <c r="H726" s="313"/>
      <c r="I726" s="313"/>
      <c r="J726" s="313"/>
      <c r="K726" s="313"/>
      <c r="L726" s="313"/>
      <c r="M726" s="313"/>
      <c r="N726" s="313"/>
      <c r="O726" s="313"/>
      <c r="P726" s="313"/>
      <c r="Q726" s="313"/>
      <c r="R726" s="313"/>
      <c r="S726" s="313"/>
      <c r="T726" s="313"/>
      <c r="V726" s="319"/>
      <c r="W726" s="319"/>
    </row>
    <row r="727" spans="1:27" x14ac:dyDescent="0.2">
      <c r="A727" s="312">
        <v>23</v>
      </c>
      <c r="B727" s="423" t="s">
        <v>1</v>
      </c>
      <c r="C727" s="424" t="s">
        <v>1365</v>
      </c>
      <c r="D727" s="313">
        <v>110560</v>
      </c>
      <c r="E727" s="45"/>
      <c r="F727" s="313">
        <v>0</v>
      </c>
      <c r="G727" s="313"/>
      <c r="H727" s="313">
        <v>110560</v>
      </c>
      <c r="I727" s="313"/>
      <c r="J727" s="313">
        <v>0</v>
      </c>
      <c r="K727" s="313">
        <v>0</v>
      </c>
      <c r="L727" s="313">
        <v>0</v>
      </c>
      <c r="M727" s="313"/>
      <c r="N727" s="313"/>
      <c r="O727" s="313">
        <v>110560</v>
      </c>
      <c r="P727" s="313"/>
      <c r="Q727" s="313"/>
      <c r="R727" s="313" t="s">
        <v>2228</v>
      </c>
      <c r="S727" s="313"/>
      <c r="T727" s="313"/>
      <c r="U727" s="319"/>
      <c r="V727" s="319"/>
      <c r="W727" s="316"/>
      <c r="X727" s="319"/>
      <c r="Y727" s="319"/>
      <c r="AA727" s="319"/>
    </row>
    <row r="728" spans="1:27" x14ac:dyDescent="0.2">
      <c r="A728" s="312">
        <v>24</v>
      </c>
      <c r="B728" s="423" t="s">
        <v>2</v>
      </c>
      <c r="C728" s="424" t="s">
        <v>1365</v>
      </c>
      <c r="D728" s="313">
        <v>10950955</v>
      </c>
      <c r="E728" s="45"/>
      <c r="F728" s="313">
        <v>0</v>
      </c>
      <c r="G728" s="313"/>
      <c r="H728" s="313">
        <v>10950955</v>
      </c>
      <c r="I728" s="313"/>
      <c r="J728" s="313">
        <v>0</v>
      </c>
      <c r="K728" s="313">
        <v>0</v>
      </c>
      <c r="L728" s="313">
        <v>0</v>
      </c>
      <c r="M728" s="313"/>
      <c r="N728" s="313"/>
      <c r="O728" s="313">
        <v>10950955</v>
      </c>
      <c r="P728" s="313"/>
      <c r="Q728" s="313"/>
      <c r="R728" s="313"/>
      <c r="S728" s="313"/>
      <c r="T728" s="313"/>
      <c r="U728" s="319"/>
      <c r="V728" s="319"/>
      <c r="W728" s="319"/>
      <c r="X728" s="319"/>
      <c r="Y728" s="319"/>
    </row>
    <row r="729" spans="1:27" x14ac:dyDescent="0.2">
      <c r="A729" s="312">
        <v>25</v>
      </c>
      <c r="B729" s="426" t="s">
        <v>2011</v>
      </c>
      <c r="C729" s="311"/>
      <c r="D729" s="313">
        <v>11061515</v>
      </c>
      <c r="E729" s="45"/>
      <c r="F729" s="313">
        <v>0</v>
      </c>
      <c r="G729" s="313"/>
      <c r="H729" s="313">
        <v>11061515</v>
      </c>
      <c r="I729" s="313"/>
      <c r="J729" s="313">
        <v>0</v>
      </c>
      <c r="K729" s="313">
        <v>0</v>
      </c>
      <c r="L729" s="313">
        <v>0</v>
      </c>
      <c r="M729" s="313"/>
      <c r="N729" s="313"/>
      <c r="O729" s="313">
        <v>11061515</v>
      </c>
      <c r="P729" s="313" t="s">
        <v>557</v>
      </c>
      <c r="Q729" s="313"/>
      <c r="R729" s="313"/>
      <c r="S729" s="313"/>
      <c r="T729" s="313"/>
      <c r="U729" s="324"/>
      <c r="V729" s="319"/>
      <c r="W729" s="319"/>
    </row>
    <row r="730" spans="1:27" x14ac:dyDescent="0.2">
      <c r="A730" s="312">
        <v>26</v>
      </c>
      <c r="B730" s="426" t="s">
        <v>2012</v>
      </c>
      <c r="C730" s="424" t="s">
        <v>1402</v>
      </c>
      <c r="D730" s="313">
        <v>6306473</v>
      </c>
      <c r="E730" s="45"/>
      <c r="F730" s="313">
        <v>0</v>
      </c>
      <c r="G730" s="313"/>
      <c r="H730" s="313">
        <v>6306473</v>
      </c>
      <c r="I730" s="313"/>
      <c r="J730" s="313">
        <v>0</v>
      </c>
      <c r="K730" s="313">
        <v>0</v>
      </c>
      <c r="L730" s="313">
        <v>0</v>
      </c>
      <c r="M730" s="313"/>
      <c r="N730" s="313"/>
      <c r="O730" s="313">
        <v>6306473</v>
      </c>
      <c r="P730" s="313"/>
      <c r="Q730" s="313"/>
      <c r="R730" s="313"/>
      <c r="S730" s="313"/>
      <c r="T730" s="313"/>
      <c r="U730" s="319"/>
      <c r="V730" s="319"/>
      <c r="W730" s="319"/>
      <c r="X730" s="319"/>
      <c r="Y730" s="319"/>
    </row>
    <row r="731" spans="1:27" x14ac:dyDescent="0.2">
      <c r="A731" s="312">
        <v>27</v>
      </c>
      <c r="B731" s="426" t="s">
        <v>2013</v>
      </c>
      <c r="C731" s="424" t="s">
        <v>1404</v>
      </c>
      <c r="D731" s="313">
        <v>4187481</v>
      </c>
      <c r="E731" s="45"/>
      <c r="F731" s="313">
        <v>0</v>
      </c>
      <c r="G731" s="313"/>
      <c r="H731" s="313">
        <v>4187481</v>
      </c>
      <c r="I731" s="313"/>
      <c r="J731" s="313">
        <v>0</v>
      </c>
      <c r="K731" s="313">
        <v>0</v>
      </c>
      <c r="L731" s="313">
        <v>0</v>
      </c>
      <c r="M731" s="313"/>
      <c r="N731" s="313"/>
      <c r="O731" s="313">
        <v>4187481</v>
      </c>
      <c r="P731" s="313"/>
      <c r="Q731" s="313"/>
      <c r="R731" s="313"/>
      <c r="S731" s="313"/>
      <c r="T731" s="313"/>
      <c r="U731" s="319"/>
      <c r="V731" s="319"/>
      <c r="W731" s="319"/>
      <c r="X731" s="319"/>
      <c r="Y731" s="319"/>
    </row>
    <row r="732" spans="1:27" x14ac:dyDescent="0.2">
      <c r="A732" s="312">
        <v>28</v>
      </c>
      <c r="B732" s="426" t="s">
        <v>2014</v>
      </c>
      <c r="C732" s="424" t="s">
        <v>1406</v>
      </c>
      <c r="D732" s="313">
        <v>0</v>
      </c>
      <c r="E732" s="45"/>
      <c r="F732" s="313">
        <v>0</v>
      </c>
      <c r="G732" s="313"/>
      <c r="H732" s="313">
        <v>0</v>
      </c>
      <c r="I732" s="313"/>
      <c r="J732" s="313">
        <v>0</v>
      </c>
      <c r="K732" s="313">
        <v>0</v>
      </c>
      <c r="L732" s="313">
        <v>0</v>
      </c>
      <c r="M732" s="313"/>
      <c r="N732" s="313"/>
      <c r="O732" s="313">
        <v>0</v>
      </c>
      <c r="P732" s="313"/>
      <c r="Q732" s="313"/>
      <c r="R732" s="313"/>
      <c r="S732" s="313"/>
      <c r="T732" s="313"/>
      <c r="U732" s="319"/>
      <c r="V732" s="319"/>
      <c r="W732" s="319"/>
      <c r="X732" s="319"/>
      <c r="Y732" s="319"/>
    </row>
    <row r="733" spans="1:27" x14ac:dyDescent="0.2">
      <c r="A733" s="312">
        <v>29</v>
      </c>
      <c r="B733" s="426" t="s">
        <v>2015</v>
      </c>
      <c r="C733" s="424" t="s">
        <v>1408</v>
      </c>
      <c r="D733" s="313">
        <v>4244034</v>
      </c>
      <c r="E733" s="45"/>
      <c r="F733" s="313">
        <v>0</v>
      </c>
      <c r="G733" s="313"/>
      <c r="H733" s="313">
        <v>4244034</v>
      </c>
      <c r="I733" s="313"/>
      <c r="J733" s="313">
        <v>0</v>
      </c>
      <c r="K733" s="313">
        <v>0</v>
      </c>
      <c r="L733" s="313">
        <v>0</v>
      </c>
      <c r="M733" s="313"/>
      <c r="N733" s="313"/>
      <c r="O733" s="313">
        <v>4244034</v>
      </c>
      <c r="P733" s="313"/>
      <c r="Q733" s="313"/>
      <c r="R733" s="313"/>
      <c r="S733" s="313"/>
      <c r="T733" s="313"/>
      <c r="U733" s="319"/>
      <c r="V733" s="319"/>
      <c r="W733" s="319"/>
      <c r="X733" s="319"/>
      <c r="Y733" s="319"/>
    </row>
    <row r="734" spans="1:27" x14ac:dyDescent="0.2">
      <c r="A734" s="312">
        <v>30</v>
      </c>
      <c r="B734" s="423" t="s">
        <v>5</v>
      </c>
      <c r="C734" s="311"/>
      <c r="D734" s="313">
        <v>106702055</v>
      </c>
      <c r="E734" s="45"/>
      <c r="F734" s="313">
        <v>0</v>
      </c>
      <c r="G734" s="313"/>
      <c r="H734" s="313">
        <v>106702055</v>
      </c>
      <c r="I734" s="313"/>
      <c r="J734" s="313">
        <v>0</v>
      </c>
      <c r="K734" s="313">
        <v>0</v>
      </c>
      <c r="L734" s="313">
        <v>0</v>
      </c>
      <c r="M734" s="313"/>
      <c r="N734" s="313"/>
      <c r="O734" s="313"/>
      <c r="P734" s="313" t="s">
        <v>557</v>
      </c>
      <c r="Q734" s="313"/>
      <c r="R734" s="313"/>
      <c r="S734" s="313"/>
      <c r="T734" s="313"/>
      <c r="U734" s="324"/>
      <c r="V734" s="319"/>
      <c r="W734" s="319"/>
    </row>
    <row r="735" spans="1:27" x14ac:dyDescent="0.2">
      <c r="A735" s="45"/>
      <c r="B735" s="45"/>
      <c r="C735" s="311"/>
      <c r="D735" s="45"/>
      <c r="E735" s="45"/>
      <c r="F735" s="313"/>
      <c r="G735" s="313"/>
      <c r="H735" s="313"/>
      <c r="I735" s="313"/>
      <c r="J735" s="313"/>
      <c r="K735" s="313"/>
      <c r="L735" s="313"/>
      <c r="M735" s="313"/>
      <c r="N735" s="313"/>
      <c r="O735" s="313"/>
      <c r="P735" s="313"/>
      <c r="Q735" s="313"/>
      <c r="R735" s="313"/>
      <c r="S735" s="313"/>
      <c r="T735" s="313"/>
      <c r="V735" s="319"/>
      <c r="W735" s="319"/>
    </row>
    <row r="736" spans="1:27" x14ac:dyDescent="0.2">
      <c r="A736" s="45"/>
      <c r="B736" s="426" t="s">
        <v>2016</v>
      </c>
      <c r="C736" s="311"/>
      <c r="D736" s="45"/>
      <c r="E736" s="45"/>
      <c r="F736" s="313"/>
      <c r="G736" s="313"/>
      <c r="H736" s="313"/>
      <c r="I736" s="313"/>
      <c r="J736" s="313"/>
      <c r="K736" s="313"/>
      <c r="L736" s="313"/>
      <c r="M736" s="313"/>
      <c r="N736" s="313"/>
      <c r="O736" s="313"/>
      <c r="P736" s="313"/>
      <c r="Q736" s="313"/>
      <c r="R736" s="313"/>
      <c r="S736" s="313"/>
      <c r="T736" s="313"/>
      <c r="V736" s="319"/>
      <c r="W736" s="319"/>
    </row>
    <row r="737" spans="1:25" x14ac:dyDescent="0.2">
      <c r="A737" s="312">
        <v>31</v>
      </c>
      <c r="B737" s="426" t="s">
        <v>2003</v>
      </c>
      <c r="C737" s="424" t="s">
        <v>1881</v>
      </c>
      <c r="D737" s="313">
        <v>5040</v>
      </c>
      <c r="E737" s="45"/>
      <c r="F737" s="313">
        <v>5040</v>
      </c>
      <c r="G737" s="313"/>
      <c r="H737" s="313">
        <v>0</v>
      </c>
      <c r="I737" s="313"/>
      <c r="J737" s="313">
        <v>0</v>
      </c>
      <c r="K737" s="313">
        <v>0</v>
      </c>
      <c r="L737" s="313">
        <v>0</v>
      </c>
      <c r="M737" s="313"/>
      <c r="N737" s="313"/>
      <c r="O737" s="313">
        <v>5040</v>
      </c>
      <c r="P737" s="313" t="s">
        <v>557</v>
      </c>
      <c r="Q737" s="313"/>
      <c r="R737" s="313"/>
      <c r="S737" s="313"/>
      <c r="T737" s="313"/>
      <c r="U737" s="324"/>
      <c r="V737" s="319"/>
      <c r="W737" s="319"/>
      <c r="X737" s="319"/>
      <c r="Y737" s="319"/>
    </row>
    <row r="738" spans="1:25" x14ac:dyDescent="0.2">
      <c r="A738" s="312">
        <v>32</v>
      </c>
      <c r="B738" s="426" t="s">
        <v>2004</v>
      </c>
      <c r="C738" s="424" t="s">
        <v>1883</v>
      </c>
      <c r="D738" s="313">
        <v>2545</v>
      </c>
      <c r="E738" s="45"/>
      <c r="F738" s="313">
        <v>2545</v>
      </c>
      <c r="G738" s="313"/>
      <c r="H738" s="313">
        <v>0</v>
      </c>
      <c r="I738" s="313"/>
      <c r="J738" s="313">
        <v>0</v>
      </c>
      <c r="K738" s="313">
        <v>0</v>
      </c>
      <c r="L738" s="313">
        <v>0</v>
      </c>
      <c r="M738" s="313"/>
      <c r="N738" s="313"/>
      <c r="O738" s="313">
        <v>2545</v>
      </c>
      <c r="P738" s="313" t="s">
        <v>557</v>
      </c>
      <c r="Q738" s="313"/>
      <c r="R738" s="313"/>
      <c r="S738" s="313"/>
      <c r="T738" s="313"/>
      <c r="U738" s="324"/>
      <c r="V738" s="319"/>
      <c r="W738" s="319"/>
      <c r="X738" s="319"/>
      <c r="Y738" s="319"/>
    </row>
    <row r="739" spans="1:25" x14ac:dyDescent="0.2">
      <c r="A739" s="312">
        <v>33</v>
      </c>
      <c r="B739" s="426" t="s">
        <v>2005</v>
      </c>
      <c r="C739" s="424" t="s">
        <v>1885</v>
      </c>
      <c r="D739" s="313">
        <v>66853</v>
      </c>
      <c r="E739" s="45"/>
      <c r="F739" s="313">
        <v>66853</v>
      </c>
      <c r="G739" s="313"/>
      <c r="H739" s="313">
        <v>0</v>
      </c>
      <c r="I739" s="313"/>
      <c r="J739" s="313">
        <v>0</v>
      </c>
      <c r="K739" s="313">
        <v>0</v>
      </c>
      <c r="L739" s="313">
        <v>0</v>
      </c>
      <c r="M739" s="313"/>
      <c r="N739" s="313"/>
      <c r="O739" s="313">
        <v>66853</v>
      </c>
      <c r="P739" s="313" t="s">
        <v>557</v>
      </c>
      <c r="Q739" s="313"/>
      <c r="R739" s="313"/>
      <c r="S739" s="313"/>
      <c r="T739" s="313"/>
      <c r="U739" s="324"/>
      <c r="V739" s="319"/>
      <c r="W739" s="319"/>
      <c r="X739" s="319"/>
      <c r="Y739" s="319"/>
    </row>
    <row r="740" spans="1:25" x14ac:dyDescent="0.2">
      <c r="A740" s="312">
        <v>34</v>
      </c>
      <c r="B740" s="426" t="s">
        <v>2006</v>
      </c>
      <c r="C740" s="424" t="s">
        <v>1887</v>
      </c>
      <c r="D740" s="313">
        <v>15955</v>
      </c>
      <c r="E740" s="45"/>
      <c r="F740" s="313">
        <v>15955</v>
      </c>
      <c r="G740" s="313"/>
      <c r="H740" s="313">
        <v>0</v>
      </c>
      <c r="I740" s="313"/>
      <c r="J740" s="313">
        <v>0</v>
      </c>
      <c r="K740" s="313">
        <v>0</v>
      </c>
      <c r="L740" s="313">
        <v>0</v>
      </c>
      <c r="M740" s="313"/>
      <c r="N740" s="313"/>
      <c r="O740" s="313">
        <v>15955</v>
      </c>
      <c r="P740" s="313" t="s">
        <v>557</v>
      </c>
      <c r="Q740" s="313"/>
      <c r="R740" s="313"/>
      <c r="S740" s="313"/>
      <c r="T740" s="313"/>
      <c r="U740" s="324"/>
      <c r="V740" s="319"/>
      <c r="W740" s="319"/>
      <c r="X740" s="319"/>
      <c r="Y740" s="319"/>
    </row>
    <row r="741" spans="1:25" x14ac:dyDescent="0.2">
      <c r="A741" s="312">
        <v>35</v>
      </c>
      <c r="B741" s="426" t="s">
        <v>2007</v>
      </c>
      <c r="C741" s="424" t="s">
        <v>1889</v>
      </c>
      <c r="D741" s="313">
        <v>17140</v>
      </c>
      <c r="E741" s="45"/>
      <c r="F741" s="313">
        <v>17140</v>
      </c>
      <c r="G741" s="313"/>
      <c r="H741" s="313">
        <v>0</v>
      </c>
      <c r="I741" s="313"/>
      <c r="J741" s="313">
        <v>0</v>
      </c>
      <c r="K741" s="313">
        <v>0</v>
      </c>
      <c r="L741" s="313">
        <v>0</v>
      </c>
      <c r="M741" s="313"/>
      <c r="N741" s="313"/>
      <c r="O741" s="313">
        <v>17140</v>
      </c>
      <c r="P741" s="313" t="s">
        <v>557</v>
      </c>
      <c r="Q741" s="313"/>
      <c r="R741" s="313"/>
      <c r="S741" s="313"/>
      <c r="T741" s="313"/>
      <c r="U741" s="324"/>
      <c r="V741" s="319"/>
      <c r="W741" s="319"/>
      <c r="X741" s="319"/>
      <c r="Y741" s="319"/>
    </row>
    <row r="742" spans="1:25" x14ac:dyDescent="0.2">
      <c r="A742" s="312">
        <v>36</v>
      </c>
      <c r="B742" s="426" t="s">
        <v>2010</v>
      </c>
      <c r="C742" s="424" t="s">
        <v>1891</v>
      </c>
      <c r="D742" s="313">
        <v>0</v>
      </c>
      <c r="E742" s="45"/>
      <c r="F742" s="313">
        <v>0</v>
      </c>
      <c r="G742" s="313"/>
      <c r="H742" s="313">
        <v>0</v>
      </c>
      <c r="I742" s="313"/>
      <c r="J742" s="313">
        <v>0</v>
      </c>
      <c r="K742" s="313">
        <v>0</v>
      </c>
      <c r="L742" s="313">
        <v>0</v>
      </c>
      <c r="M742" s="313"/>
      <c r="N742" s="313"/>
      <c r="O742" s="313">
        <v>0</v>
      </c>
      <c r="P742" s="313" t="s">
        <v>557</v>
      </c>
      <c r="Q742" s="313"/>
      <c r="R742" s="313"/>
      <c r="S742" s="313"/>
      <c r="T742" s="313"/>
      <c r="U742" s="324"/>
      <c r="V742" s="319"/>
      <c r="W742" s="319"/>
      <c r="X742" s="319"/>
      <c r="Y742" s="319"/>
    </row>
    <row r="743" spans="1:25" x14ac:dyDescent="0.2">
      <c r="A743" s="312">
        <v>37</v>
      </c>
      <c r="B743" s="426" t="s">
        <v>2012</v>
      </c>
      <c r="C743" s="424" t="s">
        <v>1893</v>
      </c>
      <c r="D743" s="313">
        <v>0</v>
      </c>
      <c r="E743" s="45"/>
      <c r="F743" s="313">
        <v>0</v>
      </c>
      <c r="G743" s="313"/>
      <c r="H743" s="313">
        <v>0</v>
      </c>
      <c r="I743" s="313"/>
      <c r="J743" s="313">
        <v>0</v>
      </c>
      <c r="K743" s="313">
        <v>0</v>
      </c>
      <c r="L743" s="313">
        <v>0</v>
      </c>
      <c r="M743" s="313"/>
      <c r="N743" s="313"/>
      <c r="O743" s="313">
        <v>0</v>
      </c>
      <c r="P743" s="313" t="s">
        <v>557</v>
      </c>
      <c r="Q743" s="313"/>
      <c r="R743" s="313"/>
      <c r="S743" s="313"/>
      <c r="T743" s="313"/>
      <c r="U743" s="324"/>
      <c r="V743" s="319"/>
      <c r="W743" s="319"/>
      <c r="X743" s="319"/>
      <c r="Y743" s="319"/>
    </row>
    <row r="744" spans="1:25" x14ac:dyDescent="0.2">
      <c r="A744" s="312">
        <v>38</v>
      </c>
      <c r="B744" s="426" t="s">
        <v>2013</v>
      </c>
      <c r="C744" s="424" t="s">
        <v>1895</v>
      </c>
      <c r="D744" s="313">
        <v>0</v>
      </c>
      <c r="E744" s="45"/>
      <c r="F744" s="313">
        <v>0</v>
      </c>
      <c r="G744" s="313"/>
      <c r="H744" s="313">
        <v>0</v>
      </c>
      <c r="I744" s="313"/>
      <c r="J744" s="313">
        <v>0</v>
      </c>
      <c r="K744" s="313">
        <v>0</v>
      </c>
      <c r="L744" s="313">
        <v>0</v>
      </c>
      <c r="M744" s="313"/>
      <c r="N744" s="313"/>
      <c r="O744" s="313">
        <v>0</v>
      </c>
      <c r="P744" s="313" t="s">
        <v>557</v>
      </c>
      <c r="Q744" s="313"/>
      <c r="R744" s="313"/>
      <c r="S744" s="313"/>
      <c r="T744" s="313"/>
      <c r="U744" s="324"/>
      <c r="V744" s="319"/>
      <c r="W744" s="319"/>
      <c r="X744" s="319"/>
      <c r="Y744" s="319"/>
    </row>
    <row r="745" spans="1:25" x14ac:dyDescent="0.2">
      <c r="A745" s="312">
        <v>39</v>
      </c>
      <c r="B745" s="426" t="s">
        <v>2014</v>
      </c>
      <c r="C745" s="424" t="s">
        <v>1897</v>
      </c>
      <c r="D745" s="313">
        <v>0</v>
      </c>
      <c r="E745" s="45"/>
      <c r="F745" s="313">
        <v>0</v>
      </c>
      <c r="G745" s="313"/>
      <c r="H745" s="313">
        <v>0</v>
      </c>
      <c r="I745" s="313"/>
      <c r="J745" s="313">
        <v>0</v>
      </c>
      <c r="K745" s="313">
        <v>0</v>
      </c>
      <c r="L745" s="313">
        <v>0</v>
      </c>
      <c r="M745" s="313"/>
      <c r="N745" s="313"/>
      <c r="O745" s="313">
        <v>0</v>
      </c>
      <c r="P745" s="313" t="s">
        <v>557</v>
      </c>
      <c r="Q745" s="313"/>
      <c r="R745" s="313"/>
      <c r="S745" s="313"/>
      <c r="T745" s="313"/>
      <c r="U745" s="324"/>
      <c r="V745" s="319"/>
      <c r="W745" s="319"/>
      <c r="X745" s="319"/>
      <c r="Y745" s="319"/>
    </row>
    <row r="746" spans="1:25" x14ac:dyDescent="0.2">
      <c r="A746" s="312">
        <v>40</v>
      </c>
      <c r="B746" s="426" t="s">
        <v>2017</v>
      </c>
      <c r="C746" s="311"/>
      <c r="D746" s="313">
        <v>107534</v>
      </c>
      <c r="E746" s="45"/>
      <c r="F746" s="313">
        <v>107534</v>
      </c>
      <c r="G746" s="313"/>
      <c r="H746" s="313">
        <v>0</v>
      </c>
      <c r="I746" s="313"/>
      <c r="J746" s="313">
        <v>0</v>
      </c>
      <c r="K746" s="313">
        <v>0</v>
      </c>
      <c r="L746" s="313">
        <v>0</v>
      </c>
      <c r="M746" s="313"/>
      <c r="N746" s="313"/>
      <c r="O746" s="313"/>
      <c r="P746" s="313" t="s">
        <v>557</v>
      </c>
      <c r="Q746" s="313"/>
      <c r="R746" s="313"/>
      <c r="S746" s="313"/>
      <c r="T746" s="313"/>
      <c r="U746" s="324"/>
      <c r="V746" s="319"/>
      <c r="W746" s="319"/>
    </row>
    <row r="747" spans="1:25" x14ac:dyDescent="0.2">
      <c r="A747" s="312"/>
      <c r="B747" s="423"/>
      <c r="C747" s="424"/>
      <c r="D747" s="313"/>
      <c r="E747" s="45"/>
      <c r="F747" s="313"/>
      <c r="G747" s="313"/>
      <c r="H747" s="313"/>
      <c r="I747" s="313"/>
      <c r="J747" s="313"/>
      <c r="K747" s="313"/>
      <c r="L747" s="313"/>
      <c r="M747" s="313"/>
      <c r="N747" s="313"/>
      <c r="O747" s="313"/>
      <c r="P747" s="313"/>
      <c r="Q747" s="313"/>
      <c r="R747" s="313"/>
      <c r="S747" s="313"/>
      <c r="T747" s="313"/>
      <c r="U747" s="324"/>
      <c r="V747" s="319"/>
      <c r="W747" s="319"/>
      <c r="X747" s="319"/>
      <c r="Y747" s="319"/>
    </row>
    <row r="748" spans="1:25" x14ac:dyDescent="0.2">
      <c r="A748" s="312">
        <v>41</v>
      </c>
      <c r="B748" s="423" t="s">
        <v>1442</v>
      </c>
      <c r="C748" s="311"/>
      <c r="D748" s="313">
        <v>2293852460</v>
      </c>
      <c r="E748" s="45"/>
      <c r="F748" s="313">
        <v>2183621934</v>
      </c>
      <c r="G748" s="313"/>
      <c r="H748" s="313">
        <v>106702055</v>
      </c>
      <c r="I748" s="313"/>
      <c r="J748" s="313">
        <v>3528471</v>
      </c>
      <c r="K748" s="313">
        <v>3501619</v>
      </c>
      <c r="L748" s="313">
        <v>26852</v>
      </c>
      <c r="M748" s="313"/>
      <c r="N748" s="313"/>
      <c r="O748" s="313"/>
      <c r="P748" s="313"/>
      <c r="Q748" s="313"/>
      <c r="R748" s="313"/>
      <c r="S748" s="313"/>
      <c r="T748" s="313"/>
      <c r="U748" s="319"/>
      <c r="V748" s="319"/>
      <c r="W748" s="319"/>
    </row>
    <row r="749" spans="1:25" x14ac:dyDescent="0.2">
      <c r="A749" s="45"/>
      <c r="B749" s="45"/>
      <c r="C749" s="311"/>
      <c r="D749" s="45"/>
      <c r="E749" s="45"/>
      <c r="F749" s="313"/>
      <c r="G749" s="313"/>
      <c r="H749" s="313"/>
      <c r="I749" s="313"/>
      <c r="J749" s="313"/>
      <c r="K749" s="313"/>
      <c r="L749" s="313"/>
      <c r="M749" s="313"/>
      <c r="N749" s="313"/>
      <c r="O749" s="313"/>
      <c r="P749" s="313"/>
      <c r="Q749" s="313"/>
      <c r="R749" s="313"/>
      <c r="S749" s="313"/>
      <c r="T749" s="313"/>
      <c r="U749" s="319"/>
      <c r="V749" s="319"/>
      <c r="W749" s="319"/>
    </row>
    <row r="750" spans="1:25" x14ac:dyDescent="0.2">
      <c r="A750" s="45"/>
      <c r="B750" s="425" t="s">
        <v>1072</v>
      </c>
      <c r="C750" s="45"/>
      <c r="D750" s="45"/>
      <c r="E750" s="45"/>
      <c r="F750" s="313"/>
      <c r="G750" s="313"/>
      <c r="H750" s="313"/>
      <c r="I750" s="313"/>
      <c r="J750" s="313"/>
      <c r="K750" s="313"/>
      <c r="L750" s="313"/>
      <c r="M750" s="313"/>
      <c r="N750" s="313"/>
      <c r="O750" s="313"/>
      <c r="P750" s="313"/>
      <c r="Q750" s="313"/>
      <c r="R750" s="313"/>
      <c r="S750" s="313"/>
      <c r="T750" s="313"/>
    </row>
    <row r="751" spans="1:25" x14ac:dyDescent="0.2">
      <c r="A751" s="45"/>
      <c r="B751" s="45"/>
      <c r="C751" s="45"/>
      <c r="D751" s="45"/>
      <c r="E751" s="45"/>
      <c r="F751" s="313"/>
      <c r="G751" s="313"/>
      <c r="H751" s="313"/>
      <c r="I751" s="313"/>
      <c r="J751" s="313"/>
      <c r="K751" s="313"/>
      <c r="L751" s="313"/>
      <c r="M751" s="313"/>
      <c r="N751" s="313"/>
      <c r="O751" s="313"/>
      <c r="P751" s="313"/>
      <c r="Q751" s="313"/>
      <c r="R751" s="313"/>
      <c r="S751" s="313"/>
      <c r="T751" s="313"/>
    </row>
    <row r="752" spans="1:25" x14ac:dyDescent="0.2">
      <c r="A752" s="45"/>
      <c r="B752" s="426" t="s">
        <v>22</v>
      </c>
      <c r="C752" s="311"/>
      <c r="D752" s="45"/>
      <c r="E752" s="45"/>
      <c r="F752" s="313"/>
      <c r="G752" s="313"/>
      <c r="H752" s="313"/>
      <c r="I752" s="313"/>
      <c r="J752" s="313"/>
      <c r="K752" s="313"/>
      <c r="L752" s="313"/>
      <c r="M752" s="313"/>
      <c r="N752" s="313"/>
      <c r="O752" s="313"/>
      <c r="P752" s="313"/>
      <c r="Q752" s="313"/>
      <c r="R752" s="313"/>
      <c r="S752" s="313"/>
      <c r="T752" s="313"/>
      <c r="V752" s="319"/>
      <c r="W752" s="319"/>
    </row>
    <row r="753" spans="1:25" x14ac:dyDescent="0.2">
      <c r="A753" s="312">
        <v>1</v>
      </c>
      <c r="B753" s="426" t="s">
        <v>2018</v>
      </c>
      <c r="C753" s="424" t="s">
        <v>1427</v>
      </c>
      <c r="D753" s="313">
        <v>4166497</v>
      </c>
      <c r="E753" s="45"/>
      <c r="F753" s="313">
        <v>3920556</v>
      </c>
      <c r="G753" s="313"/>
      <c r="H753" s="313">
        <v>198229</v>
      </c>
      <c r="I753" s="313"/>
      <c r="J753" s="313">
        <v>47712</v>
      </c>
      <c r="K753" s="313">
        <v>24877</v>
      </c>
      <c r="L753" s="313">
        <v>22834</v>
      </c>
      <c r="M753" s="313"/>
      <c r="N753" s="313"/>
      <c r="O753" s="313">
        <v>4166497</v>
      </c>
      <c r="P753" s="313" t="s">
        <v>557</v>
      </c>
      <c r="Q753" s="313"/>
      <c r="R753" s="313"/>
      <c r="S753" s="313"/>
      <c r="T753" s="313"/>
      <c r="U753" s="324"/>
      <c r="V753" s="324"/>
      <c r="W753" s="324"/>
    </row>
    <row r="754" spans="1:25" x14ac:dyDescent="0.2">
      <c r="A754" s="312">
        <v>2</v>
      </c>
      <c r="B754" s="426" t="s">
        <v>2019</v>
      </c>
      <c r="C754" s="424" t="s">
        <v>1427</v>
      </c>
      <c r="D754" s="313">
        <v>107767567</v>
      </c>
      <c r="E754" s="45"/>
      <c r="F754" s="313">
        <v>101406250</v>
      </c>
      <c r="G754" s="313"/>
      <c r="H754" s="313">
        <v>5127246</v>
      </c>
      <c r="I754" s="313"/>
      <c r="J754" s="313">
        <v>1234071</v>
      </c>
      <c r="K754" s="313">
        <v>643459</v>
      </c>
      <c r="L754" s="313">
        <v>590612</v>
      </c>
      <c r="M754" s="313"/>
      <c r="N754" s="313"/>
      <c r="O754" s="313">
        <v>107767567</v>
      </c>
      <c r="P754" s="313" t="s">
        <v>557</v>
      </c>
      <c r="Q754" s="313"/>
      <c r="R754" s="313"/>
      <c r="S754" s="313"/>
      <c r="T754" s="313"/>
      <c r="U754" s="324"/>
      <c r="V754" s="324"/>
      <c r="W754" s="324"/>
    </row>
    <row r="755" spans="1:25" x14ac:dyDescent="0.2">
      <c r="A755" s="312">
        <v>3</v>
      </c>
      <c r="B755" s="426" t="s">
        <v>2020</v>
      </c>
      <c r="C755" s="424" t="s">
        <v>1427</v>
      </c>
      <c r="D755" s="313">
        <v>44582200</v>
      </c>
      <c r="E755" s="45"/>
      <c r="F755" s="313">
        <v>41950596</v>
      </c>
      <c r="G755" s="313"/>
      <c r="H755" s="313">
        <v>2121082</v>
      </c>
      <c r="I755" s="313"/>
      <c r="J755" s="313">
        <v>510521</v>
      </c>
      <c r="K755" s="313">
        <v>266192</v>
      </c>
      <c r="L755" s="313">
        <v>244329</v>
      </c>
      <c r="M755" s="313"/>
      <c r="N755" s="313"/>
      <c r="O755" s="313">
        <v>44582200</v>
      </c>
      <c r="P755" s="313" t="s">
        <v>557</v>
      </c>
      <c r="Q755" s="313"/>
      <c r="R755" s="313"/>
      <c r="S755" s="313"/>
      <c r="T755" s="313"/>
      <c r="U755" s="324"/>
      <c r="V755" s="324"/>
      <c r="W755" s="324"/>
    </row>
    <row r="756" spans="1:25" x14ac:dyDescent="0.2">
      <c r="A756" s="312">
        <v>4</v>
      </c>
      <c r="B756" s="426" t="s">
        <v>2021</v>
      </c>
      <c r="C756" s="424" t="s">
        <v>1427</v>
      </c>
      <c r="D756" s="313">
        <v>8654017</v>
      </c>
      <c r="E756" s="45"/>
      <c r="F756" s="313">
        <v>8143187</v>
      </c>
      <c r="G756" s="313"/>
      <c r="H756" s="313">
        <v>411731</v>
      </c>
      <c r="I756" s="313"/>
      <c r="J756" s="313">
        <v>99099</v>
      </c>
      <c r="K756" s="313">
        <v>51671</v>
      </c>
      <c r="L756" s="313">
        <v>47428</v>
      </c>
      <c r="M756" s="313"/>
      <c r="N756" s="313"/>
      <c r="O756" s="313">
        <v>8654017</v>
      </c>
      <c r="P756" s="313" t="s">
        <v>557</v>
      </c>
      <c r="Q756" s="313"/>
      <c r="R756" s="313"/>
      <c r="S756" s="313"/>
      <c r="T756" s="313"/>
      <c r="U756" s="324"/>
      <c r="V756" s="324"/>
      <c r="W756" s="324"/>
    </row>
    <row r="757" spans="1:25" x14ac:dyDescent="0.2">
      <c r="A757" s="312">
        <v>5</v>
      </c>
      <c r="B757" s="426" t="s">
        <v>2022</v>
      </c>
      <c r="C757" s="424" t="s">
        <v>1427</v>
      </c>
      <c r="D757" s="313">
        <v>1028666</v>
      </c>
      <c r="E757" s="45"/>
      <c r="F757" s="313">
        <v>967946</v>
      </c>
      <c r="G757" s="313"/>
      <c r="H757" s="313">
        <v>48941</v>
      </c>
      <c r="I757" s="313"/>
      <c r="J757" s="313">
        <v>11779</v>
      </c>
      <c r="K757" s="313">
        <v>6142</v>
      </c>
      <c r="L757" s="313">
        <v>5638</v>
      </c>
      <c r="M757" s="313"/>
      <c r="N757" s="313"/>
      <c r="O757" s="313">
        <v>1028666</v>
      </c>
      <c r="P757" s="313" t="s">
        <v>557</v>
      </c>
      <c r="Q757" s="313"/>
      <c r="R757" s="313"/>
      <c r="S757" s="313"/>
      <c r="T757" s="313"/>
      <c r="U757" s="324"/>
      <c r="V757" s="324"/>
      <c r="W757" s="324"/>
    </row>
    <row r="758" spans="1:25" x14ac:dyDescent="0.2">
      <c r="A758" s="312">
        <v>6</v>
      </c>
      <c r="B758" s="426" t="s">
        <v>2023</v>
      </c>
      <c r="C758" s="424" t="s">
        <v>1427</v>
      </c>
      <c r="D758" s="313">
        <v>18691643</v>
      </c>
      <c r="E758" s="45"/>
      <c r="F758" s="313">
        <v>17588311</v>
      </c>
      <c r="G758" s="313"/>
      <c r="H758" s="313">
        <v>889290</v>
      </c>
      <c r="I758" s="313"/>
      <c r="J758" s="313">
        <v>214042</v>
      </c>
      <c r="K758" s="313">
        <v>111604</v>
      </c>
      <c r="L758" s="313">
        <v>102438</v>
      </c>
      <c r="M758" s="313"/>
      <c r="N758" s="313"/>
      <c r="O758" s="313">
        <v>18691643</v>
      </c>
      <c r="P758" s="313" t="s">
        <v>557</v>
      </c>
      <c r="Q758" s="313"/>
      <c r="R758" s="313"/>
      <c r="S758" s="313"/>
      <c r="T758" s="313"/>
      <c r="U758" s="324"/>
      <c r="V758" s="324"/>
      <c r="W758" s="324"/>
    </row>
    <row r="759" spans="1:25" x14ac:dyDescent="0.2">
      <c r="A759" s="312">
        <v>7</v>
      </c>
      <c r="B759" s="426" t="s">
        <v>2024</v>
      </c>
      <c r="C759" s="424" t="s">
        <v>1427</v>
      </c>
      <c r="D759" s="313">
        <v>0</v>
      </c>
      <c r="E759" s="45"/>
      <c r="F759" s="313">
        <v>0</v>
      </c>
      <c r="G759" s="313"/>
      <c r="H759" s="313">
        <v>0</v>
      </c>
      <c r="I759" s="313"/>
      <c r="J759" s="313">
        <v>0</v>
      </c>
      <c r="K759" s="313">
        <v>0</v>
      </c>
      <c r="L759" s="313">
        <v>0</v>
      </c>
      <c r="M759" s="313"/>
      <c r="N759" s="313"/>
      <c r="O759" s="313">
        <v>0</v>
      </c>
      <c r="P759" s="313" t="s">
        <v>557</v>
      </c>
      <c r="Q759" s="313"/>
      <c r="R759" s="313"/>
      <c r="S759" s="313"/>
      <c r="T759" s="313"/>
      <c r="U759" s="324"/>
      <c r="V759" s="324"/>
      <c r="W759" s="324"/>
    </row>
    <row r="760" spans="1:25" x14ac:dyDescent="0.2">
      <c r="A760" s="312">
        <v>8</v>
      </c>
      <c r="B760" s="426" t="s">
        <v>2025</v>
      </c>
      <c r="C760" s="424" t="s">
        <v>1427</v>
      </c>
      <c r="D760" s="313">
        <v>5841644</v>
      </c>
      <c r="E760" s="45"/>
      <c r="F760" s="313">
        <v>5496823</v>
      </c>
      <c r="G760" s="313"/>
      <c r="H760" s="313">
        <v>277927</v>
      </c>
      <c r="I760" s="313"/>
      <c r="J760" s="313">
        <v>66894</v>
      </c>
      <c r="K760" s="313">
        <v>34879</v>
      </c>
      <c r="L760" s="313">
        <v>32015</v>
      </c>
      <c r="M760" s="313"/>
      <c r="N760" s="313"/>
      <c r="O760" s="313">
        <v>5841644</v>
      </c>
      <c r="P760" s="313" t="s">
        <v>557</v>
      </c>
      <c r="Q760" s="313"/>
      <c r="R760" s="313"/>
      <c r="S760" s="313"/>
      <c r="T760" s="313"/>
      <c r="U760" s="324"/>
      <c r="V760" s="324"/>
      <c r="W760" s="324"/>
    </row>
    <row r="761" spans="1:25" x14ac:dyDescent="0.2">
      <c r="A761" s="45"/>
      <c r="B761" s="426" t="s">
        <v>2026</v>
      </c>
      <c r="C761" s="311"/>
      <c r="D761" s="45"/>
      <c r="E761" s="45"/>
      <c r="F761" s="313"/>
      <c r="G761" s="313"/>
      <c r="H761" s="313"/>
      <c r="I761" s="313"/>
      <c r="J761" s="313"/>
      <c r="K761" s="313"/>
      <c r="L761" s="313"/>
      <c r="M761" s="313"/>
      <c r="N761" s="313"/>
      <c r="O761" s="313"/>
      <c r="P761" s="313"/>
      <c r="Q761" s="313"/>
      <c r="R761" s="313"/>
      <c r="S761" s="313"/>
      <c r="T761" s="313"/>
      <c r="V761" s="319"/>
      <c r="W761" s="319"/>
    </row>
    <row r="762" spans="1:25" x14ac:dyDescent="0.2">
      <c r="A762" s="312">
        <v>9</v>
      </c>
      <c r="B762" s="426" t="s">
        <v>2145</v>
      </c>
      <c r="C762" s="424" t="s">
        <v>941</v>
      </c>
      <c r="D762" s="313">
        <v>7637963</v>
      </c>
      <c r="E762" s="45"/>
      <c r="F762" s="313">
        <v>7637963</v>
      </c>
      <c r="G762" s="313"/>
      <c r="H762" s="313">
        <v>0</v>
      </c>
      <c r="I762" s="313"/>
      <c r="J762" s="313">
        <v>0</v>
      </c>
      <c r="K762" s="313">
        <v>0</v>
      </c>
      <c r="L762" s="313">
        <v>0</v>
      </c>
      <c r="M762" s="313"/>
      <c r="N762" s="313"/>
      <c r="O762" s="313">
        <v>7637963</v>
      </c>
      <c r="P762" s="313" t="s">
        <v>557</v>
      </c>
      <c r="Q762" s="313"/>
      <c r="R762" s="313"/>
      <c r="S762" s="313"/>
      <c r="T762" s="313"/>
      <c r="U762" s="324"/>
      <c r="V762" s="324"/>
      <c r="W762" s="324"/>
    </row>
    <row r="763" spans="1:25" x14ac:dyDescent="0.2">
      <c r="A763" s="312">
        <v>10</v>
      </c>
      <c r="B763" s="426" t="s">
        <v>2</v>
      </c>
      <c r="C763" s="424" t="s">
        <v>1427</v>
      </c>
      <c r="D763" s="313">
        <v>69550523</v>
      </c>
      <c r="E763" s="45"/>
      <c r="F763" s="313">
        <v>65445086</v>
      </c>
      <c r="G763" s="313"/>
      <c r="H763" s="313">
        <v>3308998</v>
      </c>
      <c r="I763" s="313"/>
      <c r="J763" s="313">
        <v>796439</v>
      </c>
      <c r="K763" s="313">
        <v>415273</v>
      </c>
      <c r="L763" s="313">
        <v>381166</v>
      </c>
      <c r="M763" s="313"/>
      <c r="N763" s="313"/>
      <c r="O763" s="313">
        <v>69550523</v>
      </c>
      <c r="P763" s="313" t="s">
        <v>557</v>
      </c>
      <c r="Q763" s="313"/>
      <c r="R763" s="313"/>
      <c r="S763" s="313"/>
      <c r="T763" s="313"/>
      <c r="U763" s="324"/>
      <c r="V763" s="324"/>
      <c r="W763" s="324"/>
    </row>
    <row r="764" spans="1:25" x14ac:dyDescent="0.2">
      <c r="A764" s="312">
        <v>11</v>
      </c>
      <c r="B764" s="426" t="s">
        <v>2146</v>
      </c>
      <c r="C764" s="311"/>
      <c r="D764" s="313">
        <v>77188486</v>
      </c>
      <c r="E764" s="45"/>
      <c r="F764" s="313">
        <v>73083050</v>
      </c>
      <c r="G764" s="313"/>
      <c r="H764" s="313">
        <v>3308998</v>
      </c>
      <c r="I764" s="313"/>
      <c r="J764" s="313">
        <v>796439</v>
      </c>
      <c r="K764" s="313">
        <v>415273</v>
      </c>
      <c r="L764" s="313">
        <v>381166</v>
      </c>
      <c r="M764" s="313"/>
      <c r="N764" s="313"/>
      <c r="O764" s="313">
        <v>77188486</v>
      </c>
      <c r="P764" s="313" t="s">
        <v>557</v>
      </c>
      <c r="Q764" s="313"/>
      <c r="R764" s="313"/>
      <c r="S764" s="313"/>
      <c r="T764" s="313"/>
      <c r="U764" s="324"/>
      <c r="V764" s="319"/>
      <c r="W764" s="319"/>
    </row>
    <row r="765" spans="1:25" x14ac:dyDescent="0.2">
      <c r="A765" s="312">
        <v>12</v>
      </c>
      <c r="B765" s="426" t="s">
        <v>2027</v>
      </c>
      <c r="C765" s="424" t="s">
        <v>1427</v>
      </c>
      <c r="D765" s="313">
        <v>0</v>
      </c>
      <c r="E765" s="45"/>
      <c r="F765" s="313">
        <v>0</v>
      </c>
      <c r="G765" s="313"/>
      <c r="H765" s="313">
        <v>0</v>
      </c>
      <c r="I765" s="313"/>
      <c r="J765" s="313">
        <v>0</v>
      </c>
      <c r="K765" s="313">
        <v>0</v>
      </c>
      <c r="L765" s="313">
        <v>0</v>
      </c>
      <c r="M765" s="313"/>
      <c r="N765" s="313"/>
      <c r="O765" s="313">
        <v>0</v>
      </c>
      <c r="P765" s="313" t="s">
        <v>557</v>
      </c>
      <c r="Q765" s="313"/>
      <c r="R765" s="313"/>
      <c r="S765" s="313"/>
      <c r="T765" s="313"/>
      <c r="U765" s="324"/>
      <c r="V765" s="324"/>
      <c r="W765" s="324"/>
    </row>
    <row r="766" spans="1:25" x14ac:dyDescent="0.2">
      <c r="A766" s="312">
        <v>13</v>
      </c>
      <c r="B766" s="426" t="s">
        <v>2028</v>
      </c>
      <c r="C766" s="311"/>
      <c r="D766" s="313">
        <v>267920720</v>
      </c>
      <c r="E766" s="45"/>
      <c r="F766" s="313">
        <v>252556718</v>
      </c>
      <c r="G766" s="313"/>
      <c r="H766" s="313">
        <v>12383444</v>
      </c>
      <c r="I766" s="313"/>
      <c r="J766" s="313">
        <v>2980558</v>
      </c>
      <c r="K766" s="313">
        <v>1554098</v>
      </c>
      <c r="L766" s="313">
        <v>1426460</v>
      </c>
      <c r="M766" s="313"/>
      <c r="N766" s="313"/>
      <c r="O766" s="313"/>
      <c r="P766" s="313" t="s">
        <v>557</v>
      </c>
      <c r="Q766" s="313"/>
      <c r="R766" s="313"/>
      <c r="S766" s="313"/>
      <c r="T766" s="313"/>
      <c r="U766" s="324"/>
      <c r="V766" s="319"/>
      <c r="W766" s="319"/>
    </row>
    <row r="767" spans="1:25" x14ac:dyDescent="0.2">
      <c r="A767" s="45"/>
      <c r="B767" s="45"/>
      <c r="C767" s="311"/>
      <c r="D767" s="45"/>
      <c r="E767" s="45"/>
      <c r="F767" s="313"/>
      <c r="G767" s="313"/>
      <c r="H767" s="313"/>
      <c r="I767" s="313"/>
      <c r="J767" s="313"/>
      <c r="K767" s="313"/>
      <c r="L767" s="313"/>
      <c r="M767" s="313"/>
      <c r="N767" s="313"/>
      <c r="O767" s="313"/>
      <c r="P767" s="313"/>
      <c r="Q767" s="313"/>
      <c r="R767" s="313"/>
      <c r="S767" s="313"/>
      <c r="T767" s="313"/>
      <c r="U767" s="319"/>
      <c r="V767" s="319"/>
      <c r="W767" s="319"/>
    </row>
    <row r="768" spans="1:25" x14ac:dyDescent="0.2">
      <c r="A768" s="45"/>
      <c r="B768" s="426" t="s">
        <v>2029</v>
      </c>
      <c r="C768" s="311"/>
      <c r="D768" s="45"/>
      <c r="E768" s="45"/>
      <c r="F768" s="313"/>
      <c r="G768" s="313"/>
      <c r="H768" s="313"/>
      <c r="I768" s="313"/>
      <c r="J768" s="313"/>
      <c r="K768" s="313"/>
      <c r="L768" s="313"/>
      <c r="M768" s="313"/>
      <c r="N768" s="313"/>
      <c r="O768" s="313"/>
      <c r="P768" s="313"/>
      <c r="Q768" s="313"/>
      <c r="R768" s="313"/>
      <c r="S768" s="313"/>
      <c r="T768" s="313"/>
      <c r="U768" s="319"/>
      <c r="V768" s="319"/>
      <c r="W768" s="319"/>
      <c r="X768" s="319"/>
      <c r="Y768" s="319"/>
    </row>
    <row r="769" spans="1:25" x14ac:dyDescent="0.2">
      <c r="A769" s="312">
        <v>14</v>
      </c>
      <c r="B769" s="426" t="s">
        <v>2030</v>
      </c>
      <c r="C769" s="424" t="s">
        <v>1270</v>
      </c>
      <c r="D769" s="313">
        <v>309541</v>
      </c>
      <c r="E769" s="45"/>
      <c r="F769" s="313">
        <v>290384</v>
      </c>
      <c r="G769" s="313"/>
      <c r="H769" s="313">
        <v>13151</v>
      </c>
      <c r="I769" s="313"/>
      <c r="J769" s="313">
        <v>6006</v>
      </c>
      <c r="K769" s="313">
        <v>3046</v>
      </c>
      <c r="L769" s="313">
        <v>2959</v>
      </c>
      <c r="M769" s="313"/>
      <c r="N769" s="313"/>
      <c r="O769" s="313">
        <v>309541</v>
      </c>
      <c r="P769" s="313"/>
      <c r="Q769" s="313"/>
      <c r="R769" s="313"/>
      <c r="S769" s="313"/>
      <c r="T769" s="313"/>
      <c r="U769" s="324"/>
      <c r="V769" s="319"/>
      <c r="W769" s="319"/>
      <c r="X769" s="319"/>
      <c r="Y769" s="319"/>
    </row>
    <row r="770" spans="1:25" x14ac:dyDescent="0.2">
      <c r="A770" s="312">
        <v>15</v>
      </c>
      <c r="B770" s="426" t="s">
        <v>2031</v>
      </c>
      <c r="C770" s="424" t="s">
        <v>1850</v>
      </c>
      <c r="D770" s="313">
        <v>0</v>
      </c>
      <c r="E770" s="45"/>
      <c r="F770" s="313">
        <v>0</v>
      </c>
      <c r="G770" s="313"/>
      <c r="H770" s="313">
        <v>0</v>
      </c>
      <c r="I770" s="313"/>
      <c r="J770" s="313">
        <v>0</v>
      </c>
      <c r="K770" s="313">
        <v>0</v>
      </c>
      <c r="L770" s="313">
        <v>0</v>
      </c>
      <c r="M770" s="313"/>
      <c r="N770" s="313"/>
      <c r="O770" s="313">
        <v>0</v>
      </c>
      <c r="P770" s="313"/>
      <c r="Q770" s="313"/>
      <c r="R770" s="313"/>
      <c r="S770" s="313"/>
      <c r="T770" s="313"/>
      <c r="U770" s="324"/>
      <c r="V770" s="319"/>
      <c r="W770" s="319"/>
      <c r="X770" s="319"/>
      <c r="Y770" s="319"/>
    </row>
    <row r="771" spans="1:25" x14ac:dyDescent="0.2">
      <c r="A771" s="312">
        <v>16</v>
      </c>
      <c r="B771" s="426" t="s">
        <v>2032</v>
      </c>
      <c r="C771" s="427" t="s">
        <v>2191</v>
      </c>
      <c r="D771" s="313">
        <v>1471422</v>
      </c>
      <c r="E771" s="45"/>
      <c r="F771" s="313">
        <v>906481</v>
      </c>
      <c r="G771" s="313"/>
      <c r="H771" s="313">
        <v>564941</v>
      </c>
      <c r="I771" s="313"/>
      <c r="J771" s="313">
        <v>0</v>
      </c>
      <c r="K771" s="313">
        <v>0</v>
      </c>
      <c r="L771" s="313">
        <v>0</v>
      </c>
      <c r="M771" s="313"/>
      <c r="N771" s="313"/>
      <c r="O771" s="313">
        <v>1471422</v>
      </c>
      <c r="P771" s="313"/>
      <c r="Q771" s="313" t="s">
        <v>2276</v>
      </c>
      <c r="R771" s="313"/>
      <c r="S771" s="313"/>
      <c r="T771" s="313"/>
      <c r="U771" s="324"/>
      <c r="V771" s="319"/>
      <c r="W771" s="319"/>
      <c r="X771" s="319"/>
      <c r="Y771" s="319"/>
    </row>
    <row r="772" spans="1:25" x14ac:dyDescent="0.2">
      <c r="A772" s="312">
        <v>17</v>
      </c>
      <c r="B772" s="426" t="s">
        <v>1124</v>
      </c>
      <c r="C772" s="424" t="s">
        <v>1427</v>
      </c>
      <c r="D772" s="313">
        <v>0</v>
      </c>
      <c r="E772" s="45"/>
      <c r="F772" s="313">
        <v>0</v>
      </c>
      <c r="G772" s="313"/>
      <c r="H772" s="313">
        <v>0</v>
      </c>
      <c r="I772" s="313"/>
      <c r="J772" s="313">
        <v>0</v>
      </c>
      <c r="K772" s="313">
        <v>0</v>
      </c>
      <c r="L772" s="313">
        <v>0</v>
      </c>
      <c r="M772" s="313"/>
      <c r="N772" s="313"/>
      <c r="O772" s="313">
        <v>0</v>
      </c>
      <c r="P772" s="313"/>
      <c r="Q772" s="313"/>
      <c r="R772" s="313"/>
      <c r="S772" s="313"/>
      <c r="T772" s="313"/>
      <c r="U772" s="324"/>
      <c r="V772" s="319"/>
      <c r="W772" s="319"/>
      <c r="X772" s="319"/>
      <c r="Y772" s="319"/>
    </row>
    <row r="773" spans="1:25" x14ac:dyDescent="0.2">
      <c r="A773" s="312">
        <v>18</v>
      </c>
      <c r="B773" s="426" t="s">
        <v>2033</v>
      </c>
      <c r="C773" s="45"/>
      <c r="D773" s="313">
        <v>1780963</v>
      </c>
      <c r="E773" s="45"/>
      <c r="F773" s="313">
        <v>1196866</v>
      </c>
      <c r="G773" s="313"/>
      <c r="H773" s="313">
        <v>578092</v>
      </c>
      <c r="I773" s="313"/>
      <c r="J773" s="313">
        <v>6006</v>
      </c>
      <c r="K773" s="313">
        <v>3046</v>
      </c>
      <c r="L773" s="313">
        <v>2959</v>
      </c>
      <c r="M773" s="313"/>
      <c r="N773" s="313"/>
      <c r="O773" s="313">
        <v>1780963</v>
      </c>
      <c r="P773" s="313" t="s">
        <v>557</v>
      </c>
      <c r="Q773" s="313" t="s">
        <v>557</v>
      </c>
      <c r="R773" s="313" t="s">
        <v>2034</v>
      </c>
      <c r="S773" s="313"/>
      <c r="T773" s="313"/>
      <c r="U773" s="324"/>
      <c r="V773" s="324"/>
      <c r="W773" s="316"/>
    </row>
    <row r="774" spans="1:25" x14ac:dyDescent="0.2">
      <c r="A774" s="45"/>
      <c r="B774" s="45"/>
      <c r="C774" s="45"/>
      <c r="D774" s="45"/>
      <c r="E774" s="45"/>
      <c r="F774" s="313"/>
      <c r="G774" s="313"/>
      <c r="H774" s="313"/>
      <c r="I774" s="313"/>
      <c r="J774" s="313"/>
      <c r="K774" s="313"/>
      <c r="L774" s="313"/>
      <c r="M774" s="313"/>
      <c r="N774" s="313"/>
      <c r="O774" s="313"/>
      <c r="P774" s="313"/>
      <c r="Q774" s="313"/>
      <c r="R774" s="313"/>
      <c r="S774" s="313"/>
      <c r="T774" s="313"/>
      <c r="U774" s="319"/>
      <c r="V774" s="319"/>
      <c r="W774" s="319"/>
      <c r="X774" s="319"/>
      <c r="Y774" s="319"/>
    </row>
    <row r="775" spans="1:25" x14ac:dyDescent="0.2">
      <c r="A775" s="312">
        <v>19</v>
      </c>
      <c r="B775" s="423" t="s">
        <v>1347</v>
      </c>
      <c r="C775" s="311"/>
      <c r="D775" s="313">
        <v>10907444068</v>
      </c>
      <c r="E775" s="45"/>
      <c r="F775" s="313">
        <v>10194926070</v>
      </c>
      <c r="G775" s="313"/>
      <c r="H775" s="313">
        <v>568609349</v>
      </c>
      <c r="I775" s="313"/>
      <c r="J775" s="313">
        <v>143908648</v>
      </c>
      <c r="K775" s="313">
        <v>75298903</v>
      </c>
      <c r="L775" s="313">
        <v>68609745</v>
      </c>
      <c r="M775" s="313"/>
      <c r="N775" s="313"/>
      <c r="O775" s="313"/>
      <c r="P775" s="313" t="s">
        <v>557</v>
      </c>
      <c r="Q775" s="313"/>
      <c r="R775" s="313"/>
      <c r="S775" s="313"/>
      <c r="T775" s="313"/>
      <c r="U775" s="324"/>
      <c r="V775" s="319"/>
      <c r="W775" s="319"/>
    </row>
    <row r="776" spans="1:25" x14ac:dyDescent="0.2">
      <c r="A776" s="45"/>
      <c r="B776" s="45"/>
      <c r="C776" s="311"/>
      <c r="D776" s="45"/>
      <c r="E776" s="45"/>
      <c r="F776" s="313"/>
      <c r="G776" s="313"/>
      <c r="H776" s="313"/>
      <c r="I776" s="313"/>
      <c r="J776" s="313"/>
      <c r="K776" s="313"/>
      <c r="L776" s="313"/>
      <c r="M776" s="313"/>
      <c r="N776" s="313"/>
      <c r="O776" s="313"/>
      <c r="P776" s="313"/>
      <c r="Q776" s="313"/>
      <c r="R776" s="313"/>
      <c r="S776" s="313"/>
      <c r="T776" s="313"/>
      <c r="U776" s="319"/>
      <c r="V776" s="319"/>
      <c r="W776" s="319"/>
    </row>
    <row r="777" spans="1:25" x14ac:dyDescent="0.2">
      <c r="A777" s="45"/>
      <c r="B777" s="425" t="s">
        <v>1072</v>
      </c>
      <c r="C777" s="45"/>
      <c r="D777" s="45"/>
      <c r="E777" s="45"/>
      <c r="F777" s="313"/>
      <c r="G777" s="313"/>
      <c r="H777" s="313"/>
      <c r="I777" s="313"/>
      <c r="J777" s="313"/>
      <c r="K777" s="313"/>
      <c r="L777" s="313"/>
      <c r="M777" s="313"/>
      <c r="N777" s="313"/>
      <c r="O777" s="313"/>
      <c r="P777" s="313"/>
      <c r="Q777" s="313"/>
      <c r="R777" s="313"/>
      <c r="S777" s="313"/>
      <c r="T777" s="313"/>
      <c r="V777" s="319"/>
      <c r="W777" s="319"/>
    </row>
    <row r="778" spans="1:25" x14ac:dyDescent="0.2">
      <c r="A778" s="45"/>
      <c r="B778" s="45"/>
      <c r="C778" s="45"/>
      <c r="D778" s="45"/>
      <c r="E778" s="45"/>
      <c r="F778" s="313"/>
      <c r="G778" s="313"/>
      <c r="H778" s="313"/>
      <c r="I778" s="313"/>
      <c r="J778" s="313"/>
      <c r="K778" s="313"/>
      <c r="L778" s="313"/>
      <c r="M778" s="313"/>
      <c r="N778" s="313"/>
      <c r="O778" s="313"/>
      <c r="P778" s="313"/>
      <c r="Q778" s="313"/>
      <c r="R778" s="313"/>
      <c r="S778" s="313"/>
      <c r="T778" s="313"/>
    </row>
    <row r="779" spans="1:25" x14ac:dyDescent="0.2">
      <c r="A779" s="45"/>
      <c r="B779" s="423" t="s">
        <v>6</v>
      </c>
      <c r="C779" s="311"/>
      <c r="D779" s="45"/>
      <c r="E779" s="45"/>
      <c r="F779" s="313"/>
      <c r="G779" s="313"/>
      <c r="H779" s="313"/>
      <c r="I779" s="313"/>
      <c r="J779" s="313"/>
      <c r="K779" s="313"/>
      <c r="L779" s="313"/>
      <c r="M779" s="313"/>
      <c r="N779" s="313"/>
      <c r="O779" s="313"/>
      <c r="P779" s="313"/>
      <c r="Q779" s="313"/>
      <c r="R779" s="313"/>
      <c r="S779" s="313"/>
      <c r="T779" s="313"/>
    </row>
    <row r="780" spans="1:25" x14ac:dyDescent="0.2">
      <c r="A780" s="45"/>
      <c r="B780" s="45"/>
      <c r="C780" s="311"/>
      <c r="D780" s="45"/>
      <c r="E780" s="45"/>
      <c r="F780" s="313"/>
      <c r="G780" s="313"/>
      <c r="H780" s="313"/>
      <c r="I780" s="313"/>
      <c r="J780" s="313"/>
      <c r="K780" s="313"/>
      <c r="L780" s="313"/>
      <c r="M780" s="313"/>
      <c r="N780" s="313"/>
      <c r="O780" s="313"/>
      <c r="P780" s="313"/>
      <c r="Q780" s="313"/>
      <c r="R780" s="313"/>
      <c r="S780" s="313"/>
      <c r="T780" s="313"/>
    </row>
    <row r="781" spans="1:25" x14ac:dyDescent="0.2">
      <c r="A781" s="45"/>
      <c r="B781" s="423" t="s">
        <v>7</v>
      </c>
      <c r="C781" s="45"/>
      <c r="D781" s="45"/>
      <c r="E781" s="45"/>
      <c r="F781" s="313"/>
      <c r="G781" s="313"/>
      <c r="H781" s="313"/>
      <c r="I781" s="313"/>
      <c r="J781" s="313"/>
      <c r="K781" s="313"/>
      <c r="L781" s="313"/>
      <c r="M781" s="313"/>
      <c r="N781" s="313"/>
      <c r="O781" s="313"/>
      <c r="P781" s="313"/>
      <c r="Q781" s="313"/>
      <c r="R781" s="313"/>
      <c r="S781" s="313"/>
      <c r="T781" s="313"/>
    </row>
    <row r="782" spans="1:25" x14ac:dyDescent="0.2">
      <c r="A782" s="45"/>
      <c r="B782" s="423" t="s">
        <v>8</v>
      </c>
      <c r="C782" s="45"/>
      <c r="D782" s="45"/>
      <c r="E782" s="45"/>
      <c r="F782" s="313"/>
      <c r="G782" s="313"/>
      <c r="H782" s="313"/>
      <c r="I782" s="313"/>
      <c r="J782" s="313"/>
      <c r="K782" s="313"/>
      <c r="L782" s="313"/>
      <c r="M782" s="313"/>
      <c r="N782" s="313"/>
      <c r="O782" s="313"/>
      <c r="P782" s="313"/>
      <c r="Q782" s="313"/>
      <c r="R782" s="313"/>
      <c r="S782" s="313"/>
      <c r="T782" s="313"/>
    </row>
    <row r="783" spans="1:25" x14ac:dyDescent="0.2">
      <c r="A783" s="312">
        <v>1</v>
      </c>
      <c r="B783" s="423" t="s">
        <v>9</v>
      </c>
      <c r="C783" s="424" t="s">
        <v>1429</v>
      </c>
      <c r="D783" s="313">
        <v>2171785257</v>
      </c>
      <c r="E783" s="45"/>
      <c r="F783" s="313">
        <v>2037379957</v>
      </c>
      <c r="G783" s="313"/>
      <c r="H783" s="313">
        <v>92268566</v>
      </c>
      <c r="I783" s="313"/>
      <c r="J783" s="313">
        <v>42136734</v>
      </c>
      <c r="K783" s="313">
        <v>21374109</v>
      </c>
      <c r="L783" s="313">
        <v>20762625</v>
      </c>
      <c r="M783" s="313"/>
      <c r="N783" s="313"/>
      <c r="O783" s="313">
        <v>2171785257</v>
      </c>
      <c r="P783" s="313"/>
      <c r="Q783" s="313" t="s">
        <v>10</v>
      </c>
      <c r="R783" s="313"/>
      <c r="S783" s="313"/>
      <c r="T783" s="313"/>
      <c r="U783" s="319"/>
      <c r="V783" s="324"/>
      <c r="W783" s="319"/>
      <c r="X783" s="319"/>
      <c r="Y783" s="319"/>
    </row>
    <row r="784" spans="1:25" x14ac:dyDescent="0.2">
      <c r="A784" s="312">
        <v>2</v>
      </c>
      <c r="B784" s="423" t="s">
        <v>11</v>
      </c>
      <c r="C784" s="424" t="s">
        <v>1272</v>
      </c>
      <c r="D784" s="313">
        <v>9027861</v>
      </c>
      <c r="E784" s="45"/>
      <c r="F784" s="313">
        <v>4643691</v>
      </c>
      <c r="G784" s="313"/>
      <c r="H784" s="313">
        <v>3009711</v>
      </c>
      <c r="I784" s="313"/>
      <c r="J784" s="313">
        <v>1374459</v>
      </c>
      <c r="K784" s="313">
        <v>697203</v>
      </c>
      <c r="L784" s="313">
        <v>677257</v>
      </c>
      <c r="M784" s="313"/>
      <c r="N784" s="313"/>
      <c r="O784" s="313">
        <v>9027861</v>
      </c>
      <c r="P784" s="313"/>
      <c r="Q784" s="313"/>
      <c r="R784" s="313"/>
      <c r="S784" s="313"/>
      <c r="T784" s="313"/>
      <c r="U784" s="319"/>
      <c r="V784" s="319"/>
      <c r="W784" s="319"/>
      <c r="X784" s="319"/>
      <c r="Y784" s="319"/>
    </row>
    <row r="785" spans="1:25" x14ac:dyDescent="0.2">
      <c r="A785" s="312">
        <v>3</v>
      </c>
      <c r="B785" s="423" t="s">
        <v>12</v>
      </c>
      <c r="C785" s="424" t="s">
        <v>1278</v>
      </c>
      <c r="D785" s="313">
        <v>1947001</v>
      </c>
      <c r="E785" s="45"/>
      <c r="F785" s="313">
        <v>1502334</v>
      </c>
      <c r="G785" s="313"/>
      <c r="H785" s="313">
        <v>0</v>
      </c>
      <c r="I785" s="313"/>
      <c r="J785" s="313">
        <v>444667</v>
      </c>
      <c r="K785" s="313">
        <v>225560</v>
      </c>
      <c r="L785" s="313">
        <v>219107</v>
      </c>
      <c r="M785" s="313"/>
      <c r="N785" s="313"/>
      <c r="O785" s="313">
        <v>1947001</v>
      </c>
      <c r="P785" s="313"/>
      <c r="Q785" s="313"/>
      <c r="R785" s="313"/>
      <c r="S785" s="313"/>
      <c r="T785" s="313"/>
      <c r="U785" s="319"/>
      <c r="V785" s="319"/>
      <c r="W785" s="319"/>
    </row>
    <row r="786" spans="1:25" x14ac:dyDescent="0.2">
      <c r="A786" s="312">
        <v>4</v>
      </c>
      <c r="B786" s="423" t="s">
        <v>13</v>
      </c>
      <c r="C786" s="45"/>
      <c r="D786" s="313">
        <v>2182760119</v>
      </c>
      <c r="E786" s="45"/>
      <c r="F786" s="313">
        <v>2043525981</v>
      </c>
      <c r="G786" s="313"/>
      <c r="H786" s="313">
        <v>95278277</v>
      </c>
      <c r="I786" s="313"/>
      <c r="J786" s="313">
        <v>43955860</v>
      </c>
      <c r="K786" s="313">
        <v>22296872</v>
      </c>
      <c r="L786" s="313">
        <v>21658988</v>
      </c>
      <c r="M786" s="313"/>
      <c r="N786" s="313"/>
      <c r="O786" s="313"/>
      <c r="P786" s="313" t="s">
        <v>557</v>
      </c>
      <c r="Q786" s="313"/>
      <c r="R786" s="313"/>
      <c r="S786" s="313"/>
      <c r="T786" s="313"/>
      <c r="U786" s="319"/>
      <c r="V786" s="319"/>
      <c r="W786" s="319"/>
    </row>
    <row r="787" spans="1:25" x14ac:dyDescent="0.2">
      <c r="A787" s="312"/>
      <c r="B787" s="423"/>
      <c r="C787" s="45"/>
      <c r="D787" s="313"/>
      <c r="E787" s="45"/>
      <c r="F787" s="313"/>
      <c r="G787" s="313"/>
      <c r="H787" s="313"/>
      <c r="I787" s="313"/>
      <c r="J787" s="313"/>
      <c r="K787" s="313"/>
      <c r="L787" s="313"/>
      <c r="M787" s="313"/>
      <c r="N787" s="313"/>
      <c r="O787" s="313"/>
      <c r="P787" s="313"/>
      <c r="Q787" s="313"/>
      <c r="R787" s="313"/>
      <c r="S787" s="313"/>
      <c r="T787" s="313"/>
      <c r="U787" s="319"/>
      <c r="V787" s="319"/>
      <c r="W787" s="319"/>
    </row>
    <row r="788" spans="1:25" x14ac:dyDescent="0.2">
      <c r="A788" s="45"/>
      <c r="B788" s="423" t="s">
        <v>14</v>
      </c>
      <c r="C788" s="45"/>
      <c r="D788" s="45"/>
      <c r="E788" s="45"/>
      <c r="F788" s="313"/>
      <c r="G788" s="313"/>
      <c r="H788" s="313"/>
      <c r="I788" s="313"/>
      <c r="J788" s="313"/>
      <c r="K788" s="313"/>
      <c r="L788" s="313"/>
      <c r="M788" s="313"/>
      <c r="N788" s="313"/>
      <c r="O788" s="313"/>
      <c r="P788" s="313"/>
      <c r="Q788" s="313"/>
      <c r="R788" s="313"/>
      <c r="S788" s="313"/>
      <c r="T788" s="313"/>
      <c r="V788" s="319"/>
      <c r="W788" s="319"/>
    </row>
    <row r="789" spans="1:25" x14ac:dyDescent="0.2">
      <c r="A789" s="312">
        <v>5</v>
      </c>
      <c r="B789" s="423" t="s">
        <v>9</v>
      </c>
      <c r="C789" s="424" t="s">
        <v>1433</v>
      </c>
      <c r="D789" s="313">
        <v>17865613</v>
      </c>
      <c r="E789" s="45"/>
      <c r="F789" s="313">
        <v>16759964</v>
      </c>
      <c r="G789" s="313"/>
      <c r="H789" s="313">
        <v>759023</v>
      </c>
      <c r="I789" s="313"/>
      <c r="J789" s="313">
        <v>346627</v>
      </c>
      <c r="K789" s="313">
        <v>175828</v>
      </c>
      <c r="L789" s="313">
        <v>170798</v>
      </c>
      <c r="M789" s="313"/>
      <c r="N789" s="313"/>
      <c r="O789" s="313">
        <v>17865613</v>
      </c>
      <c r="P789" s="313"/>
      <c r="Q789" s="313" t="s">
        <v>10</v>
      </c>
      <c r="R789" s="313"/>
      <c r="S789" s="313"/>
      <c r="T789" s="313"/>
      <c r="U789" s="319"/>
      <c r="V789" s="324"/>
      <c r="W789" s="319"/>
      <c r="X789" s="319"/>
      <c r="Y789" s="319"/>
    </row>
    <row r="790" spans="1:25" x14ac:dyDescent="0.2">
      <c r="A790" s="312">
        <v>6</v>
      </c>
      <c r="B790" s="423" t="s">
        <v>11</v>
      </c>
      <c r="C790" s="424" t="s">
        <v>1272</v>
      </c>
      <c r="D790" s="313">
        <v>1647</v>
      </c>
      <c r="E790" s="45"/>
      <c r="F790" s="313">
        <v>847</v>
      </c>
      <c r="G790" s="313"/>
      <c r="H790" s="313">
        <v>549</v>
      </c>
      <c r="I790" s="313"/>
      <c r="J790" s="313">
        <v>251</v>
      </c>
      <c r="K790" s="313">
        <v>127</v>
      </c>
      <c r="L790" s="313">
        <v>124</v>
      </c>
      <c r="M790" s="313"/>
      <c r="N790" s="313"/>
      <c r="O790" s="313">
        <v>1647</v>
      </c>
      <c r="P790" s="313"/>
      <c r="Q790" s="313"/>
      <c r="R790" s="313"/>
      <c r="S790" s="313"/>
      <c r="T790" s="313"/>
      <c r="U790" s="319"/>
      <c r="V790" s="319"/>
      <c r="W790" s="319"/>
      <c r="X790" s="319"/>
      <c r="Y790" s="319"/>
    </row>
    <row r="791" spans="1:25" x14ac:dyDescent="0.2">
      <c r="A791" s="312">
        <v>7</v>
      </c>
      <c r="B791" s="423" t="s">
        <v>12</v>
      </c>
      <c r="C791" s="424" t="s">
        <v>1278</v>
      </c>
      <c r="D791" s="313">
        <v>6391</v>
      </c>
      <c r="E791" s="45"/>
      <c r="F791" s="313">
        <v>4932</v>
      </c>
      <c r="G791" s="313"/>
      <c r="H791" s="313">
        <v>0</v>
      </c>
      <c r="I791" s="313"/>
      <c r="J791" s="313">
        <v>1460</v>
      </c>
      <c r="K791" s="313">
        <v>740</v>
      </c>
      <c r="L791" s="313">
        <v>719</v>
      </c>
      <c r="M791" s="313"/>
      <c r="N791" s="313"/>
      <c r="O791" s="313">
        <v>6391</v>
      </c>
      <c r="P791" s="313"/>
      <c r="Q791" s="313"/>
      <c r="R791" s="313"/>
      <c r="S791" s="313"/>
      <c r="T791" s="313"/>
      <c r="U791" s="319"/>
      <c r="V791" s="319"/>
      <c r="W791" s="319"/>
    </row>
    <row r="792" spans="1:25" x14ac:dyDescent="0.2">
      <c r="A792" s="312">
        <v>8</v>
      </c>
      <c r="B792" s="423" t="s">
        <v>15</v>
      </c>
      <c r="C792" s="45"/>
      <c r="D792" s="313">
        <v>17873652</v>
      </c>
      <c r="E792" s="45"/>
      <c r="F792" s="313">
        <v>16765743</v>
      </c>
      <c r="G792" s="313"/>
      <c r="H792" s="313">
        <v>759572</v>
      </c>
      <c r="I792" s="313"/>
      <c r="J792" s="313">
        <v>348337</v>
      </c>
      <c r="K792" s="313">
        <v>176696</v>
      </c>
      <c r="L792" s="313">
        <v>171641</v>
      </c>
      <c r="M792" s="313"/>
      <c r="N792" s="313"/>
      <c r="O792" s="313"/>
      <c r="P792" s="313" t="s">
        <v>557</v>
      </c>
      <c r="Q792" s="313"/>
      <c r="R792" s="313"/>
      <c r="S792" s="313"/>
      <c r="T792" s="313"/>
      <c r="U792" s="319"/>
      <c r="V792" s="319"/>
      <c r="W792" s="319"/>
    </row>
    <row r="793" spans="1:25" x14ac:dyDescent="0.2">
      <c r="A793" s="312"/>
      <c r="B793" s="423"/>
      <c r="C793" s="45"/>
      <c r="D793" s="313"/>
      <c r="E793" s="45"/>
      <c r="F793" s="313"/>
      <c r="G793" s="313"/>
      <c r="H793" s="313"/>
      <c r="I793" s="313"/>
      <c r="J793" s="313"/>
      <c r="K793" s="313"/>
      <c r="L793" s="313"/>
      <c r="M793" s="313"/>
      <c r="N793" s="313"/>
      <c r="O793" s="313"/>
      <c r="P793" s="313"/>
      <c r="Q793" s="313"/>
      <c r="R793" s="313"/>
      <c r="S793" s="313"/>
      <c r="T793" s="313"/>
      <c r="U793" s="319"/>
      <c r="V793" s="319"/>
      <c r="W793" s="319"/>
    </row>
    <row r="794" spans="1:25" x14ac:dyDescent="0.2">
      <c r="A794" s="45"/>
      <c r="B794" s="423" t="s">
        <v>16</v>
      </c>
      <c r="C794" s="45"/>
      <c r="D794" s="45"/>
      <c r="E794" s="45"/>
      <c r="F794" s="313"/>
      <c r="G794" s="313"/>
      <c r="H794" s="313"/>
      <c r="I794" s="313"/>
      <c r="J794" s="313"/>
      <c r="K794" s="313"/>
      <c r="L794" s="313"/>
      <c r="M794" s="313"/>
      <c r="N794" s="313"/>
      <c r="O794" s="313"/>
      <c r="P794" s="313"/>
      <c r="Q794" s="313"/>
      <c r="R794" s="313"/>
      <c r="S794" s="313"/>
      <c r="T794" s="313"/>
      <c r="V794" s="319"/>
      <c r="W794" s="319"/>
    </row>
    <row r="795" spans="1:25" x14ac:dyDescent="0.2">
      <c r="A795" s="312">
        <v>9</v>
      </c>
      <c r="B795" s="423" t="s">
        <v>9</v>
      </c>
      <c r="C795" s="424" t="s">
        <v>1435</v>
      </c>
      <c r="D795" s="313">
        <v>453222838</v>
      </c>
      <c r="E795" s="45"/>
      <c r="F795" s="313">
        <v>425254874</v>
      </c>
      <c r="G795" s="313"/>
      <c r="H795" s="313">
        <v>19199868</v>
      </c>
      <c r="I795" s="313"/>
      <c r="J795" s="313">
        <v>8768097</v>
      </c>
      <c r="K795" s="313">
        <v>4447669</v>
      </c>
      <c r="L795" s="313">
        <v>4320427</v>
      </c>
      <c r="M795" s="313"/>
      <c r="N795" s="313"/>
      <c r="O795" s="313">
        <v>453222838</v>
      </c>
      <c r="P795" s="313"/>
      <c r="Q795" s="313" t="s">
        <v>10</v>
      </c>
      <c r="R795" s="313"/>
      <c r="S795" s="313"/>
      <c r="T795" s="313"/>
      <c r="U795" s="319"/>
      <c r="V795" s="324"/>
      <c r="W795" s="319"/>
      <c r="X795" s="319"/>
      <c r="Y795" s="319"/>
    </row>
    <row r="796" spans="1:25" x14ac:dyDescent="0.2">
      <c r="A796" s="312">
        <v>10</v>
      </c>
      <c r="B796" s="423" t="s">
        <v>11</v>
      </c>
      <c r="C796" s="424" t="s">
        <v>1272</v>
      </c>
      <c r="D796" s="313">
        <v>966</v>
      </c>
      <c r="E796" s="45"/>
      <c r="F796" s="313">
        <v>497</v>
      </c>
      <c r="G796" s="313"/>
      <c r="H796" s="313">
        <v>322</v>
      </c>
      <c r="I796" s="313"/>
      <c r="J796" s="313">
        <v>147</v>
      </c>
      <c r="K796" s="313">
        <v>75</v>
      </c>
      <c r="L796" s="313">
        <v>72</v>
      </c>
      <c r="M796" s="313"/>
      <c r="N796" s="313"/>
      <c r="O796" s="313">
        <v>966</v>
      </c>
      <c r="P796" s="313"/>
      <c r="Q796" s="313"/>
      <c r="R796" s="313"/>
      <c r="S796" s="313"/>
      <c r="T796" s="313"/>
      <c r="U796" s="319"/>
      <c r="V796" s="319"/>
      <c r="W796" s="319"/>
      <c r="X796" s="319"/>
      <c r="Y796" s="319"/>
    </row>
    <row r="797" spans="1:25" x14ac:dyDescent="0.2">
      <c r="A797" s="312">
        <v>11</v>
      </c>
      <c r="B797" s="423" t="s">
        <v>12</v>
      </c>
      <c r="C797" s="424" t="s">
        <v>1278</v>
      </c>
      <c r="D797" s="313">
        <v>485130</v>
      </c>
      <c r="E797" s="45"/>
      <c r="F797" s="313">
        <v>374333</v>
      </c>
      <c r="G797" s="313"/>
      <c r="H797" s="313">
        <v>0</v>
      </c>
      <c r="I797" s="313"/>
      <c r="J797" s="313">
        <v>110797</v>
      </c>
      <c r="K797" s="313">
        <v>56202</v>
      </c>
      <c r="L797" s="313">
        <v>54594</v>
      </c>
      <c r="M797" s="313"/>
      <c r="N797" s="313"/>
      <c r="O797" s="313">
        <v>485130</v>
      </c>
      <c r="P797" s="313"/>
      <c r="Q797" s="313"/>
      <c r="R797" s="313"/>
      <c r="S797" s="313"/>
      <c r="T797" s="313"/>
      <c r="U797" s="319"/>
      <c r="V797" s="319"/>
      <c r="W797" s="319"/>
    </row>
    <row r="798" spans="1:25" x14ac:dyDescent="0.2">
      <c r="A798" s="312">
        <v>12</v>
      </c>
      <c r="B798" s="423" t="s">
        <v>17</v>
      </c>
      <c r="C798" s="45"/>
      <c r="D798" s="313">
        <v>453708934</v>
      </c>
      <c r="E798" s="45"/>
      <c r="F798" s="313">
        <v>425629704</v>
      </c>
      <c r="G798" s="313"/>
      <c r="H798" s="313">
        <v>19200190</v>
      </c>
      <c r="I798" s="313"/>
      <c r="J798" s="313">
        <v>8879040</v>
      </c>
      <c r="K798" s="313">
        <v>4503946</v>
      </c>
      <c r="L798" s="313">
        <v>4375094</v>
      </c>
      <c r="M798" s="313"/>
      <c r="N798" s="313"/>
      <c r="O798" s="313"/>
      <c r="P798" s="313" t="s">
        <v>557</v>
      </c>
      <c r="Q798" s="313"/>
      <c r="R798" s="313"/>
      <c r="S798" s="313"/>
      <c r="T798" s="313"/>
      <c r="U798" s="319"/>
      <c r="V798" s="319"/>
      <c r="W798" s="319"/>
    </row>
    <row r="799" spans="1:25" x14ac:dyDescent="0.2">
      <c r="A799" s="312"/>
      <c r="B799" s="423"/>
      <c r="C799" s="45"/>
      <c r="D799" s="313"/>
      <c r="E799" s="45"/>
      <c r="F799" s="313"/>
      <c r="G799" s="313"/>
      <c r="H799" s="313"/>
      <c r="I799" s="313"/>
      <c r="J799" s="313"/>
      <c r="K799" s="313"/>
      <c r="L799" s="313"/>
      <c r="M799" s="313"/>
      <c r="N799" s="313"/>
      <c r="O799" s="313"/>
      <c r="P799" s="313"/>
      <c r="Q799" s="313"/>
      <c r="R799" s="313"/>
      <c r="S799" s="313"/>
      <c r="T799" s="313"/>
      <c r="U799" s="319"/>
      <c r="V799" s="319"/>
      <c r="W799" s="319"/>
    </row>
    <row r="800" spans="1:25" x14ac:dyDescent="0.2">
      <c r="A800" s="312">
        <v>13</v>
      </c>
      <c r="B800" s="423" t="s">
        <v>18</v>
      </c>
      <c r="C800" s="45"/>
      <c r="D800" s="313">
        <v>2654342705</v>
      </c>
      <c r="E800" s="45"/>
      <c r="F800" s="313">
        <v>2485921428</v>
      </c>
      <c r="G800" s="313"/>
      <c r="H800" s="313">
        <v>115238039</v>
      </c>
      <c r="I800" s="313"/>
      <c r="J800" s="313">
        <v>53183238</v>
      </c>
      <c r="K800" s="313">
        <v>26977514</v>
      </c>
      <c r="L800" s="313">
        <v>26205724</v>
      </c>
      <c r="M800" s="313"/>
      <c r="N800" s="313"/>
      <c r="O800" s="313"/>
      <c r="P800" s="313"/>
      <c r="Q800" s="313"/>
      <c r="R800" s="313"/>
      <c r="S800" s="313"/>
      <c r="T800" s="313"/>
      <c r="V800" s="319"/>
      <c r="W800" s="319"/>
    </row>
    <row r="801" spans="1:25" x14ac:dyDescent="0.2">
      <c r="A801" s="45"/>
      <c r="B801" s="45"/>
      <c r="C801" s="311"/>
      <c r="D801" s="45"/>
      <c r="E801" s="45"/>
      <c r="F801" s="313"/>
      <c r="G801" s="313"/>
      <c r="H801" s="313"/>
      <c r="I801" s="313"/>
      <c r="J801" s="313"/>
      <c r="K801" s="313"/>
      <c r="L801" s="313"/>
      <c r="M801" s="313"/>
      <c r="N801" s="313"/>
      <c r="O801" s="313"/>
      <c r="P801" s="313"/>
      <c r="Q801" s="313"/>
      <c r="R801" s="313"/>
      <c r="S801" s="313"/>
      <c r="T801" s="313"/>
      <c r="V801" s="319"/>
      <c r="W801" s="319"/>
    </row>
    <row r="802" spans="1:25" x14ac:dyDescent="0.2">
      <c r="A802" s="45"/>
      <c r="B802" s="423" t="s">
        <v>19</v>
      </c>
      <c r="C802" s="45"/>
      <c r="D802" s="45"/>
      <c r="E802" s="45"/>
      <c r="F802" s="313"/>
      <c r="G802" s="313"/>
      <c r="H802" s="313"/>
      <c r="I802" s="313"/>
      <c r="J802" s="313"/>
      <c r="K802" s="313"/>
      <c r="L802" s="313"/>
      <c r="M802" s="313"/>
      <c r="N802" s="313"/>
      <c r="O802" s="313"/>
      <c r="P802" s="313"/>
      <c r="Q802" s="313"/>
      <c r="R802" s="313"/>
      <c r="S802" s="313"/>
      <c r="T802" s="313"/>
      <c r="V802" s="319"/>
      <c r="W802" s="319"/>
    </row>
    <row r="803" spans="1:25" x14ac:dyDescent="0.2">
      <c r="A803" s="312">
        <v>14</v>
      </c>
      <c r="B803" s="423" t="s">
        <v>1068</v>
      </c>
      <c r="C803" s="424" t="s">
        <v>2143</v>
      </c>
      <c r="D803" s="313">
        <v>355712970</v>
      </c>
      <c r="E803" s="45"/>
      <c r="F803" s="313">
        <v>340198668</v>
      </c>
      <c r="G803" s="313"/>
      <c r="H803" s="313">
        <v>15514302</v>
      </c>
      <c r="I803" s="313"/>
      <c r="J803" s="313">
        <v>0</v>
      </c>
      <c r="K803" s="313">
        <v>0</v>
      </c>
      <c r="L803" s="313">
        <v>0</v>
      </c>
      <c r="M803" s="313"/>
      <c r="N803" s="313"/>
      <c r="O803" s="313">
        <v>355712970</v>
      </c>
      <c r="P803" s="313"/>
      <c r="Q803" s="313" t="s">
        <v>10</v>
      </c>
      <c r="R803" s="313"/>
      <c r="S803" s="313"/>
      <c r="T803" s="313"/>
      <c r="U803" s="319"/>
      <c r="V803" s="324"/>
      <c r="W803" s="319"/>
      <c r="X803" s="319"/>
      <c r="Y803" s="319"/>
    </row>
    <row r="804" spans="1:25" x14ac:dyDescent="0.2">
      <c r="A804" s="312">
        <v>15</v>
      </c>
      <c r="B804" s="423" t="s">
        <v>1071</v>
      </c>
      <c r="C804" s="424" t="s">
        <v>1345</v>
      </c>
      <c r="D804" s="313">
        <v>32034764</v>
      </c>
      <c r="E804" s="45"/>
      <c r="F804" s="313">
        <v>2567091</v>
      </c>
      <c r="G804" s="313"/>
      <c r="H804" s="313">
        <v>29467673</v>
      </c>
      <c r="I804" s="313"/>
      <c r="J804" s="313">
        <v>0</v>
      </c>
      <c r="K804" s="313">
        <v>0</v>
      </c>
      <c r="L804" s="313">
        <v>0</v>
      </c>
      <c r="M804" s="313"/>
      <c r="N804" s="313"/>
      <c r="O804" s="313">
        <v>32034764</v>
      </c>
      <c r="P804" s="313"/>
      <c r="Q804" s="313"/>
      <c r="R804" s="313"/>
      <c r="S804" s="313"/>
      <c r="T804" s="313"/>
      <c r="U804" s="319"/>
      <c r="V804" s="319"/>
      <c r="W804" s="319"/>
      <c r="X804" s="319"/>
      <c r="Y804" s="319"/>
    </row>
    <row r="805" spans="1:25" x14ac:dyDescent="0.2">
      <c r="A805" s="312">
        <v>16</v>
      </c>
      <c r="B805" s="423" t="s">
        <v>1059</v>
      </c>
      <c r="C805" s="424" t="s">
        <v>1272</v>
      </c>
      <c r="D805" s="313">
        <v>1330437</v>
      </c>
      <c r="E805" s="45"/>
      <c r="F805" s="313">
        <v>684341</v>
      </c>
      <c r="G805" s="313"/>
      <c r="H805" s="313">
        <v>443541</v>
      </c>
      <c r="I805" s="313"/>
      <c r="J805" s="313">
        <v>202554</v>
      </c>
      <c r="K805" s="313">
        <v>102747</v>
      </c>
      <c r="L805" s="313">
        <v>99807</v>
      </c>
      <c r="M805" s="313"/>
      <c r="N805" s="313"/>
      <c r="O805" s="313">
        <v>1330437</v>
      </c>
      <c r="P805" s="313"/>
      <c r="Q805" s="313"/>
      <c r="R805" s="313"/>
      <c r="S805" s="313"/>
      <c r="T805" s="313"/>
      <c r="U805" s="319"/>
      <c r="V805" s="319"/>
      <c r="W805" s="319"/>
      <c r="X805" s="319"/>
      <c r="Y805" s="319"/>
    </row>
    <row r="806" spans="1:25" x14ac:dyDescent="0.2">
      <c r="A806" s="312">
        <v>17</v>
      </c>
      <c r="B806" s="423" t="s">
        <v>1060</v>
      </c>
      <c r="C806" s="424" t="s">
        <v>1278</v>
      </c>
      <c r="D806" s="313">
        <v>92253</v>
      </c>
      <c r="E806" s="45"/>
      <c r="F806" s="313">
        <v>71183</v>
      </c>
      <c r="G806" s="313"/>
      <c r="H806" s="313">
        <v>0</v>
      </c>
      <c r="I806" s="313"/>
      <c r="J806" s="313">
        <v>21069</v>
      </c>
      <c r="K806" s="313">
        <v>10687</v>
      </c>
      <c r="L806" s="313">
        <v>10382</v>
      </c>
      <c r="M806" s="313"/>
      <c r="N806" s="313"/>
      <c r="O806" s="313">
        <v>92253</v>
      </c>
      <c r="P806" s="313"/>
      <c r="Q806" s="313"/>
      <c r="R806" s="313"/>
      <c r="S806" s="313"/>
      <c r="T806" s="313"/>
      <c r="U806" s="319"/>
      <c r="V806" s="319"/>
      <c r="W806" s="319"/>
    </row>
    <row r="807" spans="1:25" x14ac:dyDescent="0.2">
      <c r="A807" s="312">
        <v>18</v>
      </c>
      <c r="B807" s="423" t="s">
        <v>20</v>
      </c>
      <c r="C807" s="45"/>
      <c r="D807" s="313">
        <v>389170423</v>
      </c>
      <c r="E807" s="45"/>
      <c r="F807" s="313">
        <v>343521283</v>
      </c>
      <c r="G807" s="313"/>
      <c r="H807" s="313">
        <v>45425517</v>
      </c>
      <c r="I807" s="313"/>
      <c r="J807" s="313">
        <v>223623</v>
      </c>
      <c r="K807" s="313">
        <v>113434</v>
      </c>
      <c r="L807" s="313">
        <v>110189</v>
      </c>
      <c r="M807" s="313"/>
      <c r="N807" s="313"/>
      <c r="O807" s="313"/>
      <c r="P807" s="313" t="s">
        <v>557</v>
      </c>
      <c r="Q807" s="313"/>
      <c r="R807" s="313"/>
      <c r="S807" s="313"/>
      <c r="T807" s="313"/>
      <c r="U807" s="319"/>
      <c r="V807" s="319"/>
      <c r="W807" s="319"/>
    </row>
    <row r="808" spans="1:25" x14ac:dyDescent="0.2">
      <c r="A808" s="45"/>
      <c r="B808" s="45"/>
      <c r="C808" s="311"/>
      <c r="D808" s="45"/>
      <c r="E808" s="45"/>
      <c r="F808" s="313"/>
      <c r="G808" s="313"/>
      <c r="H808" s="313"/>
      <c r="I808" s="313"/>
      <c r="J808" s="313"/>
      <c r="K808" s="313"/>
      <c r="L808" s="313"/>
      <c r="M808" s="313"/>
      <c r="N808" s="313"/>
      <c r="O808" s="313"/>
      <c r="P808" s="313"/>
      <c r="Q808" s="313"/>
      <c r="R808" s="313"/>
      <c r="S808" s="313"/>
      <c r="T808" s="313"/>
      <c r="V808" s="319"/>
      <c r="W808" s="319"/>
    </row>
    <row r="809" spans="1:25" x14ac:dyDescent="0.2">
      <c r="A809" s="312">
        <v>19</v>
      </c>
      <c r="B809" s="426" t="s">
        <v>2035</v>
      </c>
      <c r="C809" s="424" t="s">
        <v>1367</v>
      </c>
      <c r="D809" s="313">
        <v>43641211</v>
      </c>
      <c r="E809" s="45"/>
      <c r="F809" s="313">
        <v>19414</v>
      </c>
      <c r="G809" s="313"/>
      <c r="H809" s="313">
        <v>43621797</v>
      </c>
      <c r="I809" s="313"/>
      <c r="J809" s="313">
        <v>0</v>
      </c>
      <c r="K809" s="313">
        <v>0</v>
      </c>
      <c r="L809" s="313">
        <v>0</v>
      </c>
      <c r="M809" s="313"/>
      <c r="N809" s="313"/>
      <c r="O809" s="313">
        <v>43641211</v>
      </c>
      <c r="P809" s="313"/>
      <c r="Q809" s="313"/>
      <c r="R809" s="313"/>
      <c r="S809" s="313"/>
      <c r="T809" s="313"/>
      <c r="U809" s="319"/>
      <c r="V809" s="319"/>
      <c r="W809" s="319"/>
      <c r="X809" s="319"/>
      <c r="Y809" s="319"/>
    </row>
    <row r="810" spans="1:25" x14ac:dyDescent="0.2">
      <c r="A810" s="312">
        <v>20</v>
      </c>
      <c r="B810" s="426" t="s">
        <v>2036</v>
      </c>
      <c r="C810" s="424" t="s">
        <v>1445</v>
      </c>
      <c r="D810" s="313">
        <v>694577059</v>
      </c>
      <c r="E810" s="45"/>
      <c r="F810" s="313">
        <v>693456462</v>
      </c>
      <c r="G810" s="313"/>
      <c r="H810" s="313">
        <v>0</v>
      </c>
      <c r="I810" s="313"/>
      <c r="J810" s="313">
        <v>1120598</v>
      </c>
      <c r="K810" s="313">
        <v>1112070</v>
      </c>
      <c r="L810" s="313">
        <v>8528</v>
      </c>
      <c r="M810" s="313"/>
      <c r="N810" s="313"/>
      <c r="O810" s="313">
        <v>694577059</v>
      </c>
      <c r="P810" s="313"/>
      <c r="Q810" s="313" t="s">
        <v>10</v>
      </c>
      <c r="R810" s="313"/>
      <c r="S810" s="313"/>
      <c r="T810" s="313"/>
      <c r="U810" s="319"/>
      <c r="V810" s="324"/>
      <c r="W810" s="319"/>
      <c r="X810" s="319"/>
      <c r="Y810" s="319"/>
    </row>
    <row r="811" spans="1:25" x14ac:dyDescent="0.2">
      <c r="A811" s="312">
        <v>21</v>
      </c>
      <c r="B811" s="423" t="s">
        <v>21</v>
      </c>
      <c r="C811" s="45"/>
      <c r="D811" s="313">
        <v>738218270</v>
      </c>
      <c r="E811" s="45"/>
      <c r="F811" s="313">
        <v>693475875</v>
      </c>
      <c r="G811" s="313"/>
      <c r="H811" s="313">
        <v>43621797</v>
      </c>
      <c r="I811" s="313"/>
      <c r="J811" s="313">
        <v>1120598</v>
      </c>
      <c r="K811" s="313">
        <v>1112070</v>
      </c>
      <c r="L811" s="313">
        <v>8528</v>
      </c>
      <c r="M811" s="313"/>
      <c r="N811" s="313"/>
      <c r="O811" s="313"/>
      <c r="P811" s="313" t="s">
        <v>557</v>
      </c>
      <c r="Q811" s="313"/>
      <c r="R811" s="313"/>
      <c r="S811" s="313"/>
      <c r="T811" s="313"/>
      <c r="U811" s="319"/>
      <c r="V811" s="319"/>
      <c r="W811" s="319"/>
    </row>
    <row r="812" spans="1:25" x14ac:dyDescent="0.2">
      <c r="A812" s="45"/>
      <c r="B812" s="45"/>
      <c r="C812" s="45"/>
      <c r="D812" s="45"/>
      <c r="E812" s="45"/>
      <c r="F812" s="313"/>
      <c r="G812" s="313"/>
      <c r="H812" s="313"/>
      <c r="I812" s="313"/>
      <c r="J812" s="313"/>
      <c r="K812" s="313"/>
      <c r="L812" s="313"/>
      <c r="M812" s="313"/>
      <c r="N812" s="313"/>
      <c r="O812" s="313"/>
      <c r="P812" s="313"/>
      <c r="Q812" s="313"/>
      <c r="R812" s="313"/>
      <c r="S812" s="313"/>
      <c r="T812" s="313"/>
      <c r="V812" s="319"/>
      <c r="W812" s="319"/>
    </row>
    <row r="813" spans="1:25" x14ac:dyDescent="0.2">
      <c r="A813" s="312">
        <v>22</v>
      </c>
      <c r="B813" s="423" t="s">
        <v>22</v>
      </c>
      <c r="C813" s="424" t="s">
        <v>1447</v>
      </c>
      <c r="D813" s="313">
        <v>88363481</v>
      </c>
      <c r="E813" s="45"/>
      <c r="F813" s="313">
        <v>83296248</v>
      </c>
      <c r="G813" s="313"/>
      <c r="H813" s="313">
        <v>4084209</v>
      </c>
      <c r="I813" s="313"/>
      <c r="J813" s="313">
        <v>983024</v>
      </c>
      <c r="K813" s="313">
        <v>512560</v>
      </c>
      <c r="L813" s="313">
        <v>470464</v>
      </c>
      <c r="M813" s="313"/>
      <c r="N813" s="313"/>
      <c r="O813" s="313">
        <v>88363481</v>
      </c>
      <c r="P813" s="313"/>
      <c r="Q813" s="313" t="s">
        <v>10</v>
      </c>
      <c r="R813" s="313"/>
      <c r="S813" s="313"/>
      <c r="T813" s="313"/>
      <c r="U813" s="319"/>
      <c r="V813" s="324"/>
      <c r="W813" s="319"/>
      <c r="X813" s="319"/>
      <c r="Y813" s="319"/>
    </row>
    <row r="814" spans="1:25" x14ac:dyDescent="0.2">
      <c r="A814" s="45"/>
      <c r="B814" s="45"/>
      <c r="C814" s="45"/>
      <c r="D814" s="45"/>
      <c r="E814" s="45"/>
      <c r="F814" s="313"/>
      <c r="G814" s="313"/>
      <c r="H814" s="313"/>
      <c r="I814" s="313"/>
      <c r="J814" s="313"/>
      <c r="K814" s="313"/>
      <c r="L814" s="313"/>
      <c r="M814" s="313"/>
      <c r="N814" s="313"/>
      <c r="O814" s="313"/>
      <c r="P814" s="313"/>
      <c r="Q814" s="313"/>
      <c r="R814" s="313"/>
      <c r="S814" s="313"/>
      <c r="T814" s="313"/>
      <c r="V814" s="319"/>
      <c r="W814" s="319"/>
    </row>
    <row r="815" spans="1:25" x14ac:dyDescent="0.2">
      <c r="A815" s="312">
        <v>23</v>
      </c>
      <c r="B815" s="423" t="s">
        <v>23</v>
      </c>
      <c r="C815" s="427" t="s">
        <v>1916</v>
      </c>
      <c r="D815" s="313">
        <v>65014</v>
      </c>
      <c r="E815" s="45"/>
      <c r="F815" s="313">
        <v>65014</v>
      </c>
      <c r="G815" s="313"/>
      <c r="H815" s="313">
        <v>0</v>
      </c>
      <c r="I815" s="313"/>
      <c r="J815" s="313">
        <v>0</v>
      </c>
      <c r="K815" s="313">
        <v>0</v>
      </c>
      <c r="L815" s="313">
        <v>0</v>
      </c>
      <c r="M815" s="313"/>
      <c r="N815" s="313"/>
      <c r="O815" s="313">
        <v>65014</v>
      </c>
      <c r="P815" s="313"/>
      <c r="Q815" s="313" t="s">
        <v>2037</v>
      </c>
      <c r="R815" s="313"/>
      <c r="S815" s="313"/>
      <c r="T815" s="313"/>
      <c r="U815" s="319"/>
      <c r="V815" s="354"/>
      <c r="W815" s="319"/>
      <c r="X815" s="319"/>
      <c r="Y815" s="319"/>
    </row>
    <row r="816" spans="1:25" x14ac:dyDescent="0.2">
      <c r="A816" s="312">
        <v>24</v>
      </c>
      <c r="B816" s="423" t="s">
        <v>24</v>
      </c>
      <c r="C816" s="427" t="s">
        <v>1917</v>
      </c>
      <c r="D816" s="313">
        <v>52444816</v>
      </c>
      <c r="E816" s="45"/>
      <c r="F816" s="313">
        <v>49018865</v>
      </c>
      <c r="G816" s="313"/>
      <c r="H816" s="313">
        <v>2734005</v>
      </c>
      <c r="I816" s="313"/>
      <c r="J816" s="313">
        <v>691946</v>
      </c>
      <c r="K816" s="313">
        <v>362055</v>
      </c>
      <c r="L816" s="313">
        <v>329891</v>
      </c>
      <c r="M816" s="313"/>
      <c r="N816" s="313"/>
      <c r="O816" s="313">
        <v>52444816</v>
      </c>
      <c r="P816" s="313"/>
      <c r="Q816" s="313" t="s">
        <v>10</v>
      </c>
      <c r="R816" s="313"/>
      <c r="S816" s="313"/>
      <c r="T816" s="313"/>
      <c r="U816" s="319"/>
      <c r="V816" s="324"/>
      <c r="W816" s="319"/>
      <c r="X816" s="319"/>
      <c r="Y816" s="319"/>
    </row>
    <row r="817" spans="1:25" x14ac:dyDescent="0.2">
      <c r="A817" s="312"/>
      <c r="B817" s="423"/>
      <c r="C817" s="424"/>
      <c r="D817" s="313"/>
      <c r="E817" s="45"/>
      <c r="F817" s="313"/>
      <c r="G817" s="313"/>
      <c r="H817" s="313"/>
      <c r="I817" s="313"/>
      <c r="J817" s="313"/>
      <c r="K817" s="313"/>
      <c r="L817" s="313"/>
      <c r="M817" s="313"/>
      <c r="N817" s="313"/>
      <c r="O817" s="313"/>
      <c r="P817" s="313"/>
      <c r="Q817" s="313"/>
      <c r="R817" s="313"/>
      <c r="S817" s="313"/>
      <c r="T817" s="313"/>
      <c r="U817" s="319"/>
      <c r="V817" s="319"/>
      <c r="W817" s="319"/>
      <c r="X817" s="319"/>
      <c r="Y817" s="319"/>
    </row>
    <row r="818" spans="1:25" x14ac:dyDescent="0.2">
      <c r="A818" s="312">
        <v>25</v>
      </c>
      <c r="B818" s="423" t="s">
        <v>25</v>
      </c>
      <c r="C818" s="311"/>
      <c r="D818" s="313">
        <v>3922604709</v>
      </c>
      <c r="E818" s="45"/>
      <c r="F818" s="313">
        <v>3655298713</v>
      </c>
      <c r="G818" s="313"/>
      <c r="H818" s="313">
        <v>211103567</v>
      </c>
      <c r="I818" s="313"/>
      <c r="J818" s="313">
        <v>56202429</v>
      </c>
      <c r="K818" s="313">
        <v>29077633</v>
      </c>
      <c r="L818" s="313">
        <v>27124796</v>
      </c>
      <c r="M818" s="313"/>
      <c r="N818" s="313"/>
      <c r="O818" s="313"/>
      <c r="P818" s="313" t="s">
        <v>557</v>
      </c>
      <c r="Q818" s="313"/>
      <c r="R818" s="313"/>
      <c r="S818" s="313"/>
      <c r="T818" s="313"/>
      <c r="U818" s="319"/>
      <c r="W818" s="319"/>
    </row>
    <row r="819" spans="1:25" x14ac:dyDescent="0.2">
      <c r="A819" s="45"/>
      <c r="B819" s="45"/>
      <c r="C819" s="311"/>
      <c r="D819" s="45"/>
      <c r="E819" s="45"/>
      <c r="F819" s="313"/>
      <c r="G819" s="313"/>
      <c r="H819" s="313"/>
      <c r="I819" s="313"/>
      <c r="J819" s="313"/>
      <c r="K819" s="313"/>
      <c r="L819" s="313"/>
      <c r="M819" s="313"/>
      <c r="N819" s="313"/>
      <c r="O819" s="313"/>
      <c r="P819" s="313"/>
      <c r="Q819" s="313"/>
      <c r="R819" s="313"/>
      <c r="S819" s="313"/>
      <c r="T819" s="313"/>
      <c r="U819" s="319"/>
      <c r="V819" s="319"/>
      <c r="W819" s="319"/>
    </row>
    <row r="820" spans="1:25" x14ac:dyDescent="0.2">
      <c r="A820" s="312">
        <v>26</v>
      </c>
      <c r="B820" s="423" t="s">
        <v>31</v>
      </c>
      <c r="C820" s="311"/>
      <c r="D820" s="313">
        <v>6984839359</v>
      </c>
      <c r="E820" s="45"/>
      <c r="F820" s="313">
        <v>6539627357</v>
      </c>
      <c r="G820" s="313"/>
      <c r="H820" s="313">
        <v>357505782</v>
      </c>
      <c r="I820" s="313"/>
      <c r="J820" s="313">
        <v>87706220</v>
      </c>
      <c r="K820" s="313">
        <v>46221270</v>
      </c>
      <c r="L820" s="313">
        <v>41484949</v>
      </c>
      <c r="M820" s="313"/>
      <c r="N820" s="313"/>
      <c r="O820" s="313"/>
      <c r="P820" s="313"/>
      <c r="Q820" s="313"/>
      <c r="R820" s="313"/>
      <c r="S820" s="313"/>
      <c r="T820" s="313"/>
      <c r="U820" s="319"/>
      <c r="V820" s="319"/>
      <c r="W820" s="319"/>
    </row>
    <row r="821" spans="1:25" x14ac:dyDescent="0.2">
      <c r="A821" s="45"/>
      <c r="B821" s="45"/>
      <c r="C821" s="311"/>
      <c r="D821" s="45"/>
      <c r="E821" s="45"/>
      <c r="F821" s="313"/>
      <c r="G821" s="313"/>
      <c r="H821" s="313"/>
      <c r="I821" s="313"/>
      <c r="J821" s="313"/>
      <c r="K821" s="313"/>
      <c r="L821" s="313"/>
      <c r="M821" s="313"/>
      <c r="N821" s="313"/>
      <c r="O821" s="313"/>
      <c r="P821" s="313"/>
      <c r="Q821" s="313"/>
      <c r="R821" s="313"/>
      <c r="S821" s="313"/>
      <c r="T821" s="313"/>
      <c r="U821" s="319"/>
      <c r="W821" s="319"/>
    </row>
    <row r="822" spans="1:25" x14ac:dyDescent="0.2">
      <c r="A822" s="45"/>
      <c r="B822" s="45"/>
      <c r="C822" s="311"/>
      <c r="D822" s="45"/>
      <c r="E822" s="45"/>
      <c r="F822" s="313"/>
      <c r="G822" s="313"/>
      <c r="H822" s="313"/>
      <c r="I822" s="313"/>
      <c r="J822" s="313"/>
      <c r="K822" s="313"/>
      <c r="L822" s="313"/>
      <c r="M822" s="313"/>
      <c r="N822" s="313"/>
      <c r="O822" s="313"/>
      <c r="P822" s="313"/>
      <c r="Q822" s="313"/>
      <c r="R822" s="313"/>
      <c r="S822" s="313"/>
      <c r="T822" s="313"/>
      <c r="U822" s="319"/>
      <c r="W822" s="319"/>
    </row>
    <row r="823" spans="1:25" x14ac:dyDescent="0.2">
      <c r="A823" s="45"/>
      <c r="B823" s="425" t="s">
        <v>26</v>
      </c>
      <c r="C823" s="311"/>
      <c r="D823" s="45"/>
      <c r="E823" s="45"/>
      <c r="F823" s="313"/>
      <c r="G823" s="313"/>
      <c r="H823" s="313"/>
      <c r="I823" s="313"/>
      <c r="J823" s="313"/>
      <c r="K823" s="313"/>
      <c r="L823" s="313"/>
      <c r="M823" s="313"/>
      <c r="N823" s="313"/>
      <c r="O823" s="313"/>
      <c r="P823" s="313"/>
      <c r="Q823" s="313"/>
      <c r="R823" s="313"/>
      <c r="S823" s="313"/>
      <c r="T823" s="313"/>
      <c r="U823" s="319"/>
      <c r="W823" s="319"/>
    </row>
    <row r="824" spans="1:25" x14ac:dyDescent="0.2">
      <c r="A824" s="45"/>
      <c r="B824" s="45"/>
      <c r="C824" s="311"/>
      <c r="D824" s="45"/>
      <c r="E824" s="45"/>
      <c r="F824" s="313"/>
      <c r="G824" s="313"/>
      <c r="H824" s="313"/>
      <c r="I824" s="313"/>
      <c r="J824" s="313"/>
      <c r="K824" s="313"/>
      <c r="L824" s="313"/>
      <c r="M824" s="313"/>
      <c r="N824" s="313"/>
      <c r="O824" s="313"/>
      <c r="P824" s="313"/>
      <c r="Q824" s="313"/>
      <c r="R824" s="313"/>
      <c r="S824" s="313"/>
      <c r="T824" s="313"/>
      <c r="W824" s="319"/>
    </row>
    <row r="825" spans="1:25" x14ac:dyDescent="0.2">
      <c r="A825" s="45"/>
      <c r="B825" s="434" t="s">
        <v>1114</v>
      </c>
      <c r="C825" s="311"/>
      <c r="D825" s="45"/>
      <c r="E825" s="45"/>
      <c r="F825" s="313"/>
      <c r="G825" s="313"/>
      <c r="H825" s="313"/>
      <c r="I825" s="313"/>
      <c r="J825" s="313"/>
      <c r="K825" s="313"/>
      <c r="L825" s="313"/>
      <c r="M825" s="313"/>
      <c r="N825" s="313"/>
      <c r="O825" s="313"/>
      <c r="P825" s="313"/>
      <c r="Q825" s="313"/>
      <c r="R825" s="313"/>
      <c r="S825" s="313"/>
      <c r="T825" s="313"/>
      <c r="W825" s="319"/>
    </row>
    <row r="826" spans="1:25" x14ac:dyDescent="0.2">
      <c r="A826" s="45"/>
      <c r="B826" s="434"/>
      <c r="C826" s="311"/>
      <c r="D826" s="45"/>
      <c r="E826" s="45"/>
      <c r="F826" s="313"/>
      <c r="G826" s="313"/>
      <c r="H826" s="313"/>
      <c r="I826" s="313"/>
      <c r="J826" s="313"/>
      <c r="K826" s="313"/>
      <c r="L826" s="313"/>
      <c r="M826" s="313"/>
      <c r="N826" s="313"/>
      <c r="O826" s="313"/>
      <c r="P826" s="313"/>
      <c r="Q826" s="313"/>
      <c r="R826" s="313"/>
      <c r="S826" s="313"/>
      <c r="T826" s="313"/>
      <c r="W826" s="319"/>
    </row>
    <row r="827" spans="1:25" x14ac:dyDescent="0.2">
      <c r="A827" s="45"/>
      <c r="B827" s="423" t="s">
        <v>7</v>
      </c>
      <c r="C827" s="45"/>
      <c r="D827" s="45"/>
      <c r="E827" s="45"/>
      <c r="F827" s="313"/>
      <c r="G827" s="313"/>
      <c r="H827" s="313"/>
      <c r="I827" s="313"/>
      <c r="J827" s="313"/>
      <c r="K827" s="313"/>
      <c r="L827" s="313"/>
      <c r="M827" s="313"/>
      <c r="N827" s="313"/>
      <c r="O827" s="313"/>
      <c r="P827" s="313"/>
      <c r="Q827" s="313"/>
      <c r="R827" s="313"/>
      <c r="S827" s="313"/>
      <c r="T827" s="313"/>
      <c r="W827" s="319"/>
    </row>
    <row r="828" spans="1:25" x14ac:dyDescent="0.2">
      <c r="A828" s="312">
        <v>1</v>
      </c>
      <c r="B828" s="423" t="s">
        <v>1115</v>
      </c>
      <c r="C828" s="424" t="s">
        <v>487</v>
      </c>
      <c r="D828" s="313">
        <v>133733623</v>
      </c>
      <c r="E828" s="45"/>
      <c r="F828" s="313">
        <v>125461145</v>
      </c>
      <c r="G828" s="313"/>
      <c r="H828" s="313">
        <v>5679015</v>
      </c>
      <c r="I828" s="313"/>
      <c r="J828" s="313">
        <v>2593463</v>
      </c>
      <c r="K828" s="313">
        <v>1315550</v>
      </c>
      <c r="L828" s="313">
        <v>1277914</v>
      </c>
      <c r="M828" s="313"/>
      <c r="N828" s="313"/>
      <c r="O828" s="313">
        <v>133733623</v>
      </c>
      <c r="P828" s="313"/>
      <c r="Q828" s="313"/>
      <c r="R828" s="313"/>
      <c r="S828" s="313"/>
      <c r="T828" s="313"/>
      <c r="U828" s="319"/>
      <c r="V828" s="319"/>
      <c r="W828" s="319"/>
      <c r="X828" s="319"/>
      <c r="Y828" s="319"/>
    </row>
    <row r="829" spans="1:25" x14ac:dyDescent="0.2">
      <c r="A829" s="312">
        <v>2</v>
      </c>
      <c r="B829" s="423" t="s">
        <v>1116</v>
      </c>
      <c r="C829" s="424" t="s">
        <v>1272</v>
      </c>
      <c r="D829" s="313">
        <v>0</v>
      </c>
      <c r="E829" s="45"/>
      <c r="F829" s="313">
        <v>0</v>
      </c>
      <c r="G829" s="313"/>
      <c r="H829" s="313">
        <v>0</v>
      </c>
      <c r="I829" s="313"/>
      <c r="J829" s="313">
        <v>0</v>
      </c>
      <c r="K829" s="313">
        <v>0</v>
      </c>
      <c r="L829" s="313">
        <v>0</v>
      </c>
      <c r="M829" s="313"/>
      <c r="N829" s="313"/>
      <c r="O829" s="313">
        <v>0</v>
      </c>
      <c r="P829" s="313"/>
      <c r="Q829" s="313"/>
      <c r="R829" s="313"/>
      <c r="S829" s="313"/>
      <c r="T829" s="313"/>
      <c r="U829" s="319"/>
      <c r="V829" s="319"/>
      <c r="W829" s="319"/>
      <c r="X829" s="319"/>
      <c r="Y829" s="319"/>
    </row>
    <row r="830" spans="1:25" x14ac:dyDescent="0.2">
      <c r="A830" s="312">
        <v>3</v>
      </c>
      <c r="B830" s="423" t="s">
        <v>1117</v>
      </c>
      <c r="C830" s="424" t="s">
        <v>1278</v>
      </c>
      <c r="D830" s="313">
        <v>336337</v>
      </c>
      <c r="E830" s="45"/>
      <c r="F830" s="313">
        <v>259523</v>
      </c>
      <c r="G830" s="313"/>
      <c r="H830" s="313">
        <v>0</v>
      </c>
      <c r="I830" s="313"/>
      <c r="J830" s="313">
        <v>76815</v>
      </c>
      <c r="K830" s="313">
        <v>38965</v>
      </c>
      <c r="L830" s="313">
        <v>37850</v>
      </c>
      <c r="M830" s="313"/>
      <c r="N830" s="313"/>
      <c r="O830" s="313">
        <v>336337</v>
      </c>
      <c r="P830" s="313"/>
      <c r="Q830" s="313"/>
      <c r="R830" s="313"/>
      <c r="S830" s="313"/>
      <c r="T830" s="313"/>
      <c r="U830" s="332"/>
      <c r="V830" s="319"/>
      <c r="W830" s="319"/>
      <c r="X830" s="319"/>
      <c r="Y830" s="319"/>
    </row>
    <row r="831" spans="1:25" x14ac:dyDescent="0.2">
      <c r="A831" s="312">
        <v>4</v>
      </c>
      <c r="B831" s="423" t="s">
        <v>1118</v>
      </c>
      <c r="C831" s="45"/>
      <c r="D831" s="313">
        <v>134069960</v>
      </c>
      <c r="E831" s="45"/>
      <c r="F831" s="313">
        <v>125720667</v>
      </c>
      <c r="G831" s="313"/>
      <c r="H831" s="313">
        <v>5679015</v>
      </c>
      <c r="I831" s="313"/>
      <c r="J831" s="313">
        <v>2670278</v>
      </c>
      <c r="K831" s="313">
        <v>1354514</v>
      </c>
      <c r="L831" s="313">
        <v>1315763</v>
      </c>
      <c r="M831" s="313"/>
      <c r="N831" s="313"/>
      <c r="O831" s="313"/>
      <c r="P831" s="313">
        <v>1.992E-2</v>
      </c>
      <c r="Q831" s="313"/>
      <c r="R831" s="313"/>
      <c r="S831" s="313"/>
      <c r="T831" s="313"/>
      <c r="U831" s="332"/>
      <c r="W831" s="319"/>
    </row>
    <row r="832" spans="1:25" x14ac:dyDescent="0.2">
      <c r="A832" s="45"/>
      <c r="B832" s="45"/>
      <c r="C832" s="45"/>
      <c r="D832" s="45"/>
      <c r="E832" s="45"/>
      <c r="F832" s="313"/>
      <c r="G832" s="313"/>
      <c r="H832" s="313"/>
      <c r="I832" s="313"/>
      <c r="J832" s="313"/>
      <c r="K832" s="313"/>
      <c r="L832" s="313"/>
      <c r="M832" s="313"/>
      <c r="N832" s="313"/>
      <c r="O832" s="313"/>
      <c r="P832" s="313"/>
      <c r="Q832" s="313"/>
      <c r="R832" s="313"/>
      <c r="S832" s="313"/>
      <c r="T832" s="313"/>
      <c r="W832" s="319"/>
    </row>
    <row r="833" spans="1:25" x14ac:dyDescent="0.2">
      <c r="A833" s="45"/>
      <c r="B833" s="423" t="s">
        <v>19</v>
      </c>
      <c r="C833" s="311"/>
      <c r="D833" s="45"/>
      <c r="E833" s="45"/>
      <c r="F833" s="313"/>
      <c r="G833" s="313"/>
      <c r="H833" s="313"/>
      <c r="I833" s="313"/>
      <c r="J833" s="313"/>
      <c r="K833" s="313"/>
      <c r="L833" s="313"/>
      <c r="M833" s="313"/>
      <c r="N833" s="313"/>
      <c r="O833" s="313"/>
      <c r="P833" s="313"/>
      <c r="Q833" s="313"/>
      <c r="R833" s="313"/>
      <c r="S833" s="313"/>
      <c r="T833" s="313"/>
      <c r="W833" s="319"/>
    </row>
    <row r="834" spans="1:25" x14ac:dyDescent="0.2">
      <c r="A834" s="312">
        <v>5</v>
      </c>
      <c r="B834" s="423" t="s">
        <v>1115</v>
      </c>
      <c r="C834" s="424" t="s">
        <v>2143</v>
      </c>
      <c r="D834" s="313">
        <v>82559459</v>
      </c>
      <c r="E834" s="45"/>
      <c r="F834" s="313">
        <v>78958656</v>
      </c>
      <c r="G834" s="313"/>
      <c r="H834" s="313">
        <v>3600803</v>
      </c>
      <c r="I834" s="313"/>
      <c r="J834" s="313">
        <v>0</v>
      </c>
      <c r="K834" s="313">
        <v>0</v>
      </c>
      <c r="L834" s="313">
        <v>0</v>
      </c>
      <c r="M834" s="313"/>
      <c r="N834" s="313"/>
      <c r="O834" s="313">
        <v>82559459</v>
      </c>
      <c r="P834" s="313"/>
      <c r="Q834" s="313"/>
      <c r="R834" s="313"/>
      <c r="S834" s="313"/>
      <c r="T834" s="313"/>
      <c r="U834" s="319"/>
      <c r="V834" s="319"/>
      <c r="W834" s="319"/>
      <c r="X834" s="319"/>
      <c r="Y834" s="319"/>
    </row>
    <row r="835" spans="1:25" x14ac:dyDescent="0.2">
      <c r="A835" s="312">
        <v>6</v>
      </c>
      <c r="B835" s="423" t="s">
        <v>1119</v>
      </c>
      <c r="C835" s="424" t="s">
        <v>2143</v>
      </c>
      <c r="D835" s="313">
        <v>0</v>
      </c>
      <c r="E835" s="45"/>
      <c r="F835" s="313">
        <v>0</v>
      </c>
      <c r="G835" s="313"/>
      <c r="H835" s="313">
        <v>0</v>
      </c>
      <c r="I835" s="313"/>
      <c r="J835" s="313">
        <v>0</v>
      </c>
      <c r="K835" s="313">
        <v>0</v>
      </c>
      <c r="L835" s="313">
        <v>0</v>
      </c>
      <c r="M835" s="313"/>
      <c r="N835" s="313"/>
      <c r="O835" s="313">
        <v>0</v>
      </c>
      <c r="P835" s="313"/>
      <c r="Q835" s="313"/>
      <c r="R835" s="313"/>
      <c r="S835" s="313"/>
      <c r="T835" s="313"/>
      <c r="U835" s="319"/>
      <c r="V835" s="319"/>
      <c r="W835" s="319"/>
      <c r="X835" s="319"/>
      <c r="Y835" s="319"/>
    </row>
    <row r="836" spans="1:25" x14ac:dyDescent="0.2">
      <c r="A836" s="312">
        <v>7</v>
      </c>
      <c r="B836" s="423" t="s">
        <v>1120</v>
      </c>
      <c r="C836" s="424" t="s">
        <v>1439</v>
      </c>
      <c r="D836" s="313">
        <v>11949942</v>
      </c>
      <c r="E836" s="45"/>
      <c r="F836" s="313">
        <v>0</v>
      </c>
      <c r="G836" s="313"/>
      <c r="H836" s="313">
        <v>11949942</v>
      </c>
      <c r="I836" s="313"/>
      <c r="J836" s="313">
        <v>0</v>
      </c>
      <c r="K836" s="313">
        <v>0</v>
      </c>
      <c r="L836" s="313">
        <v>0</v>
      </c>
      <c r="M836" s="313"/>
      <c r="N836" s="313"/>
      <c r="O836" s="313">
        <v>11949942</v>
      </c>
      <c r="P836" s="313"/>
      <c r="Q836" s="313"/>
      <c r="R836" s="313"/>
      <c r="S836" s="313"/>
      <c r="T836" s="313"/>
      <c r="U836" s="319"/>
      <c r="V836" s="319"/>
      <c r="W836" s="319"/>
      <c r="X836" s="319"/>
      <c r="Y836" s="319"/>
    </row>
    <row r="837" spans="1:25" x14ac:dyDescent="0.2">
      <c r="A837" s="312">
        <v>8</v>
      </c>
      <c r="B837" s="423" t="s">
        <v>1116</v>
      </c>
      <c r="C837" s="424" t="s">
        <v>1272</v>
      </c>
      <c r="D837" s="313">
        <v>0</v>
      </c>
      <c r="E837" s="45"/>
      <c r="F837" s="313">
        <v>0</v>
      </c>
      <c r="G837" s="313"/>
      <c r="H837" s="313">
        <v>0</v>
      </c>
      <c r="I837" s="313"/>
      <c r="J837" s="313">
        <v>0</v>
      </c>
      <c r="K837" s="313">
        <v>0</v>
      </c>
      <c r="L837" s="313">
        <v>0</v>
      </c>
      <c r="M837" s="313"/>
      <c r="N837" s="313"/>
      <c r="O837" s="313">
        <v>0</v>
      </c>
      <c r="P837" s="313"/>
      <c r="Q837" s="313"/>
      <c r="R837" s="313"/>
      <c r="S837" s="313"/>
      <c r="T837" s="313"/>
      <c r="U837" s="319"/>
      <c r="V837" s="319"/>
      <c r="W837" s="319"/>
      <c r="X837" s="319"/>
      <c r="Y837" s="319"/>
    </row>
    <row r="838" spans="1:25" x14ac:dyDescent="0.2">
      <c r="A838" s="312">
        <v>9</v>
      </c>
      <c r="B838" s="423" t="s">
        <v>1117</v>
      </c>
      <c r="C838" s="424" t="s">
        <v>1278</v>
      </c>
      <c r="D838" s="313">
        <v>0</v>
      </c>
      <c r="E838" s="45"/>
      <c r="F838" s="313">
        <v>0</v>
      </c>
      <c r="G838" s="313"/>
      <c r="H838" s="313">
        <v>0</v>
      </c>
      <c r="I838" s="313"/>
      <c r="J838" s="313">
        <v>0</v>
      </c>
      <c r="K838" s="313">
        <v>0</v>
      </c>
      <c r="L838" s="313">
        <v>0</v>
      </c>
      <c r="M838" s="313"/>
      <c r="N838" s="313"/>
      <c r="O838" s="313">
        <v>0</v>
      </c>
      <c r="P838" s="313"/>
      <c r="Q838" s="313"/>
      <c r="R838" s="313"/>
      <c r="S838" s="313"/>
      <c r="T838" s="313"/>
      <c r="U838" s="319"/>
      <c r="V838" s="319"/>
      <c r="W838" s="319"/>
      <c r="X838" s="319"/>
      <c r="Y838" s="319"/>
    </row>
    <row r="839" spans="1:25" x14ac:dyDescent="0.2">
      <c r="A839" s="312">
        <v>10</v>
      </c>
      <c r="B839" s="423" t="s">
        <v>1121</v>
      </c>
      <c r="C839" s="45"/>
      <c r="D839" s="313">
        <v>94509402</v>
      </c>
      <c r="E839" s="45"/>
      <c r="F839" s="313">
        <v>78958656</v>
      </c>
      <c r="G839" s="313"/>
      <c r="H839" s="313">
        <v>15550745</v>
      </c>
      <c r="I839" s="313"/>
      <c r="J839" s="313">
        <v>0</v>
      </c>
      <c r="K839" s="313">
        <v>0</v>
      </c>
      <c r="L839" s="313">
        <v>0</v>
      </c>
      <c r="M839" s="313"/>
      <c r="N839" s="313"/>
      <c r="O839" s="313"/>
      <c r="P839" s="313"/>
      <c r="Q839" s="313"/>
      <c r="R839" s="313"/>
      <c r="S839" s="313"/>
      <c r="T839" s="313"/>
      <c r="W839" s="319"/>
    </row>
    <row r="840" spans="1:25" x14ac:dyDescent="0.2">
      <c r="A840" s="325"/>
      <c r="B840" s="325"/>
      <c r="C840" s="325"/>
      <c r="D840" s="325"/>
      <c r="E840" s="325"/>
      <c r="F840" s="313"/>
      <c r="G840" s="313"/>
      <c r="H840" s="313"/>
      <c r="I840" s="313"/>
      <c r="J840" s="313"/>
      <c r="K840" s="313"/>
      <c r="L840" s="313"/>
      <c r="M840" s="313"/>
      <c r="N840" s="313"/>
      <c r="O840" s="313"/>
      <c r="P840" s="313"/>
      <c r="Q840" s="313"/>
      <c r="R840" s="313"/>
      <c r="S840" s="313"/>
      <c r="T840" s="313"/>
      <c r="U840" s="332"/>
      <c r="W840" s="319"/>
    </row>
    <row r="841" spans="1:25" x14ac:dyDescent="0.2">
      <c r="A841" s="312">
        <v>11</v>
      </c>
      <c r="B841" s="426" t="s">
        <v>1122</v>
      </c>
      <c r="C841" s="424" t="s">
        <v>1369</v>
      </c>
      <c r="D841" s="313">
        <v>625806</v>
      </c>
      <c r="E841" s="45"/>
      <c r="F841" s="313">
        <v>0</v>
      </c>
      <c r="G841" s="313"/>
      <c r="H841" s="313">
        <v>625806</v>
      </c>
      <c r="I841" s="313"/>
      <c r="J841" s="313">
        <v>0</v>
      </c>
      <c r="K841" s="313">
        <v>0</v>
      </c>
      <c r="L841" s="313">
        <v>0</v>
      </c>
      <c r="M841" s="313"/>
      <c r="N841" s="313"/>
      <c r="O841" s="313">
        <v>625806</v>
      </c>
      <c r="P841" s="313"/>
      <c r="Q841" s="313"/>
      <c r="R841" s="313"/>
      <c r="S841" s="313"/>
      <c r="T841" s="313"/>
      <c r="U841" s="319"/>
      <c r="V841" s="319"/>
      <c r="W841" s="319"/>
      <c r="X841" s="319"/>
      <c r="Y841" s="319"/>
    </row>
    <row r="842" spans="1:25" x14ac:dyDescent="0.2">
      <c r="A842" s="312">
        <v>12</v>
      </c>
      <c r="B842" s="426" t="s">
        <v>2038</v>
      </c>
      <c r="C842" s="424" t="s">
        <v>1350</v>
      </c>
      <c r="D842" s="313">
        <v>26142701</v>
      </c>
      <c r="E842" s="45"/>
      <c r="F842" s="313">
        <v>26142701</v>
      </c>
      <c r="G842" s="313"/>
      <c r="H842" s="313">
        <v>0</v>
      </c>
      <c r="I842" s="313"/>
      <c r="J842" s="313">
        <v>0</v>
      </c>
      <c r="K842" s="313">
        <v>0</v>
      </c>
      <c r="L842" s="313">
        <v>0</v>
      </c>
      <c r="M842" s="313"/>
      <c r="N842" s="313"/>
      <c r="O842" s="313">
        <v>26142701</v>
      </c>
      <c r="P842" s="313"/>
      <c r="Q842" s="313" t="s">
        <v>2147</v>
      </c>
      <c r="R842" s="313"/>
      <c r="S842" s="313"/>
      <c r="T842" s="313"/>
      <c r="U842" s="319"/>
      <c r="V842" s="316"/>
      <c r="X842" s="319"/>
      <c r="Y842" s="319"/>
    </row>
    <row r="843" spans="1:25" x14ac:dyDescent="0.2">
      <c r="A843" s="312">
        <v>13</v>
      </c>
      <c r="B843" s="426" t="s">
        <v>2526</v>
      </c>
      <c r="C843" s="424" t="s">
        <v>2521</v>
      </c>
      <c r="D843" s="457">
        <v>1748318</v>
      </c>
      <c r="E843" s="45"/>
      <c r="F843" s="313">
        <v>1640394</v>
      </c>
      <c r="G843" s="313"/>
      <c r="H843" s="313">
        <v>87494</v>
      </c>
      <c r="I843" s="313"/>
      <c r="J843" s="313">
        <v>20430</v>
      </c>
      <c r="K843" s="313">
        <v>20430</v>
      </c>
      <c r="L843" s="313">
        <v>0</v>
      </c>
      <c r="M843" s="313"/>
      <c r="N843" s="313"/>
      <c r="O843" s="313">
        <v>1748318</v>
      </c>
      <c r="P843" s="313"/>
      <c r="Q843" s="313"/>
      <c r="R843" s="313" t="s">
        <v>2286</v>
      </c>
      <c r="S843" s="313" t="s">
        <v>2287</v>
      </c>
      <c r="T843" s="313" t="s">
        <v>2527</v>
      </c>
      <c r="U843" s="319" t="s">
        <v>2528</v>
      </c>
      <c r="V843" s="316"/>
      <c r="X843" s="319"/>
      <c r="Y843" s="319"/>
    </row>
    <row r="844" spans="1:25" x14ac:dyDescent="0.2">
      <c r="A844" s="312">
        <v>14</v>
      </c>
      <c r="B844" s="423" t="s">
        <v>2529</v>
      </c>
      <c r="C844" s="45" t="s">
        <v>2065</v>
      </c>
      <c r="D844" s="313">
        <v>24594</v>
      </c>
      <c r="E844" s="45"/>
      <c r="F844" s="313">
        <v>23417</v>
      </c>
      <c r="G844" s="313"/>
      <c r="H844" s="313">
        <v>1178</v>
      </c>
      <c r="I844" s="313"/>
      <c r="J844" s="313">
        <v>0</v>
      </c>
      <c r="K844" s="313">
        <v>0</v>
      </c>
      <c r="L844" s="313" t="s">
        <v>2530</v>
      </c>
      <c r="M844" s="313"/>
      <c r="N844" s="313"/>
      <c r="O844" s="313">
        <v>24594</v>
      </c>
      <c r="P844" s="313"/>
      <c r="Q844" s="313" t="s">
        <v>2531</v>
      </c>
      <c r="R844" s="313">
        <v>23417</v>
      </c>
      <c r="S844" s="313">
        <v>1178</v>
      </c>
      <c r="T844" s="313">
        <v>0</v>
      </c>
      <c r="U844" s="319" t="s">
        <v>2530</v>
      </c>
      <c r="W844" s="319"/>
    </row>
    <row r="845" spans="1:25" x14ac:dyDescent="0.2">
      <c r="A845" s="45">
        <v>15</v>
      </c>
      <c r="B845" s="45" t="s">
        <v>1123</v>
      </c>
      <c r="C845" s="45"/>
      <c r="D845" s="491">
        <v>28541419</v>
      </c>
      <c r="E845" s="45"/>
      <c r="F845" s="313">
        <v>27806511</v>
      </c>
      <c r="G845" s="313"/>
      <c r="H845" s="313">
        <v>714477</v>
      </c>
      <c r="I845" s="313"/>
      <c r="J845" s="313">
        <v>20430</v>
      </c>
      <c r="K845" s="313">
        <v>20430</v>
      </c>
      <c r="L845" s="313">
        <v>0</v>
      </c>
      <c r="M845" s="313"/>
      <c r="N845" s="313"/>
      <c r="O845" s="313"/>
      <c r="P845" s="313"/>
      <c r="Q845" s="313" t="s">
        <v>2532</v>
      </c>
      <c r="R845" s="313">
        <v>134527</v>
      </c>
      <c r="S845" s="313">
        <v>7277</v>
      </c>
      <c r="T845" s="313">
        <v>2054</v>
      </c>
      <c r="U845" s="53" t="s">
        <v>2530</v>
      </c>
      <c r="W845" s="319"/>
    </row>
    <row r="846" spans="1:25" x14ac:dyDescent="0.2">
      <c r="A846" s="312"/>
      <c r="B846" s="423"/>
      <c r="C846" s="424"/>
      <c r="D846" s="457"/>
      <c r="E846" s="45"/>
      <c r="F846" s="313"/>
      <c r="G846" s="313"/>
      <c r="H846" s="313"/>
      <c r="I846" s="313"/>
      <c r="J846" s="313"/>
      <c r="K846" s="313"/>
      <c r="L846" s="313"/>
      <c r="M846" s="313"/>
      <c r="N846" s="313"/>
      <c r="O846" s="313"/>
      <c r="P846" s="313"/>
      <c r="Q846" s="313"/>
      <c r="R846" s="313"/>
      <c r="S846" s="313"/>
      <c r="T846" s="313"/>
      <c r="U846" s="319"/>
      <c r="V846" s="319"/>
      <c r="W846" s="326"/>
      <c r="X846" s="326"/>
      <c r="Y846" s="327"/>
    </row>
    <row r="847" spans="1:25" x14ac:dyDescent="0.2">
      <c r="A847" s="312">
        <v>16</v>
      </c>
      <c r="B847" s="423" t="s">
        <v>2501</v>
      </c>
      <c r="C847" s="424" t="s">
        <v>2521</v>
      </c>
      <c r="D847" s="313">
        <v>8031795</v>
      </c>
      <c r="E847" s="45"/>
      <c r="F847" s="313">
        <v>7535990</v>
      </c>
      <c r="G847" s="313"/>
      <c r="H847" s="313">
        <v>401950</v>
      </c>
      <c r="I847" s="313"/>
      <c r="J847" s="313">
        <v>93855</v>
      </c>
      <c r="K847" s="313">
        <v>93855</v>
      </c>
      <c r="L847" s="313">
        <v>0</v>
      </c>
      <c r="M847" s="313"/>
      <c r="N847" s="313"/>
      <c r="O847" s="313">
        <v>8031795</v>
      </c>
      <c r="P847" s="313"/>
      <c r="Q847" s="313"/>
      <c r="R847" s="313"/>
      <c r="S847" s="313"/>
      <c r="T847" s="313"/>
      <c r="U847" s="319"/>
      <c r="V847" s="319"/>
      <c r="W847" s="326"/>
      <c r="X847" s="326"/>
      <c r="Y847" s="327"/>
    </row>
    <row r="848" spans="1:25" x14ac:dyDescent="0.2">
      <c r="A848" s="312">
        <v>17</v>
      </c>
      <c r="B848" s="423" t="s">
        <v>2533</v>
      </c>
      <c r="C848" s="424" t="s">
        <v>2065</v>
      </c>
      <c r="D848" s="313">
        <v>143857</v>
      </c>
      <c r="E848" s="45"/>
      <c r="F848" s="313">
        <v>134527</v>
      </c>
      <c r="G848" s="313"/>
      <c r="H848" s="313">
        <v>7277</v>
      </c>
      <c r="I848" s="313"/>
      <c r="J848" s="313">
        <v>2054</v>
      </c>
      <c r="K848" s="313">
        <v>2054</v>
      </c>
      <c r="L848" s="313" t="s">
        <v>2530</v>
      </c>
      <c r="M848" s="313"/>
      <c r="N848" s="313"/>
      <c r="O848" s="313">
        <v>143857</v>
      </c>
      <c r="P848" s="313"/>
      <c r="Q848" s="313"/>
      <c r="R848" s="313"/>
      <c r="S848" s="313"/>
      <c r="T848" s="313"/>
      <c r="U848" s="319"/>
      <c r="V848" s="319"/>
      <c r="W848" s="326"/>
      <c r="X848" s="326"/>
      <c r="Y848" s="341"/>
    </row>
    <row r="849" spans="1:26" x14ac:dyDescent="0.2">
      <c r="A849" s="45">
        <v>18</v>
      </c>
      <c r="B849" s="45" t="s">
        <v>1124</v>
      </c>
      <c r="C849" s="45" t="s">
        <v>1447</v>
      </c>
      <c r="D849" s="491">
        <v>31538421</v>
      </c>
      <c r="E849" s="45"/>
      <c r="F849" s="313">
        <v>29729840</v>
      </c>
      <c r="G849" s="313"/>
      <c r="H849" s="313">
        <v>1457723</v>
      </c>
      <c r="I849" s="313"/>
      <c r="J849" s="313">
        <v>350858</v>
      </c>
      <c r="K849" s="313">
        <v>182941</v>
      </c>
      <c r="L849" s="313">
        <v>167916</v>
      </c>
      <c r="M849" s="313"/>
      <c r="N849" s="313"/>
      <c r="O849" s="313">
        <v>31538421</v>
      </c>
      <c r="P849" s="313"/>
      <c r="Q849" s="313"/>
      <c r="R849" s="313">
        <v>296834854</v>
      </c>
      <c r="S849" s="313">
        <v>296834854</v>
      </c>
      <c r="T849" s="313">
        <v>0</v>
      </c>
      <c r="U849" s="319"/>
      <c r="W849" s="319"/>
    </row>
    <row r="850" spans="1:26" x14ac:dyDescent="0.2">
      <c r="A850" s="312">
        <v>19</v>
      </c>
      <c r="B850" s="423" t="s">
        <v>2502</v>
      </c>
      <c r="C850" s="311"/>
      <c r="D850" s="313">
        <v>39714073</v>
      </c>
      <c r="E850" s="45"/>
      <c r="F850" s="313">
        <v>37400357</v>
      </c>
      <c r="G850" s="313"/>
      <c r="H850" s="313">
        <v>1866949</v>
      </c>
      <c r="I850" s="313"/>
      <c r="J850" s="313">
        <v>446767</v>
      </c>
      <c r="K850" s="313">
        <v>278850</v>
      </c>
      <c r="L850" s="313">
        <v>167916</v>
      </c>
      <c r="M850" s="313"/>
      <c r="N850" s="313"/>
      <c r="O850" s="313"/>
      <c r="P850" s="313"/>
      <c r="Q850" s="313"/>
      <c r="R850" s="313"/>
      <c r="S850" s="313"/>
      <c r="T850" s="313"/>
      <c r="W850" s="319"/>
    </row>
    <row r="851" spans="1:26" x14ac:dyDescent="0.2">
      <c r="A851" s="45"/>
      <c r="B851" s="45"/>
      <c r="C851" s="311"/>
      <c r="D851" s="45"/>
      <c r="E851" s="45"/>
      <c r="F851" s="313"/>
      <c r="G851" s="313"/>
      <c r="H851" s="313"/>
      <c r="I851" s="313"/>
      <c r="J851" s="313"/>
      <c r="K851" s="313"/>
      <c r="L851" s="313"/>
      <c r="M851" s="313"/>
      <c r="N851" s="313"/>
      <c r="O851" s="313"/>
      <c r="P851" s="313"/>
      <c r="Q851" s="313"/>
      <c r="R851" s="313"/>
      <c r="S851" s="313"/>
      <c r="T851" s="313"/>
      <c r="W851" s="319"/>
    </row>
    <row r="852" spans="1:26" x14ac:dyDescent="0.2">
      <c r="A852" s="45">
        <v>20</v>
      </c>
      <c r="B852" s="423" t="s">
        <v>1125</v>
      </c>
      <c r="C852" s="311"/>
      <c r="D852" s="491">
        <v>296834854</v>
      </c>
      <c r="E852" s="45"/>
      <c r="F852" s="313">
        <v>269886192</v>
      </c>
      <c r="G852" s="313"/>
      <c r="H852" s="313">
        <v>23811187</v>
      </c>
      <c r="I852" s="313"/>
      <c r="J852" s="313">
        <v>3137474</v>
      </c>
      <c r="K852" s="313">
        <v>1653794</v>
      </c>
      <c r="L852" s="313">
        <v>1483680</v>
      </c>
      <c r="M852" s="313"/>
      <c r="N852" s="313"/>
      <c r="O852" s="313"/>
      <c r="P852" s="313" t="s">
        <v>557</v>
      </c>
      <c r="Q852" s="313"/>
      <c r="R852" s="313"/>
      <c r="S852" s="313"/>
      <c r="T852" s="313"/>
      <c r="W852" s="319"/>
    </row>
    <row r="853" spans="1:26" x14ac:dyDescent="0.2">
      <c r="A853" s="45"/>
      <c r="B853" s="423"/>
      <c r="C853" s="311"/>
      <c r="D853" s="45"/>
      <c r="E853" s="45"/>
      <c r="F853" s="313"/>
      <c r="G853" s="313"/>
      <c r="H853" s="313"/>
      <c r="I853" s="313"/>
      <c r="J853" s="313"/>
      <c r="K853" s="313"/>
      <c r="L853" s="313"/>
      <c r="M853" s="313"/>
      <c r="N853" s="313"/>
      <c r="O853" s="313"/>
      <c r="P853" s="313"/>
      <c r="Q853" s="313"/>
      <c r="R853" s="313"/>
      <c r="S853" s="313"/>
      <c r="T853" s="313"/>
      <c r="W853" s="319"/>
    </row>
    <row r="854" spans="1:26" x14ac:dyDescent="0.2">
      <c r="A854" s="312"/>
      <c r="B854" s="423" t="s">
        <v>1126</v>
      </c>
      <c r="C854" s="424"/>
      <c r="D854" s="313"/>
      <c r="E854" s="45"/>
      <c r="F854" s="313"/>
      <c r="G854" s="313"/>
      <c r="H854" s="313"/>
      <c r="I854" s="313"/>
      <c r="J854" s="313"/>
      <c r="K854" s="313"/>
      <c r="L854" s="313"/>
      <c r="M854" s="313"/>
      <c r="N854" s="313"/>
      <c r="O854" s="313"/>
      <c r="P854" s="313"/>
      <c r="Q854" s="313"/>
      <c r="R854" s="313"/>
      <c r="S854" s="313"/>
      <c r="T854" s="313"/>
      <c r="U854" s="319"/>
      <c r="V854" s="319"/>
      <c r="W854" s="319"/>
      <c r="X854" s="319"/>
      <c r="Y854" s="354"/>
      <c r="Z854" s="319"/>
    </row>
    <row r="855" spans="1:26" x14ac:dyDescent="0.2">
      <c r="A855" s="45"/>
      <c r="B855" s="423" t="s">
        <v>564</v>
      </c>
      <c r="C855" s="311"/>
      <c r="D855" s="45"/>
      <c r="E855" s="45"/>
      <c r="F855" s="313"/>
      <c r="G855" s="313"/>
      <c r="H855" s="313"/>
      <c r="I855" s="313"/>
      <c r="J855" s="313"/>
      <c r="K855" s="313"/>
      <c r="L855" s="313"/>
      <c r="M855" s="313"/>
      <c r="N855" s="313"/>
      <c r="O855" s="313"/>
      <c r="P855" s="313"/>
      <c r="Q855" s="313"/>
      <c r="R855" s="313"/>
      <c r="S855" s="313"/>
      <c r="T855" s="313"/>
      <c r="W855" s="319"/>
    </row>
    <row r="856" spans="1:26" x14ac:dyDescent="0.2">
      <c r="A856" s="312">
        <v>21</v>
      </c>
      <c r="B856" s="423" t="s">
        <v>565</v>
      </c>
      <c r="C856" s="424" t="s">
        <v>1378</v>
      </c>
      <c r="D856" s="313">
        <v>66398898</v>
      </c>
      <c r="E856" s="45"/>
      <c r="F856" s="313">
        <v>62536188</v>
      </c>
      <c r="G856" s="313"/>
      <c r="H856" s="313">
        <v>2511431</v>
      </c>
      <c r="I856" s="313"/>
      <c r="J856" s="313">
        <v>1351279</v>
      </c>
      <c r="K856" s="313">
        <v>693576</v>
      </c>
      <c r="L856" s="313">
        <v>657702</v>
      </c>
      <c r="M856" s="313"/>
      <c r="N856" s="313"/>
      <c r="O856" s="313">
        <v>66398898</v>
      </c>
      <c r="P856" s="313"/>
      <c r="Q856" s="313" t="s">
        <v>566</v>
      </c>
      <c r="R856" s="313"/>
      <c r="S856" s="313">
        <v>69649757</v>
      </c>
      <c r="T856" s="313" t="s">
        <v>2503</v>
      </c>
      <c r="U856" s="319" t="s">
        <v>1771</v>
      </c>
      <c r="V856" s="319"/>
      <c r="W856" s="319"/>
      <c r="X856" s="313"/>
      <c r="Y856" s="354"/>
      <c r="Z856" s="319"/>
    </row>
    <row r="857" spans="1:26" x14ac:dyDescent="0.2">
      <c r="A857" s="312"/>
      <c r="B857" s="423" t="s">
        <v>567</v>
      </c>
      <c r="C857" s="424"/>
      <c r="D857" s="313"/>
      <c r="E857" s="45"/>
      <c r="F857" s="313"/>
      <c r="G857" s="313"/>
      <c r="H857" s="313"/>
      <c r="I857" s="313"/>
      <c r="J857" s="313"/>
      <c r="K857" s="313"/>
      <c r="L857" s="313"/>
      <c r="M857" s="313"/>
      <c r="N857" s="313"/>
      <c r="O857" s="313"/>
      <c r="P857" s="313"/>
      <c r="Q857" s="313"/>
      <c r="R857" s="313"/>
      <c r="S857" s="313"/>
      <c r="T857" s="313"/>
      <c r="U857" s="319"/>
      <c r="V857" s="319"/>
      <c r="W857" s="319"/>
      <c r="X857" s="313"/>
      <c r="Y857" s="354"/>
      <c r="Z857" s="319"/>
    </row>
    <row r="858" spans="1:26" x14ac:dyDescent="0.2">
      <c r="A858" s="312">
        <v>22</v>
      </c>
      <c r="B858" s="423" t="s">
        <v>568</v>
      </c>
      <c r="C858" s="424" t="s">
        <v>913</v>
      </c>
      <c r="D858" s="313">
        <v>34928289</v>
      </c>
      <c r="E858" s="45"/>
      <c r="F858" s="313">
        <v>32744834</v>
      </c>
      <c r="G858" s="313"/>
      <c r="H858" s="313">
        <v>1493303</v>
      </c>
      <c r="I858" s="313"/>
      <c r="J858" s="313">
        <v>690152</v>
      </c>
      <c r="K858" s="313">
        <v>350084</v>
      </c>
      <c r="L858" s="313">
        <v>340068</v>
      </c>
      <c r="M858" s="313"/>
      <c r="N858" s="313"/>
      <c r="O858" s="313">
        <v>34928289</v>
      </c>
      <c r="P858" s="313"/>
      <c r="Q858" s="313" t="s">
        <v>566</v>
      </c>
      <c r="R858" s="313"/>
      <c r="S858" s="313">
        <v>34467861</v>
      </c>
      <c r="T858" s="313" t="s">
        <v>2503</v>
      </c>
      <c r="U858" s="319" t="s">
        <v>1771</v>
      </c>
      <c r="V858" s="319"/>
      <c r="W858" s="319"/>
      <c r="X858" s="313"/>
      <c r="Y858" s="354"/>
      <c r="Z858" s="319"/>
    </row>
    <row r="859" spans="1:26" x14ac:dyDescent="0.2">
      <c r="A859" s="312">
        <v>23</v>
      </c>
      <c r="B859" s="423" t="s">
        <v>569</v>
      </c>
      <c r="C859" s="424" t="s">
        <v>2136</v>
      </c>
      <c r="D859" s="313">
        <v>15886349</v>
      </c>
      <c r="E859" s="45"/>
      <c r="F859" s="313">
        <v>14185824</v>
      </c>
      <c r="G859" s="313"/>
      <c r="H859" s="313">
        <v>1700524</v>
      </c>
      <c r="I859" s="313"/>
      <c r="J859" s="313">
        <v>0</v>
      </c>
      <c r="K859" s="313">
        <v>0</v>
      </c>
      <c r="L859" s="313">
        <v>0</v>
      </c>
      <c r="M859" s="313"/>
      <c r="N859" s="313"/>
      <c r="O859" s="313">
        <v>15886349</v>
      </c>
      <c r="P859" s="313"/>
      <c r="Q859" s="313" t="s">
        <v>566</v>
      </c>
      <c r="R859" s="313"/>
      <c r="S859" s="313">
        <v>15676662</v>
      </c>
      <c r="T859" s="313" t="s">
        <v>2503</v>
      </c>
      <c r="U859" s="319" t="s">
        <v>1771</v>
      </c>
      <c r="V859" s="319"/>
      <c r="W859" s="319"/>
      <c r="X859" s="313"/>
      <c r="Y859" s="354"/>
      <c r="Z859" s="319"/>
    </row>
    <row r="860" spans="1:26" x14ac:dyDescent="0.2">
      <c r="A860" s="312">
        <v>24</v>
      </c>
      <c r="B860" s="423" t="s">
        <v>0</v>
      </c>
      <c r="C860" s="427" t="s">
        <v>1443</v>
      </c>
      <c r="D860" s="313">
        <v>10423311</v>
      </c>
      <c r="E860" s="45"/>
      <c r="F860" s="313">
        <v>9922422</v>
      </c>
      <c r="G860" s="313"/>
      <c r="H860" s="313">
        <v>484856</v>
      </c>
      <c r="I860" s="313"/>
      <c r="J860" s="313">
        <v>16033</v>
      </c>
      <c r="K860" s="313">
        <v>15911</v>
      </c>
      <c r="L860" s="313">
        <v>122</v>
      </c>
      <c r="M860" s="313"/>
      <c r="N860" s="313"/>
      <c r="O860" s="313">
        <v>10423311</v>
      </c>
      <c r="P860" s="313"/>
      <c r="Q860" s="313" t="s">
        <v>566</v>
      </c>
      <c r="R860" s="313"/>
      <c r="S860" s="313">
        <v>10286096</v>
      </c>
      <c r="T860" s="313" t="s">
        <v>2503</v>
      </c>
      <c r="U860" s="319" t="s">
        <v>1771</v>
      </c>
      <c r="V860" s="319"/>
      <c r="W860" s="319"/>
      <c r="X860" s="313"/>
      <c r="Y860" s="354"/>
      <c r="Z860" s="319"/>
    </row>
    <row r="861" spans="1:26" x14ac:dyDescent="0.2">
      <c r="A861" s="312">
        <v>25</v>
      </c>
      <c r="B861" s="423" t="s">
        <v>570</v>
      </c>
      <c r="C861" s="311" t="s">
        <v>1447</v>
      </c>
      <c r="D861" s="313">
        <v>0</v>
      </c>
      <c r="E861" s="45"/>
      <c r="F861" s="313">
        <v>0</v>
      </c>
      <c r="G861" s="313"/>
      <c r="H861" s="313">
        <v>0</v>
      </c>
      <c r="I861" s="313"/>
      <c r="J861" s="313">
        <v>0</v>
      </c>
      <c r="K861" s="313">
        <v>0</v>
      </c>
      <c r="L861" s="313">
        <v>0</v>
      </c>
      <c r="M861" s="313"/>
      <c r="N861" s="313"/>
      <c r="O861" s="313">
        <v>0</v>
      </c>
      <c r="P861" s="313"/>
      <c r="Q861" s="313" t="s">
        <v>566</v>
      </c>
      <c r="R861" s="313"/>
      <c r="S861" s="313">
        <v>0</v>
      </c>
      <c r="T861" s="313" t="s">
        <v>2503</v>
      </c>
      <c r="U861" s="53" t="s">
        <v>1771</v>
      </c>
      <c r="W861" s="319"/>
      <c r="X861" s="313"/>
    </row>
    <row r="862" spans="1:26" x14ac:dyDescent="0.2">
      <c r="A862" s="312">
        <v>26</v>
      </c>
      <c r="B862" s="423" t="s">
        <v>571</v>
      </c>
      <c r="C862" s="311" t="s">
        <v>917</v>
      </c>
      <c r="D862" s="313">
        <v>3271987</v>
      </c>
      <c r="E862" s="45"/>
      <c r="F862" s="313">
        <v>3037700</v>
      </c>
      <c r="G862" s="313"/>
      <c r="H862" s="313">
        <v>196555</v>
      </c>
      <c r="I862" s="313"/>
      <c r="J862" s="313">
        <v>37732</v>
      </c>
      <c r="K862" s="313">
        <v>19555</v>
      </c>
      <c r="L862" s="313">
        <v>18177</v>
      </c>
      <c r="M862" s="313"/>
      <c r="N862" s="313"/>
      <c r="O862" s="313">
        <v>3271987</v>
      </c>
      <c r="P862" s="313"/>
      <c r="Q862" s="313" t="s">
        <v>566</v>
      </c>
      <c r="R862" s="313"/>
      <c r="S862" s="313">
        <v>3271987</v>
      </c>
      <c r="T862" s="313" t="s">
        <v>2503</v>
      </c>
      <c r="U862" s="53" t="s">
        <v>1771</v>
      </c>
      <c r="W862" s="319"/>
      <c r="X862" s="313"/>
    </row>
    <row r="863" spans="1:26" x14ac:dyDescent="0.2">
      <c r="A863" s="45">
        <v>27</v>
      </c>
      <c r="B863" s="45" t="s">
        <v>572</v>
      </c>
      <c r="C863" s="311"/>
      <c r="D863" s="491">
        <v>64509936</v>
      </c>
      <c r="E863" s="45"/>
      <c r="F863" s="313">
        <v>59890781</v>
      </c>
      <c r="G863" s="313"/>
      <c r="H863" s="313">
        <v>3875238</v>
      </c>
      <c r="I863" s="313"/>
      <c r="J863" s="313">
        <v>743918</v>
      </c>
      <c r="K863" s="313">
        <v>385551</v>
      </c>
      <c r="L863" s="313">
        <v>358367</v>
      </c>
      <c r="M863" s="313"/>
      <c r="N863" s="313"/>
      <c r="O863" s="313"/>
      <c r="P863" s="313"/>
      <c r="Q863" s="313"/>
      <c r="R863" s="313"/>
      <c r="S863" s="313">
        <v>63702607</v>
      </c>
      <c r="T863" s="313"/>
      <c r="W863" s="319"/>
      <c r="X863" s="313"/>
    </row>
    <row r="864" spans="1:26" x14ac:dyDescent="0.2">
      <c r="A864" s="45">
        <v>28</v>
      </c>
      <c r="B864" s="423" t="s">
        <v>573</v>
      </c>
      <c r="C864" s="311"/>
      <c r="D864" s="491">
        <v>130908834</v>
      </c>
      <c r="E864" s="45"/>
      <c r="F864" s="313">
        <v>122426969</v>
      </c>
      <c r="G864" s="313"/>
      <c r="H864" s="313">
        <v>6386669</v>
      </c>
      <c r="I864" s="313"/>
      <c r="J864" s="313">
        <v>2095196</v>
      </c>
      <c r="K864" s="313">
        <v>1079127</v>
      </c>
      <c r="L864" s="313">
        <v>1016069</v>
      </c>
      <c r="M864" s="313"/>
      <c r="N864" s="313"/>
      <c r="O864" s="313"/>
      <c r="P864" s="313"/>
      <c r="Q864" s="313"/>
      <c r="R864" s="313"/>
      <c r="S864" s="313"/>
      <c r="T864" s="313"/>
      <c r="W864" s="319"/>
    </row>
    <row r="865" spans="1:26" x14ac:dyDescent="0.2">
      <c r="A865" s="312"/>
      <c r="B865" s="426"/>
      <c r="C865" s="427"/>
      <c r="D865" s="313"/>
      <c r="E865" s="45"/>
      <c r="F865" s="313"/>
      <c r="G865" s="313"/>
      <c r="H865" s="313"/>
      <c r="I865" s="313"/>
      <c r="J865" s="313"/>
      <c r="K865" s="313"/>
      <c r="L865" s="313"/>
      <c r="M865" s="313"/>
      <c r="N865" s="313"/>
      <c r="O865" s="313"/>
      <c r="P865" s="313"/>
      <c r="Q865" s="313"/>
      <c r="R865" s="313"/>
      <c r="S865" s="313"/>
      <c r="T865" s="313"/>
      <c r="U865" s="319"/>
      <c r="V865" s="319"/>
      <c r="W865" s="319"/>
      <c r="X865" s="319"/>
      <c r="Y865" s="354"/>
      <c r="Z865" s="319"/>
    </row>
    <row r="866" spans="1:26" x14ac:dyDescent="0.2">
      <c r="A866" s="312"/>
      <c r="B866" s="423" t="s">
        <v>574</v>
      </c>
      <c r="C866" s="427"/>
      <c r="D866" s="313"/>
      <c r="E866" s="45"/>
      <c r="F866" s="313"/>
      <c r="G866" s="313"/>
      <c r="H866" s="313"/>
      <c r="I866" s="313"/>
      <c r="J866" s="313"/>
      <c r="K866" s="313"/>
      <c r="L866" s="313"/>
      <c r="M866" s="313"/>
      <c r="N866" s="313"/>
      <c r="O866" s="313"/>
      <c r="P866" s="313"/>
      <c r="Q866" s="313"/>
      <c r="R866" s="313"/>
      <c r="S866" s="313"/>
      <c r="T866" s="313"/>
      <c r="U866" s="319"/>
      <c r="V866" s="319"/>
      <c r="W866" s="319"/>
      <c r="X866" s="319"/>
      <c r="Y866" s="354"/>
      <c r="Z866" s="319"/>
    </row>
    <row r="867" spans="1:26" x14ac:dyDescent="0.2">
      <c r="A867" s="312">
        <v>29</v>
      </c>
      <c r="B867" s="423" t="s">
        <v>2039</v>
      </c>
      <c r="C867" s="311" t="s">
        <v>1918</v>
      </c>
      <c r="D867" s="313">
        <v>19279557</v>
      </c>
      <c r="E867" s="45"/>
      <c r="F867" s="313">
        <v>19024116</v>
      </c>
      <c r="G867" s="313"/>
      <c r="H867" s="313">
        <v>0</v>
      </c>
      <c r="I867" s="313"/>
      <c r="J867" s="313">
        <v>255440</v>
      </c>
      <c r="K867" s="313">
        <v>133507</v>
      </c>
      <c r="L867" s="313">
        <v>121933</v>
      </c>
      <c r="M867" s="313"/>
      <c r="N867" s="313"/>
      <c r="O867" s="313">
        <v>20305521</v>
      </c>
      <c r="P867" s="313"/>
      <c r="Q867" s="313" t="s">
        <v>566</v>
      </c>
      <c r="R867" s="313"/>
      <c r="S867" s="313">
        <v>22059959</v>
      </c>
      <c r="T867" s="313" t="s">
        <v>2503</v>
      </c>
      <c r="U867" s="53" t="s">
        <v>1771</v>
      </c>
      <c r="V867" s="354"/>
      <c r="W867" s="319"/>
      <c r="X867" s="313"/>
    </row>
    <row r="868" spans="1:26" x14ac:dyDescent="0.2">
      <c r="A868" s="45">
        <v>30</v>
      </c>
      <c r="B868" s="45" t="s">
        <v>575</v>
      </c>
      <c r="C868" s="311" t="s">
        <v>1919</v>
      </c>
      <c r="D868" s="45">
        <v>0</v>
      </c>
      <c r="E868" s="45"/>
      <c r="F868" s="313">
        <v>0</v>
      </c>
      <c r="G868" s="313"/>
      <c r="H868" s="313">
        <v>0</v>
      </c>
      <c r="I868" s="313"/>
      <c r="J868" s="313">
        <v>0</v>
      </c>
      <c r="K868" s="313">
        <v>0</v>
      </c>
      <c r="L868" s="313">
        <v>0</v>
      </c>
      <c r="M868" s="313"/>
      <c r="N868" s="313"/>
      <c r="O868" s="313">
        <v>0</v>
      </c>
      <c r="P868" s="313" t="s">
        <v>2196</v>
      </c>
      <c r="Q868" s="313"/>
      <c r="R868" s="313"/>
      <c r="S868" s="313">
        <v>0</v>
      </c>
      <c r="T868" s="313" t="s">
        <v>2503</v>
      </c>
      <c r="U868" s="53" t="s">
        <v>1771</v>
      </c>
      <c r="W868" s="319"/>
      <c r="X868" s="313"/>
    </row>
    <row r="869" spans="1:26" x14ac:dyDescent="0.2">
      <c r="A869" s="312">
        <v>31</v>
      </c>
      <c r="B869" s="423" t="s">
        <v>576</v>
      </c>
      <c r="C869" s="45"/>
      <c r="D869" s="313">
        <v>19279557</v>
      </c>
      <c r="E869" s="45"/>
      <c r="F869" s="313">
        <v>19024116</v>
      </c>
      <c r="G869" s="313"/>
      <c r="H869" s="313">
        <v>0</v>
      </c>
      <c r="I869" s="313"/>
      <c r="J869" s="313">
        <v>255440</v>
      </c>
      <c r="K869" s="313">
        <v>133507</v>
      </c>
      <c r="L869" s="313">
        <v>121933</v>
      </c>
      <c r="M869" s="313"/>
      <c r="N869" s="313"/>
      <c r="O869" s="313"/>
      <c r="P869" s="313"/>
      <c r="Q869" s="313" t="s">
        <v>2229</v>
      </c>
      <c r="R869" s="313"/>
      <c r="S869" s="313"/>
      <c r="T869" s="313"/>
      <c r="U869" s="319"/>
      <c r="V869" s="354"/>
      <c r="W869" s="319"/>
    </row>
    <row r="870" spans="1:26" x14ac:dyDescent="0.2">
      <c r="A870" s="45"/>
      <c r="B870" s="45"/>
      <c r="C870" s="311"/>
      <c r="D870" s="45"/>
      <c r="E870" s="45"/>
      <c r="F870" s="313"/>
      <c r="G870" s="313"/>
      <c r="H870" s="313"/>
      <c r="I870" s="313"/>
      <c r="J870" s="313"/>
      <c r="K870" s="313"/>
      <c r="L870" s="313"/>
      <c r="M870" s="313"/>
      <c r="N870" s="313"/>
      <c r="O870" s="313"/>
      <c r="P870" s="313"/>
      <c r="Q870" s="313"/>
      <c r="R870" s="313"/>
      <c r="S870" s="313"/>
      <c r="T870" s="313"/>
      <c r="V870" s="317"/>
      <c r="W870" s="319"/>
    </row>
    <row r="871" spans="1:26" x14ac:dyDescent="0.2">
      <c r="A871" s="312">
        <v>32</v>
      </c>
      <c r="B871" s="423" t="s">
        <v>577</v>
      </c>
      <c r="C871" s="311"/>
      <c r="D871" s="313">
        <v>141138202</v>
      </c>
      <c r="E871" s="45"/>
      <c r="F871" s="313">
        <v>129933875</v>
      </c>
      <c r="G871" s="313"/>
      <c r="H871" s="313">
        <v>9535669</v>
      </c>
      <c r="I871" s="313"/>
      <c r="J871" s="313">
        <v>1668658</v>
      </c>
      <c r="K871" s="313">
        <v>859437</v>
      </c>
      <c r="L871" s="313">
        <v>809220</v>
      </c>
      <c r="M871" s="313"/>
      <c r="N871" s="313"/>
      <c r="O871" s="313">
        <v>139469544</v>
      </c>
      <c r="P871" s="313" t="s">
        <v>2277</v>
      </c>
      <c r="Q871" s="313" t="s">
        <v>1772</v>
      </c>
      <c r="R871" s="313"/>
      <c r="S871" s="313"/>
      <c r="T871" s="313"/>
      <c r="V871" s="317"/>
      <c r="W871" s="319"/>
    </row>
    <row r="872" spans="1:26" x14ac:dyDescent="0.2">
      <c r="A872" s="45"/>
      <c r="B872" s="45"/>
      <c r="C872" s="311"/>
      <c r="D872" s="45"/>
      <c r="E872" s="45"/>
      <c r="F872" s="313"/>
      <c r="G872" s="313"/>
      <c r="H872" s="313"/>
      <c r="I872" s="313"/>
      <c r="J872" s="313"/>
      <c r="K872" s="313"/>
      <c r="L872" s="313"/>
      <c r="M872" s="313"/>
      <c r="N872" s="313"/>
      <c r="O872" s="313">
        <v>2783274</v>
      </c>
      <c r="P872" s="313"/>
      <c r="Q872" s="313" t="s">
        <v>2278</v>
      </c>
      <c r="R872" s="313"/>
      <c r="S872" s="313"/>
      <c r="T872" s="313"/>
      <c r="W872" s="319"/>
    </row>
    <row r="873" spans="1:26" x14ac:dyDescent="0.2">
      <c r="A873" s="312">
        <v>33</v>
      </c>
      <c r="B873" s="423" t="s">
        <v>578</v>
      </c>
      <c r="C873" s="424"/>
      <c r="D873" s="313">
        <v>291326593</v>
      </c>
      <c r="E873" s="45"/>
      <c r="F873" s="313">
        <v>271384960</v>
      </c>
      <c r="G873" s="313"/>
      <c r="H873" s="313">
        <v>15922338</v>
      </c>
      <c r="I873" s="313"/>
      <c r="J873" s="313">
        <v>4019294</v>
      </c>
      <c r="K873" s="313">
        <v>2072071</v>
      </c>
      <c r="L873" s="313">
        <v>1947223</v>
      </c>
      <c r="M873" s="313"/>
      <c r="N873" s="313"/>
      <c r="O873" s="313">
        <v>103796993</v>
      </c>
      <c r="P873" s="313"/>
      <c r="Q873" s="313" t="s">
        <v>2279</v>
      </c>
      <c r="R873" s="313"/>
      <c r="S873" s="313"/>
      <c r="T873" s="313"/>
      <c r="U873" s="319"/>
      <c r="V873" s="319"/>
      <c r="W873" s="319"/>
      <c r="X873" s="319"/>
      <c r="Y873" s="354"/>
      <c r="Z873" s="319"/>
    </row>
    <row r="874" spans="1:26" x14ac:dyDescent="0.2">
      <c r="A874" s="45"/>
      <c r="B874" s="45"/>
      <c r="C874" s="311"/>
      <c r="D874" s="45"/>
      <c r="E874" s="45"/>
      <c r="F874" s="313"/>
      <c r="G874" s="313"/>
      <c r="H874" s="313"/>
      <c r="I874" s="313"/>
      <c r="J874" s="313"/>
      <c r="K874" s="313"/>
      <c r="L874" s="313"/>
      <c r="M874" s="313"/>
      <c r="N874" s="313"/>
      <c r="O874" s="313"/>
      <c r="P874" s="313"/>
      <c r="Q874" s="313"/>
      <c r="R874" s="313"/>
      <c r="S874" s="313"/>
      <c r="T874" s="313"/>
      <c r="W874" s="319"/>
    </row>
    <row r="875" spans="1:26" x14ac:dyDescent="0.2">
      <c r="A875" s="312">
        <v>34</v>
      </c>
      <c r="B875" s="423" t="s">
        <v>579</v>
      </c>
      <c r="C875" s="424" t="s">
        <v>1270</v>
      </c>
      <c r="D875" s="313">
        <v>124310</v>
      </c>
      <c r="E875" s="45"/>
      <c r="F875" s="313">
        <v>116617</v>
      </c>
      <c r="G875" s="313"/>
      <c r="H875" s="313">
        <v>5281</v>
      </c>
      <c r="I875" s="313"/>
      <c r="J875" s="313">
        <v>2412</v>
      </c>
      <c r="K875" s="313">
        <v>1223</v>
      </c>
      <c r="L875" s="313">
        <v>1188</v>
      </c>
      <c r="M875" s="313"/>
      <c r="N875" s="313"/>
      <c r="O875" s="313">
        <v>124310</v>
      </c>
      <c r="P875" s="313"/>
      <c r="Q875" s="313" t="s">
        <v>566</v>
      </c>
      <c r="R875" s="313"/>
      <c r="S875" s="313">
        <v>124310</v>
      </c>
      <c r="T875" s="313" t="s">
        <v>2503</v>
      </c>
      <c r="U875" s="319" t="s">
        <v>1771</v>
      </c>
      <c r="V875" s="319"/>
      <c r="W875" s="319"/>
      <c r="X875" s="313"/>
      <c r="Y875" s="354"/>
      <c r="Z875" s="324"/>
    </row>
    <row r="876" spans="1:26" x14ac:dyDescent="0.2">
      <c r="A876" s="45"/>
      <c r="B876" s="45"/>
      <c r="C876" s="45"/>
      <c r="D876" s="45"/>
      <c r="E876" s="45"/>
      <c r="F876" s="313"/>
      <c r="G876" s="313"/>
      <c r="H876" s="313"/>
      <c r="I876" s="313"/>
      <c r="J876" s="313"/>
      <c r="K876" s="313"/>
      <c r="L876" s="313"/>
      <c r="M876" s="313"/>
      <c r="N876" s="313"/>
      <c r="O876" s="313"/>
      <c r="P876" s="313"/>
      <c r="Q876" s="313"/>
      <c r="R876" s="313"/>
      <c r="S876" s="313"/>
      <c r="T876" s="313"/>
      <c r="U876" s="319"/>
      <c r="V876" s="319"/>
      <c r="W876" s="319"/>
      <c r="Z876" s="357"/>
    </row>
    <row r="877" spans="1:26" x14ac:dyDescent="0.2">
      <c r="A877" s="312">
        <v>35</v>
      </c>
      <c r="B877" s="423" t="s">
        <v>2280</v>
      </c>
      <c r="C877" s="311" t="s">
        <v>1270</v>
      </c>
      <c r="D877" s="313">
        <v>183002470</v>
      </c>
      <c r="E877" s="45"/>
      <c r="F877" s="313">
        <v>174570689</v>
      </c>
      <c r="G877" s="313"/>
      <c r="H877" s="313">
        <v>6196953</v>
      </c>
      <c r="I877" s="313"/>
      <c r="J877" s="313">
        <v>2234828</v>
      </c>
      <c r="K877" s="313">
        <v>1133630</v>
      </c>
      <c r="L877" s="313">
        <v>1101198</v>
      </c>
      <c r="M877" s="313"/>
      <c r="N877" s="313"/>
      <c r="O877" s="313">
        <v>221435060</v>
      </c>
      <c r="P877" s="313" t="s">
        <v>2468</v>
      </c>
      <c r="Q877" s="313">
        <v>174570689</v>
      </c>
      <c r="R877" s="313" t="s">
        <v>2469</v>
      </c>
      <c r="S877" s="313"/>
      <c r="T877" s="313" t="s">
        <v>2470</v>
      </c>
      <c r="U877" s="319"/>
      <c r="V877" s="313"/>
      <c r="W877" s="319"/>
      <c r="X877" s="319"/>
    </row>
    <row r="878" spans="1:26" x14ac:dyDescent="0.2">
      <c r="A878" s="45"/>
      <c r="B878" s="45"/>
      <c r="C878" s="311"/>
      <c r="D878" s="45"/>
      <c r="E878" s="45"/>
      <c r="F878" s="313"/>
      <c r="G878" s="313"/>
      <c r="H878" s="313"/>
      <c r="I878" s="313"/>
      <c r="J878" s="313"/>
      <c r="K878" s="313"/>
      <c r="L878" s="313"/>
      <c r="M878" s="313"/>
      <c r="N878" s="313"/>
      <c r="O878" s="313"/>
      <c r="P878" s="313" t="s">
        <v>2281</v>
      </c>
      <c r="Q878" s="313">
        <v>-3210743</v>
      </c>
      <c r="R878" s="313"/>
      <c r="S878" s="313"/>
      <c r="T878" s="313"/>
      <c r="V878" s="313"/>
      <c r="W878" s="319"/>
      <c r="X878" s="319"/>
    </row>
    <row r="879" spans="1:26" x14ac:dyDescent="0.2">
      <c r="A879" s="45">
        <v>36</v>
      </c>
      <c r="B879" s="45" t="s">
        <v>580</v>
      </c>
      <c r="C879" s="311"/>
      <c r="D879" s="491">
        <v>771288227</v>
      </c>
      <c r="E879" s="45"/>
      <c r="F879" s="313">
        <v>715958458</v>
      </c>
      <c r="G879" s="313"/>
      <c r="H879" s="313">
        <v>45935760</v>
      </c>
      <c r="I879" s="313"/>
      <c r="J879" s="313">
        <v>9394009</v>
      </c>
      <c r="K879" s="313">
        <v>4860719</v>
      </c>
      <c r="L879" s="313">
        <v>4533290</v>
      </c>
      <c r="M879" s="313"/>
      <c r="N879" s="313"/>
      <c r="O879" s="313"/>
      <c r="P879" s="313" t="s">
        <v>2282</v>
      </c>
      <c r="Q879" s="313">
        <v>-2061430</v>
      </c>
      <c r="R879" s="313">
        <v>-1045673</v>
      </c>
      <c r="S879" s="313">
        <v>-1015757</v>
      </c>
      <c r="T879" s="313"/>
      <c r="V879" s="313"/>
      <c r="W879" s="313"/>
      <c r="X879" s="313"/>
    </row>
    <row r="880" spans="1:26" x14ac:dyDescent="0.2">
      <c r="A880" s="45"/>
      <c r="B880" s="45"/>
      <c r="C880" s="311"/>
      <c r="D880" s="45"/>
      <c r="E880" s="45"/>
      <c r="F880" s="313"/>
      <c r="G880" s="313"/>
      <c r="H880" s="313"/>
      <c r="I880" s="313"/>
      <c r="J880" s="313"/>
      <c r="K880" s="313"/>
      <c r="L880" s="313"/>
      <c r="M880" s="313"/>
      <c r="N880" s="313"/>
      <c r="O880" s="313"/>
      <c r="P880" s="313"/>
      <c r="Q880" s="313"/>
      <c r="R880" s="313" t="s">
        <v>2058</v>
      </c>
      <c r="S880" s="313" t="s">
        <v>439</v>
      </c>
      <c r="T880" s="313"/>
      <c r="W880" s="319"/>
    </row>
    <row r="881" spans="1:25" x14ac:dyDescent="0.2">
      <c r="A881" s="45"/>
      <c r="B881" s="45"/>
      <c r="C881" s="311"/>
      <c r="D881" s="45"/>
      <c r="E881" s="45"/>
      <c r="F881" s="313"/>
      <c r="G881" s="313"/>
      <c r="H881" s="313"/>
      <c r="I881" s="313"/>
      <c r="J881" s="313"/>
      <c r="K881" s="313"/>
      <c r="L881" s="313"/>
      <c r="M881" s="313"/>
      <c r="N881" s="313"/>
      <c r="O881" s="313"/>
      <c r="P881" s="313"/>
      <c r="Q881" s="313"/>
      <c r="R881" s="313"/>
      <c r="S881" s="313"/>
      <c r="T881" s="313"/>
      <c r="W881" s="319"/>
    </row>
    <row r="882" spans="1:25" x14ac:dyDescent="0.2">
      <c r="A882" s="45"/>
      <c r="B882" s="425" t="s">
        <v>581</v>
      </c>
      <c r="C882" s="311"/>
      <c r="D882" s="45"/>
      <c r="E882" s="45"/>
      <c r="F882" s="313"/>
      <c r="G882" s="313"/>
      <c r="H882" s="313"/>
      <c r="I882" s="313"/>
      <c r="J882" s="313"/>
      <c r="K882" s="313"/>
      <c r="L882" s="313"/>
      <c r="M882" s="313"/>
      <c r="N882" s="313"/>
      <c r="O882" s="313"/>
      <c r="P882" s="313"/>
      <c r="Q882" s="313"/>
      <c r="R882" s="313"/>
      <c r="S882" s="313"/>
      <c r="T882" s="313"/>
      <c r="W882" s="319"/>
    </row>
    <row r="883" spans="1:25" x14ac:dyDescent="0.2">
      <c r="A883" s="45"/>
      <c r="B883" s="45"/>
      <c r="C883" s="311"/>
      <c r="D883" s="45"/>
      <c r="E883" s="45"/>
      <c r="F883" s="313"/>
      <c r="G883" s="313"/>
      <c r="H883" s="313"/>
      <c r="I883" s="313"/>
      <c r="J883" s="313"/>
      <c r="K883" s="313"/>
      <c r="L883" s="313"/>
      <c r="M883" s="313"/>
      <c r="N883" s="313"/>
      <c r="O883" s="313"/>
      <c r="P883" s="313"/>
      <c r="Q883" s="313"/>
      <c r="R883" s="313"/>
      <c r="S883" s="313"/>
      <c r="T883" s="313"/>
      <c r="W883" s="319"/>
    </row>
    <row r="884" spans="1:25" x14ac:dyDescent="0.2">
      <c r="A884" s="311"/>
      <c r="B884" s="423" t="s">
        <v>582</v>
      </c>
      <c r="C884" s="311"/>
      <c r="D884" s="45"/>
      <c r="E884" s="45"/>
      <c r="F884" s="313"/>
      <c r="G884" s="313"/>
      <c r="H884" s="313"/>
      <c r="I884" s="313"/>
      <c r="J884" s="313"/>
      <c r="K884" s="313"/>
      <c r="L884" s="313"/>
      <c r="M884" s="313"/>
      <c r="N884" s="313"/>
      <c r="O884" s="313"/>
      <c r="P884" s="313"/>
      <c r="Q884" s="313"/>
      <c r="R884" s="313"/>
      <c r="S884" s="313"/>
      <c r="T884" s="313"/>
      <c r="W884" s="319"/>
    </row>
    <row r="885" spans="1:25" x14ac:dyDescent="0.2">
      <c r="A885" s="311"/>
      <c r="B885" s="423"/>
      <c r="C885" s="311"/>
      <c r="D885" s="45"/>
      <c r="E885" s="45"/>
      <c r="F885" s="313"/>
      <c r="G885" s="313"/>
      <c r="H885" s="313"/>
      <c r="I885" s="313"/>
      <c r="J885" s="313"/>
      <c r="K885" s="313"/>
      <c r="L885" s="313"/>
      <c r="M885" s="313"/>
      <c r="N885" s="313"/>
      <c r="O885" s="313"/>
      <c r="P885" s="313"/>
      <c r="Q885" s="313"/>
      <c r="R885" s="313"/>
      <c r="S885" s="313"/>
      <c r="T885" s="313"/>
      <c r="W885" s="319"/>
    </row>
    <row r="886" spans="1:25" x14ac:dyDescent="0.2">
      <c r="A886" s="311"/>
      <c r="B886" s="423" t="s">
        <v>7</v>
      </c>
      <c r="C886" s="311"/>
      <c r="D886" s="45"/>
      <c r="E886" s="45"/>
      <c r="F886" s="313"/>
      <c r="G886" s="313"/>
      <c r="H886" s="313"/>
      <c r="I886" s="313"/>
      <c r="J886" s="313"/>
      <c r="K886" s="313"/>
      <c r="L886" s="313"/>
      <c r="M886" s="313"/>
      <c r="N886" s="313"/>
      <c r="O886" s="313"/>
      <c r="P886" s="313"/>
      <c r="Q886" s="313"/>
      <c r="R886" s="313"/>
      <c r="S886" s="313"/>
      <c r="T886" s="313"/>
      <c r="W886" s="319"/>
    </row>
    <row r="887" spans="1:25" x14ac:dyDescent="0.2">
      <c r="A887" s="312">
        <v>1</v>
      </c>
      <c r="B887" s="423" t="s">
        <v>1115</v>
      </c>
      <c r="C887" s="424" t="s">
        <v>487</v>
      </c>
      <c r="D887" s="313">
        <v>843246490</v>
      </c>
      <c r="E887" s="45"/>
      <c r="F887" s="313">
        <v>791085052</v>
      </c>
      <c r="G887" s="313"/>
      <c r="H887" s="313">
        <v>35808566</v>
      </c>
      <c r="I887" s="313"/>
      <c r="J887" s="313">
        <v>16352871</v>
      </c>
      <c r="K887" s="313">
        <v>8295091</v>
      </c>
      <c r="L887" s="313">
        <v>8057780</v>
      </c>
      <c r="M887" s="313"/>
      <c r="N887" s="313"/>
      <c r="O887" s="313">
        <v>843246490</v>
      </c>
      <c r="P887" s="313"/>
      <c r="Q887" s="313" t="s">
        <v>583</v>
      </c>
      <c r="R887" s="313"/>
      <c r="S887" s="313"/>
      <c r="T887" s="313"/>
      <c r="U887" s="319"/>
      <c r="V887" s="319"/>
      <c r="W887" s="319"/>
      <c r="X887" s="319"/>
      <c r="Y887" s="319"/>
    </row>
    <row r="888" spans="1:25" x14ac:dyDescent="0.2">
      <c r="A888" s="312">
        <v>2</v>
      </c>
      <c r="B888" s="423" t="s">
        <v>1116</v>
      </c>
      <c r="C888" s="424" t="s">
        <v>1272</v>
      </c>
      <c r="D888" s="313">
        <v>9721</v>
      </c>
      <c r="E888" s="45"/>
      <c r="F888" s="313">
        <v>5000</v>
      </c>
      <c r="G888" s="313"/>
      <c r="H888" s="313">
        <v>3241</v>
      </c>
      <c r="I888" s="313"/>
      <c r="J888" s="313">
        <v>1480</v>
      </c>
      <c r="K888" s="313">
        <v>751</v>
      </c>
      <c r="L888" s="313">
        <v>729</v>
      </c>
      <c r="M888" s="313"/>
      <c r="N888" s="313"/>
      <c r="O888" s="313">
        <v>9721</v>
      </c>
      <c r="P888" s="313"/>
      <c r="Q888" s="313" t="s">
        <v>583</v>
      </c>
      <c r="R888" s="313"/>
      <c r="S888" s="313"/>
      <c r="T888" s="313"/>
      <c r="U888" s="319"/>
      <c r="V888" s="319"/>
      <c r="W888" s="319"/>
      <c r="X888" s="319"/>
      <c r="Y888" s="319"/>
    </row>
    <row r="889" spans="1:25" x14ac:dyDescent="0.2">
      <c r="A889" s="312">
        <v>3</v>
      </c>
      <c r="B889" s="423" t="s">
        <v>1117</v>
      </c>
      <c r="C889" s="424" t="s">
        <v>1278</v>
      </c>
      <c r="D889" s="313">
        <v>256865</v>
      </c>
      <c r="E889" s="45"/>
      <c r="F889" s="313">
        <v>198200</v>
      </c>
      <c r="G889" s="313"/>
      <c r="H889" s="313">
        <v>0</v>
      </c>
      <c r="I889" s="313"/>
      <c r="J889" s="313">
        <v>58664</v>
      </c>
      <c r="K889" s="313">
        <v>29758</v>
      </c>
      <c r="L889" s="313">
        <v>28906</v>
      </c>
      <c r="M889" s="313"/>
      <c r="N889" s="313"/>
      <c r="O889" s="313">
        <v>256865</v>
      </c>
      <c r="P889" s="313"/>
      <c r="Q889" s="313" t="s">
        <v>583</v>
      </c>
      <c r="R889" s="313"/>
      <c r="S889" s="313"/>
      <c r="T889" s="313"/>
      <c r="U889" s="319"/>
      <c r="V889" s="319"/>
      <c r="W889" s="319"/>
      <c r="X889" s="319"/>
      <c r="Y889" s="319"/>
    </row>
    <row r="890" spans="1:25" x14ac:dyDescent="0.2">
      <c r="A890" s="312">
        <v>4</v>
      </c>
      <c r="B890" s="423" t="s">
        <v>1118</v>
      </c>
      <c r="C890" s="45"/>
      <c r="D890" s="313">
        <v>843513075</v>
      </c>
      <c r="E890" s="45"/>
      <c r="F890" s="313">
        <v>791288252</v>
      </c>
      <c r="G890" s="313"/>
      <c r="H890" s="313">
        <v>35811807</v>
      </c>
      <c r="I890" s="313"/>
      <c r="J890" s="313">
        <v>16413016</v>
      </c>
      <c r="K890" s="313">
        <v>8325600</v>
      </c>
      <c r="L890" s="313">
        <v>8087416</v>
      </c>
      <c r="M890" s="313"/>
      <c r="N890" s="313"/>
      <c r="O890" s="313"/>
      <c r="P890" s="313"/>
      <c r="Q890" s="313"/>
      <c r="R890" s="313"/>
      <c r="S890" s="313"/>
      <c r="T890" s="313"/>
      <c r="W890" s="319"/>
    </row>
    <row r="891" spans="1:25" x14ac:dyDescent="0.2">
      <c r="A891" s="45"/>
      <c r="B891" s="45"/>
      <c r="C891" s="45"/>
      <c r="D891" s="45"/>
      <c r="E891" s="45"/>
      <c r="F891" s="313"/>
      <c r="G891" s="313"/>
      <c r="H891" s="313"/>
      <c r="I891" s="313"/>
      <c r="J891" s="313"/>
      <c r="K891" s="313"/>
      <c r="L891" s="313"/>
      <c r="M891" s="313"/>
      <c r="N891" s="313"/>
      <c r="O891" s="313"/>
      <c r="P891" s="313"/>
      <c r="Q891" s="313"/>
      <c r="R891" s="313"/>
      <c r="S891" s="313"/>
      <c r="T891" s="313"/>
      <c r="W891" s="319"/>
    </row>
    <row r="892" spans="1:25" x14ac:dyDescent="0.2">
      <c r="A892" s="45"/>
      <c r="B892" s="423" t="s">
        <v>19</v>
      </c>
      <c r="C892" s="45"/>
      <c r="D892" s="45"/>
      <c r="E892" s="45"/>
      <c r="F892" s="313"/>
      <c r="G892" s="313"/>
      <c r="H892" s="313"/>
      <c r="I892" s="313"/>
      <c r="J892" s="313"/>
      <c r="K892" s="313"/>
      <c r="L892" s="313"/>
      <c r="M892" s="313"/>
      <c r="N892" s="313"/>
      <c r="O892" s="313"/>
      <c r="P892" s="313"/>
      <c r="Q892" s="313"/>
      <c r="R892" s="313"/>
      <c r="S892" s="313"/>
      <c r="T892" s="313"/>
      <c r="W892" s="319"/>
    </row>
    <row r="893" spans="1:25" x14ac:dyDescent="0.2">
      <c r="A893" s="312">
        <v>5</v>
      </c>
      <c r="B893" s="423" t="s">
        <v>1068</v>
      </c>
      <c r="C893" s="424" t="s">
        <v>2143</v>
      </c>
      <c r="D893" s="313">
        <v>207645636</v>
      </c>
      <c r="E893" s="45"/>
      <c r="F893" s="313">
        <v>198589241</v>
      </c>
      <c r="G893" s="313"/>
      <c r="H893" s="313">
        <v>9056395</v>
      </c>
      <c r="I893" s="313"/>
      <c r="J893" s="313">
        <v>0</v>
      </c>
      <c r="K893" s="313">
        <v>0</v>
      </c>
      <c r="L893" s="313">
        <v>0</v>
      </c>
      <c r="M893" s="313"/>
      <c r="N893" s="313"/>
      <c r="O893" s="313">
        <v>207645636</v>
      </c>
      <c r="P893" s="313"/>
      <c r="Q893" s="313" t="s">
        <v>583</v>
      </c>
      <c r="R893" s="313"/>
      <c r="S893" s="313"/>
      <c r="T893" s="313"/>
      <c r="U893" s="319"/>
      <c r="V893" s="319"/>
      <c r="W893" s="319"/>
      <c r="X893" s="319"/>
      <c r="Y893" s="319"/>
    </row>
    <row r="894" spans="1:25" x14ac:dyDescent="0.2">
      <c r="A894" s="312">
        <v>6</v>
      </c>
      <c r="B894" s="423" t="s">
        <v>1069</v>
      </c>
      <c r="C894" s="424" t="s">
        <v>2134</v>
      </c>
      <c r="D894" s="313">
        <v>0</v>
      </c>
      <c r="E894" s="45"/>
      <c r="F894" s="313">
        <v>0</v>
      </c>
      <c r="G894" s="313"/>
      <c r="H894" s="313">
        <v>0</v>
      </c>
      <c r="I894" s="313"/>
      <c r="J894" s="313">
        <v>0</v>
      </c>
      <c r="K894" s="313">
        <v>0</v>
      </c>
      <c r="L894" s="313">
        <v>0</v>
      </c>
      <c r="M894" s="313"/>
      <c r="N894" s="313"/>
      <c r="O894" s="313">
        <v>0</v>
      </c>
      <c r="P894" s="313"/>
      <c r="Q894" s="313" t="s">
        <v>583</v>
      </c>
      <c r="R894" s="313"/>
      <c r="S894" s="313"/>
      <c r="T894" s="313"/>
      <c r="U894" s="319"/>
      <c r="V894" s="319"/>
      <c r="W894" s="319"/>
      <c r="X894" s="319"/>
      <c r="Y894" s="319"/>
    </row>
    <row r="895" spans="1:25" x14ac:dyDescent="0.2">
      <c r="A895" s="312">
        <v>7</v>
      </c>
      <c r="B895" s="423" t="s">
        <v>584</v>
      </c>
      <c r="C895" s="424" t="s">
        <v>1439</v>
      </c>
      <c r="D895" s="313">
        <v>19080233</v>
      </c>
      <c r="E895" s="45"/>
      <c r="F895" s="313">
        <v>0</v>
      </c>
      <c r="G895" s="313"/>
      <c r="H895" s="313">
        <v>19080233</v>
      </c>
      <c r="I895" s="313"/>
      <c r="J895" s="313">
        <v>0</v>
      </c>
      <c r="K895" s="313">
        <v>0</v>
      </c>
      <c r="L895" s="313">
        <v>0</v>
      </c>
      <c r="M895" s="313"/>
      <c r="N895" s="313"/>
      <c r="O895" s="313">
        <v>19080233</v>
      </c>
      <c r="P895" s="313"/>
      <c r="Q895" s="313" t="s">
        <v>583</v>
      </c>
      <c r="R895" s="313"/>
      <c r="S895" s="313"/>
      <c r="T895" s="313"/>
      <c r="U895" s="319"/>
      <c r="V895" s="319"/>
      <c r="W895" s="319"/>
      <c r="X895" s="319"/>
      <c r="Y895" s="319"/>
    </row>
    <row r="896" spans="1:25" x14ac:dyDescent="0.2">
      <c r="A896" s="312">
        <v>8</v>
      </c>
      <c r="B896" s="423" t="s">
        <v>1059</v>
      </c>
      <c r="C896" s="424" t="s">
        <v>1272</v>
      </c>
      <c r="D896" s="313">
        <v>1715</v>
      </c>
      <c r="E896" s="45"/>
      <c r="F896" s="313">
        <v>882</v>
      </c>
      <c r="G896" s="313"/>
      <c r="H896" s="313">
        <v>572</v>
      </c>
      <c r="I896" s="313"/>
      <c r="J896" s="313">
        <v>261</v>
      </c>
      <c r="K896" s="313">
        <v>132</v>
      </c>
      <c r="L896" s="313">
        <v>129</v>
      </c>
      <c r="M896" s="313"/>
      <c r="N896" s="313"/>
      <c r="O896" s="313">
        <v>1715</v>
      </c>
      <c r="P896" s="313"/>
      <c r="Q896" s="313" t="s">
        <v>583</v>
      </c>
      <c r="R896" s="313"/>
      <c r="S896" s="313"/>
      <c r="T896" s="313"/>
      <c r="U896" s="319"/>
      <c r="V896" s="319"/>
      <c r="W896" s="319"/>
      <c r="X896" s="319"/>
      <c r="Y896" s="319"/>
    </row>
    <row r="897" spans="1:25" x14ac:dyDescent="0.2">
      <c r="A897" s="312">
        <v>9</v>
      </c>
      <c r="B897" s="423" t="s">
        <v>1060</v>
      </c>
      <c r="C897" s="424" t="s">
        <v>1278</v>
      </c>
      <c r="D897" s="313">
        <v>45329</v>
      </c>
      <c r="E897" s="45"/>
      <c r="F897" s="313">
        <v>34977</v>
      </c>
      <c r="G897" s="313"/>
      <c r="H897" s="313">
        <v>0</v>
      </c>
      <c r="I897" s="313"/>
      <c r="J897" s="313">
        <v>10353</v>
      </c>
      <c r="K897" s="313">
        <v>5251</v>
      </c>
      <c r="L897" s="313">
        <v>5101</v>
      </c>
      <c r="M897" s="313"/>
      <c r="N897" s="313"/>
      <c r="O897" s="313">
        <v>45329</v>
      </c>
      <c r="P897" s="313"/>
      <c r="Q897" s="313" t="s">
        <v>583</v>
      </c>
      <c r="R897" s="313"/>
      <c r="S897" s="313"/>
      <c r="T897" s="313"/>
      <c r="U897" s="319"/>
      <c r="V897" s="319"/>
      <c r="W897" s="319"/>
      <c r="X897" s="319"/>
      <c r="Y897" s="319"/>
    </row>
    <row r="898" spans="1:25" x14ac:dyDescent="0.2">
      <c r="A898" s="312">
        <v>10</v>
      </c>
      <c r="B898" s="423" t="s">
        <v>20</v>
      </c>
      <c r="C898" s="45"/>
      <c r="D898" s="313">
        <v>226772913</v>
      </c>
      <c r="E898" s="45"/>
      <c r="F898" s="313">
        <v>198625100</v>
      </c>
      <c r="G898" s="313"/>
      <c r="H898" s="313">
        <v>28137200</v>
      </c>
      <c r="I898" s="313"/>
      <c r="J898" s="313">
        <v>10614</v>
      </c>
      <c r="K898" s="313">
        <v>5384</v>
      </c>
      <c r="L898" s="313">
        <v>5230</v>
      </c>
      <c r="M898" s="313"/>
      <c r="N898" s="313"/>
      <c r="O898" s="313"/>
      <c r="P898" s="313"/>
      <c r="Q898" s="313"/>
      <c r="R898" s="313"/>
      <c r="S898" s="313"/>
      <c r="T898" s="313"/>
      <c r="W898" s="319"/>
    </row>
    <row r="899" spans="1:25" x14ac:dyDescent="0.2">
      <c r="A899" s="45"/>
      <c r="B899" s="45"/>
      <c r="C899" s="45"/>
      <c r="D899" s="45"/>
      <c r="E899" s="45"/>
      <c r="F899" s="313"/>
      <c r="G899" s="313"/>
      <c r="H899" s="313"/>
      <c r="I899" s="313"/>
      <c r="J899" s="313"/>
      <c r="K899" s="313"/>
      <c r="L899" s="313"/>
      <c r="M899" s="313"/>
      <c r="N899" s="313"/>
      <c r="O899" s="313"/>
      <c r="P899" s="313"/>
      <c r="Q899" s="313"/>
      <c r="R899" s="313"/>
      <c r="S899" s="313"/>
      <c r="T899" s="313"/>
      <c r="W899" s="319"/>
    </row>
    <row r="900" spans="1:25" x14ac:dyDescent="0.2">
      <c r="A900" s="312">
        <v>11</v>
      </c>
      <c r="B900" s="423" t="s">
        <v>585</v>
      </c>
      <c r="C900" s="424" t="s">
        <v>1370</v>
      </c>
      <c r="D900" s="313">
        <v>13190046</v>
      </c>
      <c r="E900" s="45"/>
      <c r="F900" s="313">
        <v>0</v>
      </c>
      <c r="G900" s="313"/>
      <c r="H900" s="313">
        <v>13190046</v>
      </c>
      <c r="I900" s="313"/>
      <c r="J900" s="313">
        <v>0</v>
      </c>
      <c r="K900" s="313">
        <v>0</v>
      </c>
      <c r="L900" s="313">
        <v>0</v>
      </c>
      <c r="M900" s="313"/>
      <c r="N900" s="313"/>
      <c r="O900" s="313">
        <v>13190046</v>
      </c>
      <c r="P900" s="313"/>
      <c r="Q900" s="313" t="s">
        <v>583</v>
      </c>
      <c r="R900" s="313"/>
      <c r="S900" s="313"/>
      <c r="T900" s="313"/>
      <c r="U900" s="319"/>
      <c r="V900" s="319"/>
      <c r="W900" s="319"/>
      <c r="X900" s="319"/>
      <c r="Y900" s="319"/>
    </row>
    <row r="901" spans="1:25" x14ac:dyDescent="0.2">
      <c r="A901" s="312">
        <v>12</v>
      </c>
      <c r="B901" s="423" t="s">
        <v>586</v>
      </c>
      <c r="C901" s="424" t="s">
        <v>939</v>
      </c>
      <c r="D901" s="313">
        <v>316962059</v>
      </c>
      <c r="E901" s="45"/>
      <c r="F901" s="313">
        <v>316450713</v>
      </c>
      <c r="G901" s="313"/>
      <c r="H901" s="313">
        <v>0</v>
      </c>
      <c r="I901" s="313"/>
      <c r="J901" s="313">
        <v>511346</v>
      </c>
      <c r="K901" s="313">
        <v>507455</v>
      </c>
      <c r="L901" s="313">
        <v>3891</v>
      </c>
      <c r="M901" s="313"/>
      <c r="N901" s="313"/>
      <c r="O901" s="313">
        <v>316962059</v>
      </c>
      <c r="P901" s="313"/>
      <c r="Q901" s="313" t="s">
        <v>583</v>
      </c>
      <c r="R901" s="313"/>
      <c r="S901" s="313"/>
      <c r="T901" s="313"/>
      <c r="U901" s="319"/>
      <c r="V901" s="319"/>
      <c r="W901" s="319"/>
      <c r="X901" s="319"/>
      <c r="Y901" s="319"/>
    </row>
    <row r="902" spans="1:25" x14ac:dyDescent="0.2">
      <c r="A902" s="312">
        <v>13</v>
      </c>
      <c r="B902" s="423" t="s">
        <v>2534</v>
      </c>
      <c r="C902" s="424" t="s">
        <v>2521</v>
      </c>
      <c r="D902" s="313">
        <v>6682</v>
      </c>
      <c r="E902" s="45"/>
      <c r="F902" s="313">
        <v>6269</v>
      </c>
      <c r="G902" s="313"/>
      <c r="H902" s="313">
        <v>334</v>
      </c>
      <c r="I902" s="313"/>
      <c r="J902" s="313">
        <v>78</v>
      </c>
      <c r="K902" s="313">
        <v>78</v>
      </c>
      <c r="L902" s="313">
        <v>0</v>
      </c>
      <c r="M902" s="313"/>
      <c r="N902" s="313"/>
      <c r="O902" s="313">
        <v>6682</v>
      </c>
      <c r="P902" s="313"/>
      <c r="Q902" s="313"/>
      <c r="R902" s="313"/>
      <c r="S902" s="313" t="s">
        <v>2535</v>
      </c>
      <c r="T902" s="313"/>
      <c r="U902" s="319"/>
      <c r="V902" s="319"/>
      <c r="W902" s="319"/>
      <c r="X902" s="319"/>
      <c r="Y902" s="319"/>
    </row>
    <row r="903" spans="1:25" x14ac:dyDescent="0.2">
      <c r="A903" s="312">
        <v>14</v>
      </c>
      <c r="B903" s="423" t="s">
        <v>21</v>
      </c>
      <c r="C903" s="45"/>
      <c r="D903" s="313">
        <v>330158787</v>
      </c>
      <c r="E903" s="45"/>
      <c r="F903" s="313">
        <v>316456982</v>
      </c>
      <c r="G903" s="313"/>
      <c r="H903" s="313">
        <v>13190381</v>
      </c>
      <c r="I903" s="313"/>
      <c r="J903" s="313">
        <v>511424</v>
      </c>
      <c r="K903" s="313">
        <v>507533</v>
      </c>
      <c r="L903" s="313">
        <v>3891</v>
      </c>
      <c r="M903" s="313"/>
      <c r="N903" s="313"/>
      <c r="O903" s="313"/>
      <c r="P903" s="313"/>
      <c r="Q903" s="313"/>
      <c r="R903" s="313"/>
      <c r="S903" s="313">
        <v>183431</v>
      </c>
      <c r="T903" s="313">
        <v>0.2495</v>
      </c>
      <c r="W903" s="319"/>
    </row>
    <row r="904" spans="1:25" x14ac:dyDescent="0.2">
      <c r="A904" s="45"/>
      <c r="B904" s="45"/>
      <c r="C904" s="45"/>
      <c r="D904" s="45"/>
      <c r="E904" s="45"/>
      <c r="F904" s="313"/>
      <c r="G904" s="313"/>
      <c r="H904" s="313"/>
      <c r="I904" s="313"/>
      <c r="J904" s="313"/>
      <c r="K904" s="313"/>
      <c r="L904" s="313"/>
      <c r="M904" s="313"/>
      <c r="N904" s="313"/>
      <c r="O904" s="313"/>
      <c r="P904" s="313"/>
      <c r="Q904" s="313"/>
      <c r="R904" s="313"/>
      <c r="S904" s="313">
        <v>45766</v>
      </c>
      <c r="T904" s="313"/>
      <c r="W904" s="319"/>
    </row>
    <row r="905" spans="1:25" x14ac:dyDescent="0.2">
      <c r="A905" s="312">
        <v>15</v>
      </c>
      <c r="B905" s="423" t="s">
        <v>1124</v>
      </c>
      <c r="C905" s="424" t="s">
        <v>1447</v>
      </c>
      <c r="D905" s="313">
        <v>38034530</v>
      </c>
      <c r="E905" s="45"/>
      <c r="F905" s="313">
        <v>35853428</v>
      </c>
      <c r="G905" s="313"/>
      <c r="H905" s="313">
        <v>1757977</v>
      </c>
      <c r="I905" s="313"/>
      <c r="J905" s="313">
        <v>423126</v>
      </c>
      <c r="K905" s="313">
        <v>220623</v>
      </c>
      <c r="L905" s="313">
        <v>202503</v>
      </c>
      <c r="M905" s="313"/>
      <c r="N905" s="313"/>
      <c r="O905" s="313">
        <v>38034530</v>
      </c>
      <c r="P905" s="313"/>
      <c r="Q905" s="313" t="s">
        <v>583</v>
      </c>
      <c r="R905" s="313"/>
      <c r="S905" s="313">
        <v>0.14599999999999999</v>
      </c>
      <c r="T905" s="313" t="s">
        <v>2536</v>
      </c>
      <c r="U905" s="319"/>
      <c r="V905" s="319"/>
      <c r="W905" s="319"/>
      <c r="X905" s="319"/>
      <c r="Y905" s="319"/>
    </row>
    <row r="906" spans="1:25" x14ac:dyDescent="0.2">
      <c r="A906" s="312">
        <v>16</v>
      </c>
      <c r="B906" s="423" t="s">
        <v>2537</v>
      </c>
      <c r="C906" s="424" t="s">
        <v>2521</v>
      </c>
      <c r="D906" s="313">
        <v>39084</v>
      </c>
      <c r="E906" s="45"/>
      <c r="F906" s="313">
        <v>36671</v>
      </c>
      <c r="G906" s="313"/>
      <c r="H906" s="313">
        <v>1956</v>
      </c>
      <c r="I906" s="313"/>
      <c r="J906" s="313">
        <v>457</v>
      </c>
      <c r="K906" s="313">
        <v>457</v>
      </c>
      <c r="L906" s="313">
        <v>0</v>
      </c>
      <c r="M906" s="313"/>
      <c r="N906" s="313"/>
      <c r="O906" s="313">
        <v>39084</v>
      </c>
      <c r="P906" s="313"/>
      <c r="Q906" s="313"/>
      <c r="R906" s="313"/>
      <c r="S906" s="313">
        <v>0.85399999999999998</v>
      </c>
      <c r="T906" s="313" t="s">
        <v>2538</v>
      </c>
      <c r="U906" s="319"/>
      <c r="V906" s="319"/>
      <c r="W906" s="319"/>
      <c r="X906" s="319"/>
      <c r="Y906" s="319"/>
    </row>
    <row r="907" spans="1:25" x14ac:dyDescent="0.2">
      <c r="A907" s="312"/>
      <c r="B907" s="423" t="s">
        <v>1446</v>
      </c>
      <c r="C907" s="424"/>
      <c r="D907" s="313">
        <v>38073614</v>
      </c>
      <c r="E907" s="45"/>
      <c r="F907" s="313">
        <v>35890099</v>
      </c>
      <c r="G907" s="313"/>
      <c r="H907" s="313">
        <v>1759933</v>
      </c>
      <c r="I907" s="313"/>
      <c r="J907" s="313">
        <v>423582</v>
      </c>
      <c r="K907" s="313">
        <v>221079</v>
      </c>
      <c r="L907" s="313">
        <v>202503</v>
      </c>
      <c r="M907" s="313"/>
      <c r="N907" s="313"/>
      <c r="O907" s="313"/>
      <c r="P907" s="313"/>
      <c r="Q907" s="313"/>
      <c r="R907" s="313"/>
      <c r="S907" s="313"/>
      <c r="T907" s="313"/>
      <c r="U907" s="319"/>
      <c r="V907" s="319"/>
      <c r="W907" s="319"/>
      <c r="X907" s="319"/>
      <c r="Y907" s="319"/>
    </row>
    <row r="908" spans="1:25" x14ac:dyDescent="0.2">
      <c r="A908" s="45"/>
      <c r="B908" s="45"/>
      <c r="C908" s="45"/>
      <c r="D908" s="45"/>
      <c r="E908" s="45"/>
      <c r="F908" s="313"/>
      <c r="G908" s="313"/>
      <c r="H908" s="313"/>
      <c r="I908" s="313"/>
      <c r="J908" s="313"/>
      <c r="K908" s="313"/>
      <c r="L908" s="313"/>
      <c r="M908" s="313"/>
      <c r="N908" s="313"/>
      <c r="O908" s="313"/>
      <c r="P908" s="313"/>
      <c r="Q908" s="313"/>
      <c r="R908" s="313"/>
      <c r="S908" s="313"/>
      <c r="T908" s="313"/>
      <c r="W908" s="319"/>
    </row>
    <row r="909" spans="1:25" x14ac:dyDescent="0.2">
      <c r="A909" s="312">
        <v>17</v>
      </c>
      <c r="B909" s="423" t="s">
        <v>587</v>
      </c>
      <c r="C909" s="311"/>
      <c r="D909" s="313">
        <v>1438518390</v>
      </c>
      <c r="E909" s="45"/>
      <c r="F909" s="313">
        <v>1342260433</v>
      </c>
      <c r="G909" s="313"/>
      <c r="H909" s="313">
        <v>78899320</v>
      </c>
      <c r="I909" s="313"/>
      <c r="J909" s="313">
        <v>17358636</v>
      </c>
      <c r="K909" s="313">
        <v>9059596</v>
      </c>
      <c r="L909" s="313">
        <v>8299040</v>
      </c>
      <c r="M909" s="313"/>
      <c r="N909" s="313"/>
      <c r="O909" s="313"/>
      <c r="P909" s="313"/>
      <c r="Q909" s="313"/>
      <c r="R909" s="313"/>
      <c r="S909" s="313"/>
      <c r="T909" s="313"/>
      <c r="W909" s="319"/>
    </row>
    <row r="910" spans="1:25" x14ac:dyDescent="0.2">
      <c r="A910" s="311"/>
      <c r="B910" s="311"/>
      <c r="C910" s="311"/>
      <c r="D910" s="45"/>
      <c r="E910" s="45"/>
      <c r="F910" s="313"/>
      <c r="G910" s="313"/>
      <c r="H910" s="313"/>
      <c r="I910" s="313"/>
      <c r="J910" s="313"/>
      <c r="K910" s="313"/>
      <c r="L910" s="313"/>
      <c r="M910" s="313"/>
      <c r="N910" s="313"/>
      <c r="O910" s="313"/>
      <c r="P910" s="313"/>
      <c r="Q910" s="313"/>
      <c r="R910" s="313"/>
      <c r="S910" s="313"/>
      <c r="T910" s="313"/>
      <c r="W910" s="319"/>
    </row>
    <row r="911" spans="1:25" x14ac:dyDescent="0.2">
      <c r="A911" s="311"/>
      <c r="B911" s="423" t="s">
        <v>588</v>
      </c>
      <c r="C911" s="311"/>
      <c r="D911" s="45"/>
      <c r="E911" s="45"/>
      <c r="F911" s="313"/>
      <c r="G911" s="313"/>
      <c r="H911" s="313"/>
      <c r="I911" s="313"/>
      <c r="J911" s="313"/>
      <c r="K911" s="313"/>
      <c r="L911" s="313"/>
      <c r="M911" s="313"/>
      <c r="N911" s="313"/>
      <c r="O911" s="313"/>
      <c r="P911" s="313"/>
      <c r="Q911" s="313"/>
      <c r="R911" s="313"/>
      <c r="S911" s="313"/>
      <c r="T911" s="313"/>
      <c r="W911" s="319"/>
    </row>
    <row r="912" spans="1:25" x14ac:dyDescent="0.2">
      <c r="A912" s="312">
        <v>18</v>
      </c>
      <c r="B912" s="423" t="s">
        <v>589</v>
      </c>
      <c r="C912" s="424" t="s">
        <v>913</v>
      </c>
      <c r="D912" s="313">
        <v>86323268</v>
      </c>
      <c r="E912" s="45"/>
      <c r="F912" s="313">
        <v>80926985</v>
      </c>
      <c r="G912" s="313"/>
      <c r="H912" s="313">
        <v>3690612</v>
      </c>
      <c r="I912" s="313"/>
      <c r="J912" s="313">
        <v>1705672</v>
      </c>
      <c r="K912" s="313">
        <v>865212</v>
      </c>
      <c r="L912" s="313">
        <v>840459</v>
      </c>
      <c r="M912" s="313"/>
      <c r="N912" s="313"/>
      <c r="O912" s="313">
        <v>86323268</v>
      </c>
      <c r="P912" s="313"/>
      <c r="Q912" s="313" t="s">
        <v>583</v>
      </c>
      <c r="R912" s="313"/>
      <c r="S912" s="313"/>
      <c r="T912" s="313"/>
      <c r="U912" s="319"/>
      <c r="V912" s="319"/>
      <c r="W912" s="319"/>
      <c r="X912" s="319"/>
      <c r="Y912" s="319"/>
    </row>
    <row r="913" spans="1:25" x14ac:dyDescent="0.2">
      <c r="A913" s="312">
        <v>19</v>
      </c>
      <c r="B913" s="423" t="s">
        <v>590</v>
      </c>
      <c r="C913" s="424" t="s">
        <v>2136</v>
      </c>
      <c r="D913" s="313">
        <v>0</v>
      </c>
      <c r="E913" s="45"/>
      <c r="F913" s="313">
        <v>0</v>
      </c>
      <c r="G913" s="313"/>
      <c r="H913" s="313">
        <v>0</v>
      </c>
      <c r="I913" s="313"/>
      <c r="J913" s="313">
        <v>0</v>
      </c>
      <c r="K913" s="313">
        <v>0</v>
      </c>
      <c r="L913" s="313">
        <v>0</v>
      </c>
      <c r="M913" s="313"/>
      <c r="N913" s="313"/>
      <c r="O913" s="313">
        <v>0</v>
      </c>
      <c r="P913" s="313"/>
      <c r="Q913" s="313" t="s">
        <v>583</v>
      </c>
      <c r="R913" s="313"/>
      <c r="S913" s="313"/>
      <c r="T913" s="313"/>
      <c r="U913" s="319"/>
      <c r="V913" s="319"/>
      <c r="W913" s="319"/>
      <c r="X913" s="319"/>
      <c r="Y913" s="319"/>
    </row>
    <row r="914" spans="1:25" x14ac:dyDescent="0.2">
      <c r="A914" s="312">
        <v>20</v>
      </c>
      <c r="B914" s="426" t="s">
        <v>2040</v>
      </c>
      <c r="C914" s="424" t="s">
        <v>1345</v>
      </c>
      <c r="D914" s="313">
        <v>0</v>
      </c>
      <c r="E914" s="45"/>
      <c r="F914" s="313">
        <v>0</v>
      </c>
      <c r="G914" s="313"/>
      <c r="H914" s="313">
        <v>0</v>
      </c>
      <c r="I914" s="313"/>
      <c r="J914" s="313">
        <v>0</v>
      </c>
      <c r="K914" s="313">
        <v>0</v>
      </c>
      <c r="L914" s="313">
        <v>0</v>
      </c>
      <c r="M914" s="313"/>
      <c r="N914" s="313"/>
      <c r="O914" s="313">
        <v>0</v>
      </c>
      <c r="P914" s="313"/>
      <c r="Q914" s="313" t="s">
        <v>583</v>
      </c>
      <c r="R914" s="313"/>
      <c r="S914" s="313"/>
      <c r="T914" s="313"/>
      <c r="U914" s="319"/>
      <c r="V914" s="319"/>
      <c r="W914" s="319"/>
      <c r="X914" s="319"/>
      <c r="Y914" s="319"/>
    </row>
    <row r="915" spans="1:25" x14ac:dyDescent="0.2">
      <c r="A915" s="312">
        <v>21</v>
      </c>
      <c r="B915" s="423" t="s">
        <v>592</v>
      </c>
      <c r="C915" s="424" t="s">
        <v>1371</v>
      </c>
      <c r="D915" s="313">
        <v>0</v>
      </c>
      <c r="E915" s="45"/>
      <c r="F915" s="313">
        <v>0</v>
      </c>
      <c r="G915" s="313"/>
      <c r="H915" s="313">
        <v>0</v>
      </c>
      <c r="I915" s="313"/>
      <c r="J915" s="313">
        <v>0</v>
      </c>
      <c r="K915" s="313">
        <v>0</v>
      </c>
      <c r="L915" s="313">
        <v>0</v>
      </c>
      <c r="M915" s="313"/>
      <c r="N915" s="313"/>
      <c r="O915" s="313">
        <v>0</v>
      </c>
      <c r="P915" s="313"/>
      <c r="Q915" s="313" t="s">
        <v>583</v>
      </c>
      <c r="R915" s="313"/>
      <c r="S915" s="313"/>
      <c r="T915" s="313"/>
      <c r="U915" s="319"/>
      <c r="V915" s="319"/>
      <c r="W915" s="319"/>
      <c r="X915" s="319"/>
      <c r="Y915" s="319"/>
    </row>
    <row r="916" spans="1:25" x14ac:dyDescent="0.2">
      <c r="A916" s="312">
        <v>22</v>
      </c>
      <c r="B916" s="423" t="s">
        <v>593</v>
      </c>
      <c r="C916" s="424" t="s">
        <v>939</v>
      </c>
      <c r="D916" s="313">
        <v>0</v>
      </c>
      <c r="E916" s="45"/>
      <c r="F916" s="313">
        <v>0</v>
      </c>
      <c r="G916" s="313"/>
      <c r="H916" s="313">
        <v>0</v>
      </c>
      <c r="I916" s="313"/>
      <c r="J916" s="313">
        <v>0</v>
      </c>
      <c r="K916" s="313">
        <v>0</v>
      </c>
      <c r="L916" s="313">
        <v>0</v>
      </c>
      <c r="M916" s="313"/>
      <c r="N916" s="313"/>
      <c r="O916" s="313">
        <v>0</v>
      </c>
      <c r="P916" s="313"/>
      <c r="Q916" s="313" t="s">
        <v>583</v>
      </c>
      <c r="R916" s="313"/>
      <c r="S916" s="313"/>
      <c r="T916" s="313"/>
      <c r="U916" s="319"/>
      <c r="V916" s="319"/>
      <c r="W916" s="319"/>
      <c r="X916" s="319"/>
      <c r="Y916" s="319"/>
    </row>
    <row r="917" spans="1:25" x14ac:dyDescent="0.2">
      <c r="A917" s="312">
        <v>23</v>
      </c>
      <c r="B917" s="423" t="s">
        <v>594</v>
      </c>
      <c r="C917" s="424" t="s">
        <v>1447</v>
      </c>
      <c r="D917" s="313">
        <v>0</v>
      </c>
      <c r="E917" s="45"/>
      <c r="F917" s="313">
        <v>0</v>
      </c>
      <c r="G917" s="313"/>
      <c r="H917" s="313">
        <v>0</v>
      </c>
      <c r="I917" s="313"/>
      <c r="J917" s="313" t="s">
        <v>2283</v>
      </c>
      <c r="K917" s="313">
        <v>0</v>
      </c>
      <c r="L917" s="313">
        <v>0</v>
      </c>
      <c r="M917" s="313"/>
      <c r="N917" s="313"/>
      <c r="O917" s="313">
        <v>0</v>
      </c>
      <c r="P917" s="313"/>
      <c r="Q917" s="313" t="s">
        <v>583</v>
      </c>
      <c r="R917" s="313"/>
      <c r="S917" s="313"/>
      <c r="T917" s="313"/>
      <c r="U917" s="319"/>
      <c r="V917" s="319"/>
      <c r="W917" s="319"/>
      <c r="X917" s="319"/>
      <c r="Y917" s="319"/>
    </row>
    <row r="918" spans="1:25" x14ac:dyDescent="0.2">
      <c r="A918" s="312">
        <v>24</v>
      </c>
      <c r="B918" s="423" t="s">
        <v>595</v>
      </c>
      <c r="C918" s="311"/>
      <c r="D918" s="313">
        <v>86323268</v>
      </c>
      <c r="E918" s="45"/>
      <c r="F918" s="313">
        <v>80926985</v>
      </c>
      <c r="G918" s="313"/>
      <c r="H918" s="313">
        <v>3690612</v>
      </c>
      <c r="I918" s="313"/>
      <c r="J918" s="313">
        <v>1705672</v>
      </c>
      <c r="K918" s="313">
        <v>865212</v>
      </c>
      <c r="L918" s="313">
        <v>840459</v>
      </c>
      <c r="M918" s="313"/>
      <c r="N918" s="313"/>
      <c r="O918" s="313"/>
      <c r="P918" s="313"/>
      <c r="Q918" s="313"/>
      <c r="R918" s="313"/>
      <c r="S918" s="313"/>
      <c r="T918" s="313"/>
      <c r="W918" s="319"/>
    </row>
    <row r="919" spans="1:25" x14ac:dyDescent="0.2">
      <c r="A919" s="45"/>
      <c r="B919" s="45"/>
      <c r="C919" s="311"/>
      <c r="D919" s="45"/>
      <c r="E919" s="45"/>
      <c r="F919" s="313"/>
      <c r="G919" s="313"/>
      <c r="H919" s="313"/>
      <c r="I919" s="313"/>
      <c r="J919" s="313"/>
      <c r="K919" s="313"/>
      <c r="L919" s="313"/>
      <c r="M919" s="313"/>
      <c r="N919" s="313"/>
      <c r="O919" s="313"/>
      <c r="P919" s="313"/>
      <c r="Q919" s="313"/>
      <c r="R919" s="313"/>
      <c r="S919" s="313"/>
      <c r="T919" s="313"/>
      <c r="W919" s="319"/>
    </row>
    <row r="920" spans="1:25" x14ac:dyDescent="0.2">
      <c r="A920" s="312">
        <v>25</v>
      </c>
      <c r="B920" s="423" t="s">
        <v>1391</v>
      </c>
      <c r="C920" s="424" t="s">
        <v>1392</v>
      </c>
      <c r="D920" s="313">
        <v>1719772</v>
      </c>
      <c r="E920" s="45"/>
      <c r="F920" s="313">
        <v>1712216</v>
      </c>
      <c r="G920" s="313"/>
      <c r="H920" s="313">
        <v>7556</v>
      </c>
      <c r="I920" s="313"/>
      <c r="J920" s="313">
        <v>0</v>
      </c>
      <c r="K920" s="313">
        <v>0</v>
      </c>
      <c r="L920" s="313">
        <v>0</v>
      </c>
      <c r="M920" s="313"/>
      <c r="N920" s="313"/>
      <c r="O920" s="313">
        <v>1719772</v>
      </c>
      <c r="P920" s="313"/>
      <c r="Q920" s="313" t="s">
        <v>2230</v>
      </c>
      <c r="R920" s="313"/>
      <c r="S920" s="313"/>
      <c r="T920" s="313"/>
      <c r="U920" s="319"/>
      <c r="V920" s="319"/>
      <c r="W920" s="319"/>
      <c r="X920" s="319"/>
      <c r="Y920" s="319"/>
    </row>
    <row r="921" spans="1:25" x14ac:dyDescent="0.2">
      <c r="A921" s="312">
        <v>26</v>
      </c>
      <c r="B921" s="426" t="s">
        <v>2041</v>
      </c>
      <c r="C921" s="424" t="s">
        <v>1394</v>
      </c>
      <c r="D921" s="313">
        <v>31620707</v>
      </c>
      <c r="E921" s="45"/>
      <c r="F921" s="313">
        <v>0</v>
      </c>
      <c r="G921" s="313"/>
      <c r="H921" s="313">
        <v>1227530</v>
      </c>
      <c r="I921" s="313"/>
      <c r="J921" s="313">
        <v>0</v>
      </c>
      <c r="K921" s="313">
        <v>0</v>
      </c>
      <c r="L921" s="313">
        <v>0</v>
      </c>
      <c r="M921" s="313"/>
      <c r="N921" s="313"/>
      <c r="O921" s="313">
        <v>31620707</v>
      </c>
      <c r="P921" s="313"/>
      <c r="Q921" s="313" t="s">
        <v>2284</v>
      </c>
      <c r="R921" s="313"/>
      <c r="S921" s="313"/>
      <c r="T921" s="313"/>
      <c r="U921" s="319"/>
      <c r="V921" s="319"/>
      <c r="W921" s="319"/>
      <c r="X921" s="319"/>
      <c r="Y921" s="319"/>
    </row>
    <row r="922" spans="1:25" x14ac:dyDescent="0.2">
      <c r="A922" s="312">
        <v>27</v>
      </c>
      <c r="B922" s="423" t="s">
        <v>596</v>
      </c>
      <c r="C922" s="424" t="s">
        <v>1377</v>
      </c>
      <c r="D922" s="313">
        <v>237184</v>
      </c>
      <c r="E922" s="45"/>
      <c r="F922" s="313">
        <v>0</v>
      </c>
      <c r="G922" s="313"/>
      <c r="H922" s="313">
        <v>237184</v>
      </c>
      <c r="I922" s="313"/>
      <c r="J922" s="313">
        <v>0</v>
      </c>
      <c r="K922" s="313">
        <v>0</v>
      </c>
      <c r="L922" s="313">
        <v>0</v>
      </c>
      <c r="M922" s="313"/>
      <c r="N922" s="313"/>
      <c r="O922" s="313">
        <v>237184</v>
      </c>
      <c r="P922" s="313"/>
      <c r="Q922" s="313" t="s">
        <v>2231</v>
      </c>
      <c r="R922" s="313"/>
      <c r="S922" s="313"/>
      <c r="T922" s="313"/>
      <c r="U922" s="319"/>
      <c r="V922" s="319"/>
      <c r="W922" s="319"/>
      <c r="X922" s="319"/>
      <c r="Y922" s="319"/>
    </row>
    <row r="923" spans="1:25" x14ac:dyDescent="0.2">
      <c r="A923" s="312">
        <v>28</v>
      </c>
      <c r="B923" s="426" t="s">
        <v>2042</v>
      </c>
      <c r="C923" s="424" t="s">
        <v>1427</v>
      </c>
      <c r="D923" s="313">
        <v>15691507</v>
      </c>
      <c r="E923" s="45"/>
      <c r="F923" s="313">
        <v>0</v>
      </c>
      <c r="G923" s="313"/>
      <c r="H923" s="313">
        <v>746553</v>
      </c>
      <c r="I923" s="313"/>
      <c r="J923" s="313">
        <v>0</v>
      </c>
      <c r="K923" s="313">
        <v>0</v>
      </c>
      <c r="L923" s="313">
        <v>0</v>
      </c>
      <c r="M923" s="313"/>
      <c r="N923" s="313"/>
      <c r="O923" s="313">
        <v>15691507</v>
      </c>
      <c r="P923" s="313"/>
      <c r="Q923" s="313" t="s">
        <v>2232</v>
      </c>
      <c r="R923" s="313"/>
      <c r="S923" s="313"/>
      <c r="T923" s="313"/>
      <c r="U923" s="319"/>
      <c r="V923" s="354"/>
      <c r="W923" s="319"/>
      <c r="X923" s="319"/>
      <c r="Y923" s="319"/>
    </row>
    <row r="924" spans="1:25" x14ac:dyDescent="0.2">
      <c r="A924" s="312">
        <v>29</v>
      </c>
      <c r="B924" s="426" t="s">
        <v>2148</v>
      </c>
      <c r="C924" s="424" t="s">
        <v>1427</v>
      </c>
      <c r="D924" s="313">
        <v>4697653</v>
      </c>
      <c r="E924" s="45"/>
      <c r="F924" s="313">
        <v>0</v>
      </c>
      <c r="G924" s="313"/>
      <c r="H924" s="313">
        <v>0</v>
      </c>
      <c r="I924" s="313"/>
      <c r="J924" s="313">
        <v>53794</v>
      </c>
      <c r="K924" s="313">
        <v>28049</v>
      </c>
      <c r="L924" s="313">
        <v>25745</v>
      </c>
      <c r="M924" s="313"/>
      <c r="N924" s="313"/>
      <c r="O924" s="313">
        <v>4697653</v>
      </c>
      <c r="P924" s="313"/>
      <c r="Q924" s="313" t="s">
        <v>2149</v>
      </c>
      <c r="R924" s="313"/>
      <c r="S924" s="313"/>
      <c r="T924" s="313"/>
      <c r="U924" s="319"/>
      <c r="V924" s="354"/>
      <c r="W924" s="319"/>
      <c r="X924" s="319"/>
      <c r="Y924" s="319"/>
    </row>
    <row r="925" spans="1:25" x14ac:dyDescent="0.2">
      <c r="A925" s="312">
        <v>30</v>
      </c>
      <c r="B925" s="426" t="s">
        <v>2150</v>
      </c>
      <c r="C925" s="424" t="s">
        <v>1427</v>
      </c>
      <c r="D925" s="313">
        <v>6765972</v>
      </c>
      <c r="E925" s="45"/>
      <c r="F925" s="313">
        <v>0</v>
      </c>
      <c r="G925" s="313"/>
      <c r="H925" s="313">
        <v>0</v>
      </c>
      <c r="I925" s="313"/>
      <c r="J925" s="313">
        <v>77479</v>
      </c>
      <c r="K925" s="313">
        <v>40398</v>
      </c>
      <c r="L925" s="313">
        <v>37080</v>
      </c>
      <c r="M925" s="313"/>
      <c r="N925" s="313"/>
      <c r="O925" s="313">
        <v>6765972</v>
      </c>
      <c r="P925" s="313"/>
      <c r="Q925" s="313" t="s">
        <v>2151</v>
      </c>
      <c r="R925" s="313"/>
      <c r="S925" s="313"/>
      <c r="T925" s="313"/>
      <c r="U925" s="319"/>
      <c r="V925" s="354"/>
      <c r="W925" s="319"/>
      <c r="X925" s="319"/>
      <c r="Y925" s="319"/>
    </row>
    <row r="926" spans="1:25" x14ac:dyDescent="0.2">
      <c r="A926" s="312">
        <v>31</v>
      </c>
      <c r="B926" s="426" t="s">
        <v>2152</v>
      </c>
      <c r="C926" s="424" t="s">
        <v>1427</v>
      </c>
      <c r="D926" s="313">
        <v>1236415</v>
      </c>
      <c r="E926" s="45"/>
      <c r="F926" s="313">
        <v>0</v>
      </c>
      <c r="G926" s="313"/>
      <c r="H926" s="313">
        <v>0</v>
      </c>
      <c r="I926" s="313"/>
      <c r="J926" s="313">
        <v>14158</v>
      </c>
      <c r="K926" s="313">
        <v>7382</v>
      </c>
      <c r="L926" s="313">
        <v>6776</v>
      </c>
      <c r="M926" s="313"/>
      <c r="N926" s="313"/>
      <c r="O926" s="313">
        <v>1236415</v>
      </c>
      <c r="P926" s="313"/>
      <c r="Q926" s="313" t="s">
        <v>2153</v>
      </c>
      <c r="R926" s="313"/>
      <c r="S926" s="313"/>
      <c r="T926" s="313"/>
      <c r="U926" s="319"/>
      <c r="V926" s="354"/>
      <c r="W926" s="319"/>
      <c r="X926" s="319"/>
      <c r="Y926" s="319"/>
    </row>
    <row r="927" spans="1:25" x14ac:dyDescent="0.2">
      <c r="A927" s="312">
        <v>32</v>
      </c>
      <c r="B927" s="423" t="s">
        <v>597</v>
      </c>
      <c r="C927" s="311"/>
      <c r="D927" s="313">
        <v>1586810867</v>
      </c>
      <c r="E927" s="45"/>
      <c r="F927" s="313">
        <v>1424899634</v>
      </c>
      <c r="G927" s="313"/>
      <c r="H927" s="313">
        <v>84808755</v>
      </c>
      <c r="I927" s="313"/>
      <c r="J927" s="313">
        <v>19209739</v>
      </c>
      <c r="K927" s="313">
        <v>10000638</v>
      </c>
      <c r="L927" s="313">
        <v>9209101</v>
      </c>
      <c r="M927" s="313"/>
      <c r="N927" s="313"/>
      <c r="O927" s="313"/>
      <c r="P927" s="313"/>
      <c r="Q927" s="313"/>
      <c r="R927" s="313"/>
      <c r="S927" s="313"/>
      <c r="T927" s="313"/>
      <c r="V927" s="354"/>
      <c r="W927" s="319"/>
    </row>
    <row r="928" spans="1:25" x14ac:dyDescent="0.2">
      <c r="A928" s="45"/>
      <c r="B928" s="45"/>
      <c r="C928" s="311"/>
      <c r="D928" s="45"/>
      <c r="E928" s="45"/>
      <c r="F928" s="313"/>
      <c r="G928" s="313"/>
      <c r="H928" s="313"/>
      <c r="I928" s="313"/>
      <c r="J928" s="313"/>
      <c r="K928" s="313"/>
      <c r="L928" s="313"/>
      <c r="M928" s="313"/>
      <c r="N928" s="313"/>
      <c r="O928" s="313"/>
      <c r="P928" s="313"/>
      <c r="Q928" s="313"/>
      <c r="R928" s="313"/>
      <c r="S928" s="313"/>
      <c r="T928" s="313"/>
      <c r="W928" s="319"/>
    </row>
    <row r="929" spans="1:25" x14ac:dyDescent="0.2">
      <c r="A929" s="312">
        <v>33</v>
      </c>
      <c r="B929" s="423" t="s">
        <v>33</v>
      </c>
      <c r="C929" s="311"/>
      <c r="D929" s="313">
        <v>6169316718</v>
      </c>
      <c r="E929" s="45"/>
      <c r="F929" s="313">
        <v>5830686181</v>
      </c>
      <c r="G929" s="313"/>
      <c r="H929" s="313">
        <v>318632787</v>
      </c>
      <c r="I929" s="313"/>
      <c r="J929" s="313">
        <v>77890490</v>
      </c>
      <c r="K929" s="313">
        <v>41081352</v>
      </c>
      <c r="L929" s="313">
        <v>36809138</v>
      </c>
      <c r="M929" s="313"/>
      <c r="N929" s="313"/>
      <c r="O929" s="313"/>
      <c r="P929" s="313"/>
      <c r="Q929" s="313"/>
      <c r="R929" s="313"/>
      <c r="S929" s="313"/>
      <c r="T929" s="313"/>
      <c r="W929" s="319"/>
    </row>
    <row r="930" spans="1:25" x14ac:dyDescent="0.2">
      <c r="A930" s="45"/>
      <c r="B930" s="45"/>
      <c r="C930" s="311"/>
      <c r="D930" s="45"/>
      <c r="E930" s="45"/>
      <c r="F930" s="313"/>
      <c r="G930" s="313"/>
      <c r="H930" s="313"/>
      <c r="I930" s="313"/>
      <c r="J930" s="313"/>
      <c r="K930" s="313"/>
      <c r="L930" s="313"/>
      <c r="M930" s="313"/>
      <c r="N930" s="313"/>
      <c r="O930" s="313"/>
      <c r="P930" s="313"/>
      <c r="Q930" s="313"/>
      <c r="R930" s="313"/>
      <c r="S930" s="313"/>
      <c r="T930" s="313"/>
      <c r="W930" s="319"/>
    </row>
    <row r="931" spans="1:25" x14ac:dyDescent="0.2">
      <c r="A931" s="45"/>
      <c r="B931" s="45"/>
      <c r="C931" s="311"/>
      <c r="D931" s="45"/>
      <c r="E931" s="45"/>
      <c r="F931" s="313"/>
      <c r="G931" s="313"/>
      <c r="H931" s="313"/>
      <c r="I931" s="313"/>
      <c r="J931" s="313"/>
      <c r="K931" s="313"/>
      <c r="L931" s="313"/>
      <c r="M931" s="313"/>
      <c r="N931" s="313"/>
      <c r="O931" s="313"/>
      <c r="P931" s="313"/>
      <c r="Q931" s="313"/>
      <c r="R931" s="313"/>
      <c r="S931" s="313"/>
      <c r="T931" s="313"/>
      <c r="W931" s="319"/>
    </row>
    <row r="932" spans="1:25" x14ac:dyDescent="0.2">
      <c r="A932" s="45"/>
      <c r="B932" s="425" t="s">
        <v>1045</v>
      </c>
      <c r="C932" s="311"/>
      <c r="D932" s="45"/>
      <c r="E932" s="45"/>
      <c r="F932" s="313"/>
      <c r="G932" s="313"/>
      <c r="H932" s="313"/>
      <c r="I932" s="313"/>
      <c r="J932" s="313"/>
      <c r="K932" s="313"/>
      <c r="L932" s="313"/>
      <c r="M932" s="313"/>
      <c r="N932" s="313"/>
      <c r="O932" s="313"/>
      <c r="P932" s="313"/>
      <c r="Q932" s="313"/>
      <c r="R932" s="313"/>
      <c r="S932" s="313"/>
      <c r="T932" s="313"/>
      <c r="W932" s="319"/>
    </row>
    <row r="933" spans="1:25" x14ac:dyDescent="0.2">
      <c r="A933" s="45"/>
      <c r="B933" s="45"/>
      <c r="C933" s="311"/>
      <c r="D933" s="45"/>
      <c r="E933" s="45"/>
      <c r="F933" s="313"/>
      <c r="G933" s="313"/>
      <c r="H933" s="313"/>
      <c r="I933" s="313"/>
      <c r="J933" s="313"/>
      <c r="K933" s="313"/>
      <c r="L933" s="313"/>
      <c r="M933" s="313"/>
      <c r="N933" s="313"/>
      <c r="O933" s="313"/>
      <c r="P933" s="313"/>
      <c r="Q933" s="313"/>
      <c r="R933" s="313"/>
      <c r="S933" s="313"/>
      <c r="T933" s="313"/>
      <c r="W933" s="319"/>
    </row>
    <row r="934" spans="1:25" x14ac:dyDescent="0.2">
      <c r="A934" s="45"/>
      <c r="B934" s="423" t="s">
        <v>598</v>
      </c>
      <c r="C934" s="45"/>
      <c r="D934" s="45"/>
      <c r="E934" s="45"/>
      <c r="F934" s="313"/>
      <c r="G934" s="313"/>
      <c r="H934" s="313"/>
      <c r="I934" s="313"/>
      <c r="J934" s="313"/>
      <c r="K934" s="313"/>
      <c r="L934" s="313"/>
      <c r="M934" s="313"/>
      <c r="N934" s="313"/>
      <c r="O934" s="313"/>
      <c r="P934" s="313"/>
      <c r="Q934" s="313"/>
      <c r="R934" s="313"/>
      <c r="S934" s="313"/>
      <c r="T934" s="313"/>
      <c r="W934" s="319"/>
    </row>
    <row r="935" spans="1:25" x14ac:dyDescent="0.2">
      <c r="A935" s="312">
        <v>1</v>
      </c>
      <c r="B935" s="315" t="s">
        <v>2043</v>
      </c>
      <c r="C935" s="311"/>
      <c r="D935" s="313">
        <v>681840252</v>
      </c>
      <c r="E935" s="45"/>
      <c r="F935" s="313">
        <v>640474467</v>
      </c>
      <c r="G935" s="313"/>
      <c r="H935" s="313">
        <v>41365784</v>
      </c>
      <c r="I935" s="313"/>
      <c r="J935" s="313">
        <v>0</v>
      </c>
      <c r="K935" s="313">
        <v>0</v>
      </c>
      <c r="L935" s="313">
        <v>0</v>
      </c>
      <c r="M935" s="313"/>
      <c r="N935" s="313"/>
      <c r="O935" s="313"/>
      <c r="P935" s="313"/>
      <c r="Q935" s="313"/>
      <c r="R935" s="313"/>
      <c r="S935" s="313"/>
      <c r="T935" s="313"/>
      <c r="W935" s="319"/>
    </row>
    <row r="936" spans="1:25" x14ac:dyDescent="0.2">
      <c r="A936" s="312">
        <v>2</v>
      </c>
      <c r="B936" s="315" t="s">
        <v>2154</v>
      </c>
      <c r="C936" s="311"/>
      <c r="D936" s="313">
        <v>445420512</v>
      </c>
      <c r="E936" s="45"/>
      <c r="F936" s="313">
        <v>426915076</v>
      </c>
      <c r="G936" s="313"/>
      <c r="H936" s="313">
        <v>18505436</v>
      </c>
      <c r="I936" s="313"/>
      <c r="J936" s="313">
        <v>0</v>
      </c>
      <c r="K936" s="313">
        <v>0</v>
      </c>
      <c r="L936" s="313">
        <v>0</v>
      </c>
      <c r="M936" s="313"/>
      <c r="N936" s="313"/>
      <c r="O936" s="313"/>
      <c r="P936" s="313"/>
      <c r="Q936" s="313"/>
      <c r="R936" s="313"/>
      <c r="S936" s="313"/>
      <c r="T936" s="313"/>
      <c r="W936" s="319"/>
    </row>
    <row r="937" spans="1:25" x14ac:dyDescent="0.2">
      <c r="A937" s="312">
        <v>3</v>
      </c>
      <c r="B937" s="315" t="s">
        <v>2044</v>
      </c>
      <c r="C937" s="311"/>
      <c r="D937" s="313">
        <v>391032442</v>
      </c>
      <c r="E937" s="45"/>
      <c r="F937" s="313">
        <v>382727598</v>
      </c>
      <c r="G937" s="313"/>
      <c r="H937" s="313">
        <v>8304845</v>
      </c>
      <c r="I937" s="313"/>
      <c r="J937" s="313">
        <v>0</v>
      </c>
      <c r="K937" s="313">
        <v>0</v>
      </c>
      <c r="L937" s="313">
        <v>0</v>
      </c>
      <c r="M937" s="313"/>
      <c r="N937" s="313"/>
      <c r="O937" s="313"/>
      <c r="P937" s="313"/>
      <c r="Q937" s="313"/>
      <c r="R937" s="313"/>
      <c r="S937" s="313"/>
      <c r="T937" s="313"/>
      <c r="W937" s="319"/>
    </row>
    <row r="938" spans="1:25" x14ac:dyDescent="0.2">
      <c r="A938" s="312">
        <v>4</v>
      </c>
      <c r="B938" s="315" t="s">
        <v>2045</v>
      </c>
      <c r="C938" s="311"/>
      <c r="D938" s="313">
        <v>13155302</v>
      </c>
      <c r="E938" s="45"/>
      <c r="F938" s="313">
        <v>12736465</v>
      </c>
      <c r="G938" s="313"/>
      <c r="H938" s="313">
        <v>418837</v>
      </c>
      <c r="I938" s="313"/>
      <c r="J938" s="313">
        <v>0</v>
      </c>
      <c r="K938" s="313">
        <v>0</v>
      </c>
      <c r="L938" s="313">
        <v>0</v>
      </c>
      <c r="M938" s="313"/>
      <c r="N938" s="313"/>
      <c r="O938" s="313"/>
      <c r="P938" s="313"/>
      <c r="Q938" s="313"/>
      <c r="R938" s="313"/>
      <c r="S938" s="313"/>
      <c r="T938" s="313"/>
      <c r="W938" s="319"/>
    </row>
    <row r="939" spans="1:25" x14ac:dyDescent="0.2">
      <c r="A939" s="312">
        <v>5</v>
      </c>
      <c r="B939" s="315" t="s">
        <v>2046</v>
      </c>
      <c r="C939" s="311"/>
      <c r="D939" s="313">
        <v>138862829</v>
      </c>
      <c r="E939" s="45"/>
      <c r="F939" s="313">
        <v>131716194</v>
      </c>
      <c r="G939" s="313"/>
      <c r="H939" s="313">
        <v>7146634</v>
      </c>
      <c r="I939" s="313"/>
      <c r="J939" s="313">
        <v>0</v>
      </c>
      <c r="K939" s="313">
        <v>0</v>
      </c>
      <c r="L939" s="313">
        <v>0</v>
      </c>
      <c r="M939" s="313"/>
      <c r="N939" s="313"/>
      <c r="O939" s="313"/>
      <c r="P939" s="313"/>
      <c r="Q939" s="313"/>
      <c r="R939" s="313"/>
      <c r="S939" s="313"/>
      <c r="T939" s="313"/>
      <c r="W939" s="319"/>
    </row>
    <row r="940" spans="1:25" x14ac:dyDescent="0.2">
      <c r="A940" s="312">
        <v>6</v>
      </c>
      <c r="B940" s="315" t="s">
        <v>2047</v>
      </c>
      <c r="C940" s="311"/>
      <c r="D940" s="313">
        <v>23936454</v>
      </c>
      <c r="E940" s="313"/>
      <c r="F940" s="313">
        <v>0</v>
      </c>
      <c r="G940" s="313"/>
      <c r="H940" s="313">
        <v>0</v>
      </c>
      <c r="I940" s="313"/>
      <c r="J940" s="313">
        <v>23936454</v>
      </c>
      <c r="K940" s="313">
        <v>12216381</v>
      </c>
      <c r="L940" s="313">
        <v>11720073</v>
      </c>
      <c r="M940" s="313"/>
      <c r="N940" s="313"/>
      <c r="O940" s="313"/>
      <c r="P940" s="313"/>
      <c r="Q940" s="313"/>
      <c r="R940" s="313"/>
      <c r="S940" s="313"/>
      <c r="T940" s="313"/>
      <c r="W940" s="319"/>
    </row>
    <row r="941" spans="1:25" x14ac:dyDescent="0.2">
      <c r="A941" s="312">
        <v>7</v>
      </c>
      <c r="B941" s="426" t="s">
        <v>2197</v>
      </c>
      <c r="C941" s="424"/>
      <c r="D941" s="313">
        <v>2017</v>
      </c>
      <c r="E941" s="313"/>
      <c r="F941" s="313">
        <v>0</v>
      </c>
      <c r="G941" s="313"/>
      <c r="H941" s="313">
        <v>2017</v>
      </c>
      <c r="I941" s="313"/>
      <c r="J941" s="313">
        <v>0</v>
      </c>
      <c r="K941" s="313">
        <v>0</v>
      </c>
      <c r="L941" s="313">
        <v>0</v>
      </c>
      <c r="M941" s="313"/>
      <c r="N941" s="313"/>
      <c r="O941" s="313">
        <v>2017</v>
      </c>
      <c r="P941" s="313"/>
      <c r="Q941" s="313"/>
      <c r="R941" s="313" t="s">
        <v>2233</v>
      </c>
      <c r="S941" s="313"/>
      <c r="T941" s="313"/>
      <c r="U941" s="319"/>
      <c r="V941" s="319"/>
      <c r="W941" s="354"/>
      <c r="X941" s="319"/>
      <c r="Y941" s="319"/>
    </row>
    <row r="942" spans="1:25" x14ac:dyDescent="0.2">
      <c r="A942" s="45">
        <v>8</v>
      </c>
      <c r="B942" s="426" t="s">
        <v>2048</v>
      </c>
      <c r="C942" s="311"/>
      <c r="D942" s="313"/>
      <c r="E942" s="313"/>
      <c r="F942" s="313"/>
      <c r="G942" s="313"/>
      <c r="H942" s="313"/>
      <c r="I942" s="313"/>
      <c r="J942" s="313"/>
      <c r="K942" s="313"/>
      <c r="L942" s="313"/>
      <c r="M942" s="313"/>
      <c r="N942" s="313"/>
      <c r="O942" s="313"/>
      <c r="P942" s="313"/>
      <c r="Q942" s="313"/>
      <c r="R942" s="313"/>
      <c r="S942" s="313"/>
      <c r="T942" s="313"/>
      <c r="W942" s="319"/>
    </row>
    <row r="943" spans="1:25" x14ac:dyDescent="0.2">
      <c r="A943" s="312">
        <v>9</v>
      </c>
      <c r="B943" s="426" t="s">
        <v>2049</v>
      </c>
      <c r="C943" s="424" t="s">
        <v>1270</v>
      </c>
      <c r="D943" s="313">
        <v>0</v>
      </c>
      <c r="E943" s="313"/>
      <c r="F943" s="313">
        <v>0</v>
      </c>
      <c r="G943" s="313"/>
      <c r="H943" s="313">
        <v>0</v>
      </c>
      <c r="I943" s="313"/>
      <c r="J943" s="313">
        <v>0</v>
      </c>
      <c r="K943" s="313">
        <v>0</v>
      </c>
      <c r="L943" s="313">
        <v>0</v>
      </c>
      <c r="M943" s="313"/>
      <c r="N943" s="313"/>
      <c r="O943" s="313">
        <v>0</v>
      </c>
      <c r="P943" s="313"/>
      <c r="Q943" s="313"/>
      <c r="R943" s="313"/>
      <c r="S943" s="313"/>
      <c r="T943" s="313"/>
      <c r="U943" s="319"/>
      <c r="V943" s="319"/>
      <c r="W943" s="319"/>
      <c r="X943" s="319"/>
      <c r="Y943" s="319"/>
    </row>
    <row r="944" spans="1:25" x14ac:dyDescent="0.2">
      <c r="A944" s="312">
        <v>10</v>
      </c>
      <c r="B944" s="426" t="s">
        <v>2050</v>
      </c>
      <c r="C944" s="424" t="s">
        <v>1378</v>
      </c>
      <c r="D944" s="313">
        <v>12810236</v>
      </c>
      <c r="E944" s="313"/>
      <c r="F944" s="313">
        <v>12065009</v>
      </c>
      <c r="G944" s="313"/>
      <c r="H944" s="313">
        <v>484527</v>
      </c>
      <c r="I944" s="313"/>
      <c r="J944" s="313">
        <v>260700</v>
      </c>
      <c r="K944" s="313">
        <v>133811</v>
      </c>
      <c r="L944" s="313">
        <v>126889</v>
      </c>
      <c r="M944" s="313"/>
      <c r="N944" s="313"/>
      <c r="O944" s="313">
        <v>12810236</v>
      </c>
      <c r="P944" s="313"/>
      <c r="Q944" s="313"/>
      <c r="R944" s="313"/>
      <c r="S944" s="313"/>
      <c r="T944" s="313"/>
      <c r="U944" s="319"/>
      <c r="V944" s="319"/>
      <c r="W944" s="319"/>
      <c r="X944" s="319"/>
      <c r="Y944" s="319"/>
    </row>
    <row r="945" spans="1:29" x14ac:dyDescent="0.2">
      <c r="A945" s="312">
        <v>11</v>
      </c>
      <c r="B945" s="426" t="s">
        <v>2051</v>
      </c>
      <c r="C945" s="311"/>
      <c r="D945" s="313">
        <v>12810236</v>
      </c>
      <c r="E945" s="313"/>
      <c r="F945" s="313">
        <v>12065009</v>
      </c>
      <c r="G945" s="313"/>
      <c r="H945" s="313">
        <v>484527</v>
      </c>
      <c r="I945" s="313"/>
      <c r="J945" s="313">
        <v>260700</v>
      </c>
      <c r="K945" s="313">
        <v>133811</v>
      </c>
      <c r="L945" s="313">
        <v>126889</v>
      </c>
      <c r="M945" s="313"/>
      <c r="N945" s="313"/>
      <c r="O945" s="313"/>
      <c r="P945" s="313"/>
      <c r="Q945" s="313"/>
      <c r="R945" s="313"/>
      <c r="S945" s="313"/>
      <c r="T945" s="313"/>
      <c r="W945" s="319"/>
    </row>
    <row r="946" spans="1:29" x14ac:dyDescent="0.2">
      <c r="A946" s="45"/>
      <c r="B946" s="45"/>
      <c r="C946" s="311"/>
      <c r="D946" s="313"/>
      <c r="E946" s="313"/>
      <c r="F946" s="313"/>
      <c r="G946" s="313"/>
      <c r="H946" s="313"/>
      <c r="I946" s="313"/>
      <c r="J946" s="313"/>
      <c r="K946" s="313"/>
      <c r="L946" s="313"/>
      <c r="M946" s="313"/>
      <c r="N946" s="313"/>
      <c r="O946" s="313"/>
      <c r="P946" s="313"/>
      <c r="Q946" s="313"/>
      <c r="R946" s="313"/>
      <c r="S946" s="313"/>
      <c r="T946" s="313"/>
      <c r="W946" s="319"/>
    </row>
    <row r="947" spans="1:29" x14ac:dyDescent="0.2">
      <c r="A947" s="312">
        <v>12</v>
      </c>
      <c r="B947" s="432" t="s">
        <v>2052</v>
      </c>
      <c r="C947" s="311"/>
      <c r="D947" s="313">
        <v>0</v>
      </c>
      <c r="E947" s="313"/>
      <c r="F947" s="313">
        <v>0</v>
      </c>
      <c r="G947" s="313"/>
      <c r="H947" s="313">
        <v>0</v>
      </c>
      <c r="I947" s="313"/>
      <c r="J947" s="313">
        <v>0</v>
      </c>
      <c r="K947" s="313">
        <v>0</v>
      </c>
      <c r="L947" s="313">
        <v>0</v>
      </c>
      <c r="M947" s="313"/>
      <c r="N947" s="313"/>
      <c r="O947" s="313">
        <v>0</v>
      </c>
      <c r="P947" s="313"/>
      <c r="Q947" s="313"/>
      <c r="R947" s="313"/>
      <c r="S947" s="313"/>
      <c r="T947" s="313"/>
      <c r="W947" s="319"/>
    </row>
    <row r="948" spans="1:29" x14ac:dyDescent="0.2">
      <c r="A948" s="45"/>
      <c r="B948" s="45"/>
      <c r="C948" s="45"/>
      <c r="D948" s="313"/>
      <c r="E948" s="313"/>
      <c r="F948" s="313"/>
      <c r="G948" s="313"/>
      <c r="H948" s="313"/>
      <c r="I948" s="313"/>
      <c r="J948" s="313"/>
      <c r="K948" s="313"/>
      <c r="L948" s="313"/>
      <c r="M948" s="313"/>
      <c r="N948" s="313"/>
      <c r="O948" s="313"/>
      <c r="P948" s="313"/>
      <c r="Q948" s="313"/>
      <c r="R948" s="313"/>
      <c r="S948" s="313"/>
      <c r="T948" s="313"/>
      <c r="W948" s="319"/>
    </row>
    <row r="949" spans="1:29" x14ac:dyDescent="0.2">
      <c r="A949" s="312">
        <v>13</v>
      </c>
      <c r="B949" s="426" t="s">
        <v>2053</v>
      </c>
      <c r="C949" s="45"/>
      <c r="D949" s="313">
        <v>1707060044</v>
      </c>
      <c r="E949" s="313"/>
      <c r="F949" s="313">
        <v>1606634809</v>
      </c>
      <c r="G949" s="313"/>
      <c r="H949" s="313">
        <v>76228081</v>
      </c>
      <c r="I949" s="313"/>
      <c r="J949" s="313">
        <v>24197154</v>
      </c>
      <c r="K949" s="313">
        <v>12350192</v>
      </c>
      <c r="L949" s="313">
        <v>11846962</v>
      </c>
      <c r="M949" s="313"/>
      <c r="N949" s="313"/>
      <c r="O949" s="313"/>
      <c r="P949" s="313"/>
      <c r="Q949" s="313"/>
      <c r="R949" s="313"/>
      <c r="S949" s="313"/>
      <c r="T949" s="313"/>
      <c r="W949" s="319"/>
    </row>
    <row r="950" spans="1:29" x14ac:dyDescent="0.2">
      <c r="A950" s="45"/>
      <c r="B950" s="45"/>
      <c r="C950" s="45"/>
      <c r="D950" s="313"/>
      <c r="E950" s="313"/>
      <c r="F950" s="313"/>
      <c r="G950" s="313"/>
      <c r="H950" s="313"/>
      <c r="I950" s="313"/>
      <c r="J950" s="313"/>
      <c r="K950" s="313"/>
      <c r="L950" s="313"/>
      <c r="M950" s="313"/>
      <c r="N950" s="313"/>
      <c r="O950" s="313"/>
      <c r="P950" s="313"/>
      <c r="Q950" s="313"/>
      <c r="R950" s="313"/>
      <c r="S950" s="313"/>
      <c r="T950" s="313"/>
      <c r="W950" s="319"/>
    </row>
    <row r="951" spans="1:29" x14ac:dyDescent="0.2">
      <c r="A951" s="45"/>
      <c r="B951" s="423" t="s">
        <v>599</v>
      </c>
      <c r="C951" s="311"/>
      <c r="D951" s="313"/>
      <c r="E951" s="313"/>
      <c r="F951" s="313"/>
      <c r="G951" s="313"/>
      <c r="H951" s="313"/>
      <c r="I951" s="313"/>
      <c r="J951" s="313"/>
      <c r="K951" s="313"/>
      <c r="L951" s="313"/>
      <c r="M951" s="313"/>
      <c r="N951" s="313"/>
      <c r="O951" s="313"/>
      <c r="P951" s="313"/>
      <c r="Q951" s="313"/>
      <c r="R951" s="313"/>
      <c r="S951" s="313"/>
      <c r="T951" s="313"/>
      <c r="W951" s="319"/>
    </row>
    <row r="952" spans="1:29" x14ac:dyDescent="0.2">
      <c r="A952" s="312">
        <v>14</v>
      </c>
      <c r="B952" s="426" t="s">
        <v>2054</v>
      </c>
      <c r="C952" s="427" t="s">
        <v>1915</v>
      </c>
      <c r="D952" s="313">
        <v>4034269</v>
      </c>
      <c r="E952" s="313"/>
      <c r="F952" s="313">
        <v>3870654</v>
      </c>
      <c r="G952" s="313"/>
      <c r="H952" s="313">
        <v>163361</v>
      </c>
      <c r="I952" s="313"/>
      <c r="J952" s="313">
        <v>254</v>
      </c>
      <c r="K952" s="313">
        <v>254</v>
      </c>
      <c r="L952" s="313">
        <v>0</v>
      </c>
      <c r="M952" s="313"/>
      <c r="N952" s="313"/>
      <c r="O952" s="313">
        <v>4034269</v>
      </c>
      <c r="P952" s="313"/>
      <c r="Q952" s="313"/>
      <c r="R952" s="313"/>
      <c r="S952" s="313"/>
      <c r="T952" s="313"/>
      <c r="U952" s="319"/>
      <c r="V952" s="319"/>
      <c r="W952" s="319"/>
      <c r="X952" s="319"/>
      <c r="Y952" s="319"/>
    </row>
    <row r="953" spans="1:29" x14ac:dyDescent="0.2">
      <c r="A953" s="312">
        <v>15</v>
      </c>
      <c r="B953" s="426" t="s">
        <v>2055</v>
      </c>
      <c r="C953" s="427" t="s">
        <v>1905</v>
      </c>
      <c r="D953" s="313">
        <v>2174944</v>
      </c>
      <c r="E953" s="313"/>
      <c r="F953" s="313">
        <v>2104204</v>
      </c>
      <c r="G953" s="313"/>
      <c r="H953" s="313">
        <v>70740</v>
      </c>
      <c r="I953" s="313"/>
      <c r="J953" s="313">
        <v>0</v>
      </c>
      <c r="K953" s="313">
        <v>0</v>
      </c>
      <c r="L953" s="313">
        <v>0</v>
      </c>
      <c r="M953" s="313"/>
      <c r="N953" s="313"/>
      <c r="O953" s="313">
        <v>2174944</v>
      </c>
      <c r="P953" s="313"/>
      <c r="Q953" s="313"/>
      <c r="R953" s="313"/>
      <c r="S953" s="313"/>
      <c r="T953" s="313"/>
      <c r="U953" s="319"/>
      <c r="V953" s="319"/>
      <c r="W953" s="319"/>
      <c r="X953" s="319"/>
      <c r="Y953" s="319"/>
    </row>
    <row r="954" spans="1:29" x14ac:dyDescent="0.2">
      <c r="A954" s="312">
        <v>16</v>
      </c>
      <c r="B954" s="426" t="s">
        <v>2056</v>
      </c>
      <c r="C954" s="427" t="s">
        <v>1907</v>
      </c>
      <c r="D954" s="313">
        <v>94079</v>
      </c>
      <c r="E954" s="313"/>
      <c r="F954" s="313">
        <v>93979</v>
      </c>
      <c r="G954" s="313"/>
      <c r="H954" s="313">
        <v>100</v>
      </c>
      <c r="I954" s="313"/>
      <c r="J954" s="313">
        <v>0</v>
      </c>
      <c r="K954" s="313">
        <v>0</v>
      </c>
      <c r="L954" s="313">
        <v>0</v>
      </c>
      <c r="M954" s="313"/>
      <c r="N954" s="313"/>
      <c r="O954" s="313">
        <v>94079</v>
      </c>
      <c r="P954" s="313"/>
      <c r="Q954" s="313"/>
      <c r="R954" s="313"/>
      <c r="S954" s="313"/>
      <c r="T954" s="313"/>
      <c r="Z954" s="319"/>
      <c r="AA954" s="316"/>
    </row>
    <row r="955" spans="1:29" x14ac:dyDescent="0.2">
      <c r="A955" s="312">
        <v>17</v>
      </c>
      <c r="B955" s="426" t="s">
        <v>2057</v>
      </c>
      <c r="C955" s="427" t="s">
        <v>1899</v>
      </c>
      <c r="D955" s="313">
        <v>3953481</v>
      </c>
      <c r="E955" s="313"/>
      <c r="F955" s="313">
        <v>2942175</v>
      </c>
      <c r="G955" s="313"/>
      <c r="H955" s="313">
        <v>789058</v>
      </c>
      <c r="I955" s="313"/>
      <c r="J955" s="313">
        <v>222248</v>
      </c>
      <c r="K955" s="313">
        <v>222248</v>
      </c>
      <c r="L955" s="313">
        <v>0</v>
      </c>
      <c r="M955" s="313"/>
      <c r="N955" s="313"/>
      <c r="O955" s="313">
        <v>3953481</v>
      </c>
      <c r="P955" s="313"/>
      <c r="Q955" s="313"/>
      <c r="R955" s="313"/>
      <c r="S955" s="313"/>
      <c r="T955" s="313"/>
    </row>
    <row r="956" spans="1:29" x14ac:dyDescent="0.2">
      <c r="A956" s="312">
        <v>18</v>
      </c>
      <c r="B956" s="426" t="s">
        <v>2285</v>
      </c>
      <c r="C956" s="427" t="s">
        <v>1919</v>
      </c>
      <c r="D956" s="313">
        <v>5191</v>
      </c>
      <c r="E956" s="313"/>
      <c r="F956" s="313">
        <v>5191</v>
      </c>
      <c r="G956" s="313"/>
      <c r="H956" s="313">
        <v>0</v>
      </c>
      <c r="I956" s="313"/>
      <c r="J956" s="313">
        <v>0</v>
      </c>
      <c r="K956" s="313">
        <v>0</v>
      </c>
      <c r="L956" s="313">
        <v>0</v>
      </c>
      <c r="M956" s="313"/>
      <c r="N956" s="313"/>
      <c r="O956" s="313">
        <v>5191</v>
      </c>
      <c r="P956" s="313"/>
      <c r="Q956" s="313" t="s">
        <v>2286</v>
      </c>
      <c r="R956" s="313" t="s">
        <v>2287</v>
      </c>
      <c r="S956" s="313" t="s">
        <v>2224</v>
      </c>
      <c r="T956" s="313" t="s">
        <v>1258</v>
      </c>
      <c r="U956" s="53" t="s">
        <v>1259</v>
      </c>
    </row>
    <row r="957" spans="1:29" x14ac:dyDescent="0.2">
      <c r="A957" s="312">
        <v>19</v>
      </c>
      <c r="B957" s="426" t="s">
        <v>2288</v>
      </c>
      <c r="C957" s="427" t="s">
        <v>2065</v>
      </c>
      <c r="D957" s="313">
        <v>67110</v>
      </c>
      <c r="E957" s="313"/>
      <c r="F957" s="313">
        <v>0</v>
      </c>
      <c r="G957" s="313"/>
      <c r="H957" s="313">
        <v>45234</v>
      </c>
      <c r="I957" s="313"/>
      <c r="J957" s="313">
        <v>21876</v>
      </c>
      <c r="K957" s="313">
        <v>11165</v>
      </c>
      <c r="L957" s="313">
        <v>10711</v>
      </c>
      <c r="M957" s="313"/>
      <c r="N957" s="313"/>
      <c r="O957" s="313">
        <v>67110</v>
      </c>
      <c r="P957" s="313" t="s">
        <v>2289</v>
      </c>
      <c r="Q957" s="313">
        <v>0</v>
      </c>
      <c r="R957" s="313">
        <v>45234</v>
      </c>
      <c r="S957" s="313">
        <v>21876</v>
      </c>
      <c r="T957" s="313">
        <v>11165</v>
      </c>
      <c r="U957" s="494">
        <v>10711</v>
      </c>
      <c r="V957" s="319" t="s">
        <v>2226</v>
      </c>
      <c r="W957" s="319"/>
      <c r="X957" s="319"/>
      <c r="AA957" s="53" t="s">
        <v>2226</v>
      </c>
    </row>
    <row r="958" spans="1:29" x14ac:dyDescent="0.2">
      <c r="A958" s="312">
        <v>20</v>
      </c>
      <c r="B958" s="426" t="s">
        <v>2059</v>
      </c>
      <c r="C958" s="427" t="s">
        <v>1850</v>
      </c>
      <c r="D958" s="313">
        <v>27763848</v>
      </c>
      <c r="E958" s="313"/>
      <c r="F958" s="313">
        <v>26560959</v>
      </c>
      <c r="G958" s="313"/>
      <c r="H958" s="313">
        <v>1202889</v>
      </c>
      <c r="I958" s="313"/>
      <c r="J958" s="313">
        <v>0</v>
      </c>
      <c r="K958" s="313">
        <v>0</v>
      </c>
      <c r="L958" s="313">
        <v>0</v>
      </c>
      <c r="M958" s="313"/>
      <c r="N958" s="313"/>
      <c r="O958" s="313">
        <v>27763848</v>
      </c>
      <c r="P958" s="313"/>
      <c r="Q958" s="313"/>
      <c r="R958" s="313"/>
      <c r="S958" s="313"/>
      <c r="T958" s="313"/>
      <c r="U958" s="319"/>
      <c r="V958" s="319"/>
      <c r="W958" s="354"/>
      <c r="X958" s="319"/>
      <c r="Y958" s="326"/>
      <c r="AA958" s="326"/>
      <c r="AB958" s="326"/>
      <c r="AC958" s="326"/>
    </row>
    <row r="959" spans="1:29" x14ac:dyDescent="0.2">
      <c r="A959" s="312">
        <v>21</v>
      </c>
      <c r="B959" s="426" t="s">
        <v>2155</v>
      </c>
      <c r="C959" s="427" t="s">
        <v>1283</v>
      </c>
      <c r="D959" s="313">
        <v>1515173</v>
      </c>
      <c r="E959" s="313"/>
      <c r="F959" s="313">
        <v>1421404</v>
      </c>
      <c r="G959" s="313"/>
      <c r="H959" s="313">
        <v>64372</v>
      </c>
      <c r="I959" s="313"/>
      <c r="J959" s="313">
        <v>29397</v>
      </c>
      <c r="K959" s="313">
        <v>14912</v>
      </c>
      <c r="L959" s="313">
        <v>14485</v>
      </c>
      <c r="M959" s="313"/>
      <c r="N959" s="313"/>
      <c r="O959" s="313">
        <v>1515173</v>
      </c>
      <c r="P959" s="313"/>
      <c r="Q959" s="313"/>
      <c r="R959" s="313"/>
      <c r="S959" s="313"/>
      <c r="T959" s="313"/>
      <c r="U959" s="319"/>
      <c r="V959" s="319"/>
      <c r="W959" s="354"/>
      <c r="X959" s="319"/>
      <c r="Y959" s="326"/>
      <c r="AA959" s="326"/>
      <c r="AB959" s="326"/>
      <c r="AC959" s="326"/>
    </row>
    <row r="960" spans="1:29" x14ac:dyDescent="0.2">
      <c r="A960" s="312">
        <v>22</v>
      </c>
      <c r="B960" s="426" t="s">
        <v>2060</v>
      </c>
      <c r="C960" s="427" t="s">
        <v>1919</v>
      </c>
      <c r="D960" s="313">
        <v>600</v>
      </c>
      <c r="E960" s="313"/>
      <c r="F960" s="313">
        <v>600</v>
      </c>
      <c r="G960" s="313"/>
      <c r="H960" s="313">
        <v>0</v>
      </c>
      <c r="I960" s="313"/>
      <c r="J960" s="313">
        <v>0</v>
      </c>
      <c r="K960" s="313">
        <v>0</v>
      </c>
      <c r="L960" s="313">
        <v>0</v>
      </c>
      <c r="M960" s="313"/>
      <c r="N960" s="313"/>
      <c r="O960" s="313">
        <v>600</v>
      </c>
      <c r="P960" s="313"/>
      <c r="Q960" s="313"/>
      <c r="R960" s="313"/>
      <c r="S960" s="313"/>
      <c r="T960" s="313"/>
      <c r="U960" s="319"/>
      <c r="V960" s="319"/>
      <c r="W960" s="319"/>
      <c r="X960" s="319"/>
      <c r="Y960" s="319"/>
    </row>
    <row r="961" spans="1:35" x14ac:dyDescent="0.2">
      <c r="A961" s="312">
        <v>23</v>
      </c>
      <c r="B961" s="426" t="s">
        <v>2504</v>
      </c>
      <c r="C961" s="427" t="s">
        <v>1378</v>
      </c>
      <c r="D961" s="313">
        <v>96075</v>
      </c>
      <c r="E961" s="313"/>
      <c r="F961" s="313">
        <v>90486</v>
      </c>
      <c r="G961" s="313"/>
      <c r="H961" s="313">
        <v>3634</v>
      </c>
      <c r="I961" s="313"/>
      <c r="J961" s="313">
        <v>1955</v>
      </c>
      <c r="K961" s="313">
        <v>1004</v>
      </c>
      <c r="L961" s="313">
        <v>952</v>
      </c>
      <c r="M961" s="313"/>
      <c r="N961" s="313"/>
      <c r="O961" s="313">
        <v>96075</v>
      </c>
      <c r="P961" s="313"/>
      <c r="Q961" s="313"/>
      <c r="R961" s="313"/>
      <c r="S961" s="313"/>
      <c r="T961" s="313"/>
      <c r="U961" s="319"/>
      <c r="V961" s="319"/>
      <c r="W961" s="319"/>
      <c r="X961" s="319"/>
      <c r="Y961" s="319"/>
    </row>
    <row r="962" spans="1:35" x14ac:dyDescent="0.2">
      <c r="A962" s="312">
        <v>24</v>
      </c>
      <c r="B962" s="426" t="s">
        <v>2061</v>
      </c>
      <c r="C962" s="427" t="s">
        <v>1909</v>
      </c>
      <c r="D962" s="313">
        <v>68898</v>
      </c>
      <c r="E962" s="313"/>
      <c r="F962" s="313">
        <v>61024</v>
      </c>
      <c r="G962" s="313"/>
      <c r="H962" s="313">
        <v>7874</v>
      </c>
      <c r="I962" s="313"/>
      <c r="J962" s="313">
        <v>0</v>
      </c>
      <c r="K962" s="313">
        <v>0</v>
      </c>
      <c r="L962" s="313">
        <v>0</v>
      </c>
      <c r="M962" s="313"/>
      <c r="N962" s="313"/>
      <c r="O962" s="313">
        <v>68898</v>
      </c>
      <c r="P962" s="313"/>
      <c r="Q962" s="313"/>
      <c r="R962" s="313"/>
      <c r="S962" s="313"/>
      <c r="T962" s="313"/>
      <c r="U962" s="319"/>
      <c r="V962" s="319"/>
      <c r="W962" s="319"/>
      <c r="X962" s="319"/>
      <c r="Y962" s="319"/>
    </row>
    <row r="963" spans="1:35" x14ac:dyDescent="0.2">
      <c r="A963" s="312">
        <v>25</v>
      </c>
      <c r="B963" s="426" t="s">
        <v>2062</v>
      </c>
      <c r="C963" s="427" t="s">
        <v>1903</v>
      </c>
      <c r="D963" s="313">
        <v>166699</v>
      </c>
      <c r="E963" s="313"/>
      <c r="F963" s="313">
        <v>166699</v>
      </c>
      <c r="G963" s="313"/>
      <c r="H963" s="313">
        <v>0</v>
      </c>
      <c r="I963" s="313"/>
      <c r="J963" s="313">
        <v>0</v>
      </c>
      <c r="K963" s="313">
        <v>0</v>
      </c>
      <c r="L963" s="313">
        <v>0</v>
      </c>
      <c r="M963" s="313"/>
      <c r="N963" s="313"/>
      <c r="O963" s="313">
        <v>166699</v>
      </c>
      <c r="P963" s="313"/>
      <c r="Q963" s="313"/>
      <c r="R963" s="313"/>
      <c r="S963" s="313"/>
      <c r="T963" s="313"/>
      <c r="U963" s="319"/>
      <c r="V963" s="319"/>
      <c r="W963" s="319"/>
      <c r="X963" s="319"/>
      <c r="Y963" s="319"/>
    </row>
    <row r="964" spans="1:35" x14ac:dyDescent="0.2">
      <c r="A964" s="312">
        <v>26</v>
      </c>
      <c r="B964" s="426" t="s">
        <v>2063</v>
      </c>
      <c r="C964" s="427" t="s">
        <v>1901</v>
      </c>
      <c r="D964" s="313">
        <v>32026</v>
      </c>
      <c r="E964" s="313"/>
      <c r="F964" s="313">
        <v>30874</v>
      </c>
      <c r="G964" s="313"/>
      <c r="H964" s="313">
        <v>1152</v>
      </c>
      <c r="I964" s="313"/>
      <c r="J964" s="313">
        <v>0</v>
      </c>
      <c r="K964" s="313">
        <v>0</v>
      </c>
      <c r="L964" s="313">
        <v>0</v>
      </c>
      <c r="M964" s="313"/>
      <c r="N964" s="313"/>
      <c r="O964" s="313">
        <v>32026</v>
      </c>
      <c r="P964" s="313"/>
      <c r="Q964" s="313" t="s">
        <v>2286</v>
      </c>
      <c r="R964" s="313" t="s">
        <v>2287</v>
      </c>
      <c r="S964" s="313" t="s">
        <v>2224</v>
      </c>
      <c r="T964" s="313" t="s">
        <v>1258</v>
      </c>
      <c r="U964" s="319" t="s">
        <v>1259</v>
      </c>
      <c r="V964" s="319"/>
      <c r="W964" s="319"/>
      <c r="X964" s="319"/>
      <c r="AA964" s="316"/>
    </row>
    <row r="965" spans="1:35" x14ac:dyDescent="0.2">
      <c r="A965" s="312">
        <v>27</v>
      </c>
      <c r="B965" s="426" t="s">
        <v>2290</v>
      </c>
      <c r="C965" s="427" t="s">
        <v>2065</v>
      </c>
      <c r="D965" s="313">
        <v>735</v>
      </c>
      <c r="E965" s="313"/>
      <c r="F965" s="313">
        <v>0</v>
      </c>
      <c r="G965" s="313"/>
      <c r="H965" s="313">
        <v>735</v>
      </c>
      <c r="I965" s="313"/>
      <c r="J965" s="313">
        <v>0</v>
      </c>
      <c r="K965" s="313">
        <v>0</v>
      </c>
      <c r="L965" s="313">
        <v>0</v>
      </c>
      <c r="M965" s="313"/>
      <c r="N965" s="313"/>
      <c r="O965" s="313">
        <v>735</v>
      </c>
      <c r="P965" s="313" t="s">
        <v>2291</v>
      </c>
      <c r="Q965" s="313">
        <v>0</v>
      </c>
      <c r="R965" s="313">
        <v>735</v>
      </c>
      <c r="S965" s="313">
        <v>0</v>
      </c>
      <c r="T965" s="313">
        <v>0</v>
      </c>
      <c r="U965" s="53">
        <v>0</v>
      </c>
      <c r="V965" s="53" t="s">
        <v>2226</v>
      </c>
      <c r="AA965" s="53" t="s">
        <v>2226</v>
      </c>
    </row>
    <row r="966" spans="1:35" x14ac:dyDescent="0.2">
      <c r="A966" s="312">
        <v>28</v>
      </c>
      <c r="B966" s="423" t="s">
        <v>600</v>
      </c>
      <c r="C966" s="311"/>
      <c r="D966" s="313">
        <v>39973126</v>
      </c>
      <c r="E966" s="313"/>
      <c r="F966" s="313">
        <v>37348247</v>
      </c>
      <c r="G966" s="313"/>
      <c r="H966" s="313">
        <v>2349148</v>
      </c>
      <c r="I966" s="313"/>
      <c r="J966" s="313">
        <v>275731</v>
      </c>
      <c r="K966" s="313">
        <v>249583</v>
      </c>
      <c r="L966" s="313">
        <v>26148</v>
      </c>
      <c r="M966" s="313"/>
      <c r="N966" s="313"/>
      <c r="O966" s="313"/>
      <c r="P966" s="313"/>
      <c r="Q966" s="313"/>
      <c r="R966" s="313"/>
      <c r="S966" s="313"/>
      <c r="T966" s="313"/>
      <c r="U966" s="317"/>
      <c r="V966" s="319"/>
      <c r="W966" s="319"/>
      <c r="X966" s="319"/>
    </row>
    <row r="967" spans="1:35" x14ac:dyDescent="0.2">
      <c r="A967" s="45"/>
      <c r="B967" s="45"/>
      <c r="C967" s="311"/>
      <c r="D967" s="313"/>
      <c r="E967" s="313"/>
      <c r="F967" s="313"/>
      <c r="G967" s="313"/>
      <c r="H967" s="313"/>
      <c r="I967" s="313"/>
      <c r="J967" s="313"/>
      <c r="K967" s="313"/>
      <c r="L967" s="313"/>
      <c r="M967" s="313"/>
      <c r="N967" s="313"/>
      <c r="O967" s="313"/>
      <c r="P967" s="313"/>
      <c r="Q967" s="313"/>
      <c r="R967" s="313" t="s">
        <v>2234</v>
      </c>
      <c r="S967" s="313"/>
      <c r="T967" s="313"/>
      <c r="U967" s="319"/>
      <c r="W967" s="319"/>
    </row>
    <row r="968" spans="1:35" x14ac:dyDescent="0.2">
      <c r="A968" s="312">
        <v>29</v>
      </c>
      <c r="B968" s="423" t="s">
        <v>601</v>
      </c>
      <c r="C968" s="311"/>
      <c r="D968" s="313">
        <v>1747033170</v>
      </c>
      <c r="E968" s="313"/>
      <c r="F968" s="313">
        <v>1643983057</v>
      </c>
      <c r="G968" s="313"/>
      <c r="H968" s="313">
        <v>78577229</v>
      </c>
      <c r="I968" s="313"/>
      <c r="J968" s="313">
        <v>24472885</v>
      </c>
      <c r="K968" s="313">
        <v>12599774</v>
      </c>
      <c r="L968" s="313">
        <v>11873111</v>
      </c>
      <c r="M968" s="313"/>
      <c r="N968" s="313"/>
      <c r="O968" s="313"/>
      <c r="P968" s="313"/>
      <c r="Q968" s="313"/>
      <c r="R968" s="313">
        <v>1613578451</v>
      </c>
      <c r="S968" s="313">
        <v>133454719</v>
      </c>
      <c r="T968" s="313"/>
      <c r="W968" s="326"/>
    </row>
    <row r="969" spans="1:35" x14ac:dyDescent="0.2">
      <c r="A969" s="45"/>
      <c r="B969" s="45"/>
      <c r="C969" s="311"/>
      <c r="D969" s="313"/>
      <c r="E969" s="313"/>
      <c r="F969" s="313"/>
      <c r="G969" s="313"/>
      <c r="H969" s="313"/>
      <c r="I969" s="313"/>
      <c r="J969" s="313"/>
      <c r="K969" s="313"/>
      <c r="L969" s="313"/>
      <c r="M969" s="313"/>
      <c r="N969" s="313"/>
      <c r="O969" s="313"/>
      <c r="P969" s="313"/>
      <c r="Q969" s="313"/>
      <c r="R969" s="313"/>
      <c r="S969" s="313"/>
      <c r="T969" s="313"/>
      <c r="X969" s="329"/>
    </row>
    <row r="970" spans="1:35" x14ac:dyDescent="0.2">
      <c r="A970" s="45"/>
      <c r="B970" s="45"/>
      <c r="C970" s="311"/>
      <c r="D970" s="313"/>
      <c r="E970" s="313"/>
      <c r="F970" s="313"/>
      <c r="G970" s="313"/>
      <c r="H970" s="313"/>
      <c r="I970" s="313"/>
      <c r="J970" s="313"/>
      <c r="K970" s="313"/>
      <c r="L970" s="313"/>
      <c r="M970" s="313"/>
      <c r="N970" s="313"/>
      <c r="O970" s="313"/>
      <c r="P970" s="313"/>
      <c r="Q970" s="313"/>
      <c r="R970" s="313"/>
      <c r="S970" s="313"/>
      <c r="T970" s="313"/>
      <c r="W970" s="319"/>
    </row>
    <row r="971" spans="1:35" x14ac:dyDescent="0.2">
      <c r="A971" s="45"/>
      <c r="B971" s="425" t="s">
        <v>602</v>
      </c>
      <c r="C971" s="311"/>
      <c r="D971" s="313"/>
      <c r="E971" s="313"/>
      <c r="F971" s="313"/>
      <c r="G971" s="313"/>
      <c r="H971" s="313"/>
      <c r="I971" s="313"/>
      <c r="J971" s="313"/>
      <c r="K971" s="313"/>
      <c r="L971" s="313"/>
      <c r="M971" s="313"/>
      <c r="N971" s="313"/>
      <c r="O971" s="313"/>
      <c r="P971" s="313"/>
      <c r="Q971" s="313"/>
      <c r="R971" s="313"/>
      <c r="S971" s="313"/>
      <c r="T971" s="313"/>
      <c r="W971" s="319"/>
    </row>
    <row r="972" spans="1:35" x14ac:dyDescent="0.2">
      <c r="A972" s="45"/>
      <c r="B972" s="45"/>
      <c r="C972" s="311"/>
      <c r="D972" s="313"/>
      <c r="E972" s="313"/>
      <c r="F972" s="313"/>
      <c r="G972" s="313"/>
      <c r="H972" s="313"/>
      <c r="I972" s="313"/>
      <c r="J972" s="313"/>
      <c r="K972" s="313"/>
      <c r="L972" s="313"/>
      <c r="M972" s="313"/>
      <c r="N972" s="313"/>
      <c r="O972" s="313"/>
      <c r="P972" s="313"/>
      <c r="Q972" s="313"/>
      <c r="R972" s="313"/>
      <c r="S972" s="313"/>
      <c r="T972" s="313"/>
      <c r="W972" s="319"/>
      <c r="Y972" s="53" t="s">
        <v>2292</v>
      </c>
      <c r="Z972" s="53" t="s">
        <v>2293</v>
      </c>
      <c r="AD972" s="53" t="s">
        <v>2292</v>
      </c>
      <c r="AE972" s="53" t="s">
        <v>2293</v>
      </c>
    </row>
    <row r="973" spans="1:35" x14ac:dyDescent="0.2">
      <c r="A973" s="45"/>
      <c r="B973" s="423" t="s">
        <v>603</v>
      </c>
      <c r="C973" s="311"/>
      <c r="D973" s="313"/>
      <c r="E973" s="313"/>
      <c r="F973" s="313"/>
      <c r="G973" s="313"/>
      <c r="H973" s="313"/>
      <c r="I973" s="313"/>
      <c r="J973" s="313"/>
      <c r="K973" s="313"/>
      <c r="L973" s="313"/>
      <c r="M973" s="313"/>
      <c r="N973" s="313"/>
      <c r="O973" s="313"/>
      <c r="P973" s="313"/>
      <c r="Q973" s="313"/>
      <c r="R973" s="313"/>
      <c r="S973" s="313"/>
      <c r="T973" s="313"/>
      <c r="W973" s="319"/>
      <c r="Y973" s="53" t="s">
        <v>2286</v>
      </c>
      <c r="Z973" s="53" t="s">
        <v>2287</v>
      </c>
      <c r="AD973" s="53" t="s">
        <v>2286</v>
      </c>
      <c r="AE973" s="317" t="s">
        <v>2287</v>
      </c>
      <c r="AF973" s="53" t="s">
        <v>1254</v>
      </c>
      <c r="AG973" s="53" t="s">
        <v>1254</v>
      </c>
      <c r="AH973" s="53" t="s">
        <v>1254</v>
      </c>
    </row>
    <row r="974" spans="1:35" x14ac:dyDescent="0.2">
      <c r="A974" s="312">
        <v>1</v>
      </c>
      <c r="B974" s="423" t="s">
        <v>604</v>
      </c>
      <c r="C974" s="424" t="s">
        <v>1356</v>
      </c>
      <c r="D974" s="313">
        <v>5781070</v>
      </c>
      <c r="E974" s="313"/>
      <c r="F974" s="313">
        <v>5418923</v>
      </c>
      <c r="G974" s="313"/>
      <c r="H974" s="313">
        <v>247667</v>
      </c>
      <c r="I974" s="313"/>
      <c r="J974" s="313">
        <v>114480</v>
      </c>
      <c r="K974" s="313">
        <v>58071</v>
      </c>
      <c r="L974" s="313">
        <v>56409</v>
      </c>
      <c r="M974" s="313"/>
      <c r="N974" s="313"/>
      <c r="O974" s="313">
        <v>5781070</v>
      </c>
      <c r="P974" s="313">
        <v>500</v>
      </c>
      <c r="Q974" s="313"/>
      <c r="R974" s="313">
        <v>5781070</v>
      </c>
      <c r="S974" s="313" t="s">
        <v>2565</v>
      </c>
      <c r="T974" s="313"/>
      <c r="W974" s="319"/>
      <c r="X974" s="53">
        <v>0</v>
      </c>
      <c r="AC974" s="53">
        <v>0</v>
      </c>
      <c r="AD974" s="328"/>
      <c r="AE974" s="328"/>
      <c r="AF974" s="328"/>
      <c r="AG974" s="53" t="s">
        <v>1258</v>
      </c>
      <c r="AH974" s="53" t="s">
        <v>1259</v>
      </c>
    </row>
    <row r="975" spans="1:35" x14ac:dyDescent="0.2">
      <c r="A975" s="312">
        <v>2</v>
      </c>
      <c r="B975" s="423" t="s">
        <v>605</v>
      </c>
      <c r="C975" s="424" t="s">
        <v>1378</v>
      </c>
      <c r="D975" s="313">
        <v>291334053</v>
      </c>
      <c r="E975" s="313"/>
      <c r="F975" s="313">
        <v>274405487</v>
      </c>
      <c r="G975" s="313"/>
      <c r="H975" s="313">
        <v>11008719</v>
      </c>
      <c r="I975" s="313"/>
      <c r="J975" s="313">
        <v>5919847</v>
      </c>
      <c r="K975" s="313">
        <v>3038531</v>
      </c>
      <c r="L975" s="313">
        <v>2881316</v>
      </c>
      <c r="M975" s="313"/>
      <c r="N975" s="313"/>
      <c r="O975" s="313">
        <v>291354853</v>
      </c>
      <c r="P975" s="313">
        <v>501</v>
      </c>
      <c r="Q975" s="313"/>
      <c r="R975" s="313">
        <v>291334053</v>
      </c>
      <c r="S975" s="313">
        <v>-20800.580000000002</v>
      </c>
      <c r="T975" s="313"/>
      <c r="U975" s="319"/>
      <c r="V975" s="319"/>
      <c r="W975" s="319"/>
      <c r="X975" s="330">
        <v>0</v>
      </c>
      <c r="Y975" s="331">
        <v>0</v>
      </c>
      <c r="Z975" s="495">
        <v>-11308</v>
      </c>
      <c r="AC975" s="53">
        <v>1.6687408788129687E-8</v>
      </c>
      <c r="AD975" s="53">
        <v>0</v>
      </c>
      <c r="AE975" s="53">
        <v>-11308.41</v>
      </c>
      <c r="AF975" s="53">
        <v>-9492.1699999999983</v>
      </c>
      <c r="AG975" s="53">
        <v>-4844.4922255643387</v>
      </c>
      <c r="AH975" s="53">
        <v>-4647.6777744356586</v>
      </c>
      <c r="AI975" s="53" t="s">
        <v>2226</v>
      </c>
    </row>
    <row r="976" spans="1:35" x14ac:dyDescent="0.2">
      <c r="A976" s="312">
        <v>3</v>
      </c>
      <c r="B976" s="423" t="s">
        <v>2198</v>
      </c>
      <c r="C976" s="424" t="s">
        <v>1356</v>
      </c>
      <c r="D976" s="313">
        <v>23067669</v>
      </c>
      <c r="E976" s="313"/>
      <c r="F976" s="313">
        <v>21622628</v>
      </c>
      <c r="G976" s="313"/>
      <c r="H976" s="313">
        <v>988242</v>
      </c>
      <c r="I976" s="313"/>
      <c r="J976" s="313">
        <v>456799</v>
      </c>
      <c r="K976" s="313">
        <v>231714</v>
      </c>
      <c r="L976" s="313">
        <v>225085</v>
      </c>
      <c r="M976" s="313"/>
      <c r="N976" s="313"/>
      <c r="O976" s="313">
        <v>23067669</v>
      </c>
      <c r="P976" s="313">
        <v>502</v>
      </c>
      <c r="Q976" s="313"/>
      <c r="R976" s="313">
        <v>23067669</v>
      </c>
      <c r="S976" s="313" t="s">
        <v>2565</v>
      </c>
      <c r="T976" s="313"/>
      <c r="U976" s="319"/>
      <c r="V976" s="319"/>
      <c r="W976" s="319"/>
      <c r="X976" s="330">
        <v>0</v>
      </c>
      <c r="Y976" s="331"/>
      <c r="Z976" s="319"/>
      <c r="AC976" s="53">
        <v>0</v>
      </c>
    </row>
    <row r="977" spans="1:34" x14ac:dyDescent="0.2">
      <c r="A977" s="312">
        <v>4</v>
      </c>
      <c r="B977" s="423" t="s">
        <v>2199</v>
      </c>
      <c r="C977" s="424" t="s">
        <v>1356</v>
      </c>
      <c r="D977" s="313">
        <v>0</v>
      </c>
      <c r="E977" s="313"/>
      <c r="F977" s="313">
        <v>0</v>
      </c>
      <c r="G977" s="313"/>
      <c r="H977" s="313">
        <v>0</v>
      </c>
      <c r="I977" s="313"/>
      <c r="J977" s="313">
        <v>0</v>
      </c>
      <c r="K977" s="313">
        <v>0</v>
      </c>
      <c r="L977" s="313">
        <v>0</v>
      </c>
      <c r="M977" s="313"/>
      <c r="N977" s="313"/>
      <c r="O977" s="313">
        <v>0</v>
      </c>
      <c r="P977" s="313">
        <v>504</v>
      </c>
      <c r="Q977" s="313"/>
      <c r="R977" s="313">
        <v>0</v>
      </c>
      <c r="S977" s="313" t="s">
        <v>2565</v>
      </c>
      <c r="T977" s="313"/>
      <c r="U977" s="319"/>
      <c r="V977" s="319"/>
      <c r="W977" s="319"/>
      <c r="X977" s="330"/>
      <c r="Y977" s="331"/>
      <c r="Z977" s="319"/>
      <c r="AD977" s="332"/>
    </row>
    <row r="978" spans="1:34" x14ac:dyDescent="0.2">
      <c r="A978" s="312">
        <v>5</v>
      </c>
      <c r="B978" s="423" t="s">
        <v>606</v>
      </c>
      <c r="C978" s="424" t="s">
        <v>1356</v>
      </c>
      <c r="D978" s="313">
        <v>8674239</v>
      </c>
      <c r="E978" s="313"/>
      <c r="F978" s="313">
        <v>8130854</v>
      </c>
      <c r="G978" s="313"/>
      <c r="H978" s="313">
        <v>371613</v>
      </c>
      <c r="I978" s="313"/>
      <c r="J978" s="313">
        <v>171772</v>
      </c>
      <c r="K978" s="313">
        <v>87132</v>
      </c>
      <c r="L978" s="313">
        <v>84640</v>
      </c>
      <c r="M978" s="313"/>
      <c r="N978" s="313"/>
      <c r="O978" s="313">
        <v>8674239</v>
      </c>
      <c r="P978" s="313">
        <v>505</v>
      </c>
      <c r="Q978" s="313"/>
      <c r="R978" s="313">
        <v>8674239</v>
      </c>
      <c r="S978" s="313" t="s">
        <v>2565</v>
      </c>
      <c r="T978" s="313"/>
      <c r="U978" s="319"/>
      <c r="V978" s="319"/>
      <c r="W978" s="319"/>
      <c r="X978" s="330">
        <v>0</v>
      </c>
      <c r="Y978" s="319"/>
      <c r="Z978" s="319"/>
      <c r="AC978" s="332">
        <v>0</v>
      </c>
      <c r="AD978" s="332"/>
    </row>
    <row r="979" spans="1:34" x14ac:dyDescent="0.2">
      <c r="A979" s="312">
        <v>6</v>
      </c>
      <c r="B979" s="423" t="s">
        <v>607</v>
      </c>
      <c r="C979" s="424" t="s">
        <v>1356</v>
      </c>
      <c r="D979" s="313">
        <v>27100466</v>
      </c>
      <c r="E979" s="313"/>
      <c r="F979" s="313">
        <v>25402796</v>
      </c>
      <c r="G979" s="313"/>
      <c r="H979" s="313">
        <v>1161012</v>
      </c>
      <c r="I979" s="313"/>
      <c r="J979" s="313">
        <v>536658</v>
      </c>
      <c r="K979" s="313">
        <v>272223</v>
      </c>
      <c r="L979" s="313">
        <v>264435</v>
      </c>
      <c r="M979" s="313"/>
      <c r="N979" s="313"/>
      <c r="O979" s="313">
        <v>27100466</v>
      </c>
      <c r="P979" s="313">
        <v>506</v>
      </c>
      <c r="Q979" s="313"/>
      <c r="R979" s="313">
        <v>27100466</v>
      </c>
      <c r="S979" s="313" t="s">
        <v>2565</v>
      </c>
      <c r="T979" s="313"/>
      <c r="U979" s="319"/>
      <c r="V979" s="319"/>
      <c r="W979" s="319"/>
      <c r="X979" s="330">
        <v>0</v>
      </c>
      <c r="Y979" s="331"/>
      <c r="Z979" s="319"/>
      <c r="AC979" s="53">
        <v>0</v>
      </c>
      <c r="AD979" s="332"/>
    </row>
    <row r="980" spans="1:34" x14ac:dyDescent="0.2">
      <c r="A980" s="312">
        <v>7</v>
      </c>
      <c r="B980" s="423" t="s">
        <v>2200</v>
      </c>
      <c r="C980" s="424" t="s">
        <v>1356</v>
      </c>
      <c r="D980" s="313">
        <v>0</v>
      </c>
      <c r="E980" s="313"/>
      <c r="F980" s="313">
        <v>0</v>
      </c>
      <c r="G980" s="313"/>
      <c r="H980" s="313">
        <v>0</v>
      </c>
      <c r="I980" s="313"/>
      <c r="J980" s="313">
        <v>0</v>
      </c>
      <c r="K980" s="313">
        <v>0</v>
      </c>
      <c r="L980" s="313">
        <v>0</v>
      </c>
      <c r="M980" s="313"/>
      <c r="N980" s="313"/>
      <c r="O980" s="313">
        <v>0</v>
      </c>
      <c r="P980" s="313">
        <v>507</v>
      </c>
      <c r="Q980" s="313"/>
      <c r="R980" s="313">
        <v>0</v>
      </c>
      <c r="S980" s="313" t="s">
        <v>2565</v>
      </c>
      <c r="T980" s="313"/>
      <c r="U980" s="319"/>
      <c r="V980" s="319"/>
      <c r="W980" s="319"/>
      <c r="X980" s="330"/>
      <c r="Y980" s="331"/>
      <c r="Z980" s="319"/>
      <c r="AD980" s="332"/>
    </row>
    <row r="981" spans="1:34" x14ac:dyDescent="0.2">
      <c r="A981" s="312">
        <v>8</v>
      </c>
      <c r="B981" s="423" t="s">
        <v>2201</v>
      </c>
      <c r="C981" s="424" t="s">
        <v>1356</v>
      </c>
      <c r="D981" s="313">
        <v>0</v>
      </c>
      <c r="E981" s="313"/>
      <c r="F981" s="313">
        <v>0</v>
      </c>
      <c r="G981" s="313"/>
      <c r="H981" s="313">
        <v>0</v>
      </c>
      <c r="I981" s="313"/>
      <c r="J981" s="313">
        <v>0</v>
      </c>
      <c r="K981" s="313">
        <v>0</v>
      </c>
      <c r="L981" s="313">
        <v>0</v>
      </c>
      <c r="M981" s="313"/>
      <c r="N981" s="313"/>
      <c r="O981" s="313">
        <v>0</v>
      </c>
      <c r="P981" s="313">
        <v>509</v>
      </c>
      <c r="Q981" s="313"/>
      <c r="R981" s="313">
        <v>0</v>
      </c>
      <c r="S981" s="313" t="s">
        <v>2565</v>
      </c>
      <c r="T981" s="313"/>
      <c r="U981" s="319"/>
      <c r="V981" s="319"/>
      <c r="W981" s="319"/>
      <c r="X981" s="330"/>
      <c r="Y981" s="319"/>
      <c r="Z981" s="319"/>
      <c r="AC981" s="332"/>
      <c r="AD981" s="332"/>
      <c r="AG981" s="53" t="s">
        <v>1254</v>
      </c>
      <c r="AH981" s="53" t="s">
        <v>1254</v>
      </c>
    </row>
    <row r="982" spans="1:34" x14ac:dyDescent="0.2">
      <c r="A982" s="312">
        <v>9</v>
      </c>
      <c r="B982" s="423" t="s">
        <v>608</v>
      </c>
      <c r="C982" s="311"/>
      <c r="D982" s="313">
        <v>355957497</v>
      </c>
      <c r="E982" s="313"/>
      <c r="F982" s="313">
        <v>334980688</v>
      </c>
      <c r="G982" s="313"/>
      <c r="H982" s="313">
        <v>13777253</v>
      </c>
      <c r="I982" s="313"/>
      <c r="J982" s="313">
        <v>7199556</v>
      </c>
      <c r="K982" s="313">
        <v>3687671</v>
      </c>
      <c r="L982" s="313">
        <v>3511885</v>
      </c>
      <c r="M982" s="313"/>
      <c r="N982" s="313"/>
      <c r="O982" s="313"/>
      <c r="P982" s="313"/>
      <c r="Q982" s="313"/>
      <c r="R982" s="313"/>
      <c r="S982" s="313"/>
      <c r="T982" s="313"/>
      <c r="U982" s="319"/>
      <c r="V982" s="319" t="s">
        <v>2286</v>
      </c>
      <c r="W982" s="319" t="s">
        <v>2294</v>
      </c>
      <c r="X982" s="330"/>
      <c r="Y982" s="319"/>
      <c r="Z982" s="319" t="s">
        <v>2287</v>
      </c>
      <c r="AA982" s="53" t="s">
        <v>2286</v>
      </c>
      <c r="AB982" s="53" t="s">
        <v>2294</v>
      </c>
      <c r="AC982" s="332"/>
      <c r="AD982" s="332"/>
      <c r="AE982" s="53" t="s">
        <v>2287</v>
      </c>
      <c r="AG982" s="53" t="s">
        <v>1258</v>
      </c>
      <c r="AH982" s="53" t="s">
        <v>1259</v>
      </c>
    </row>
    <row r="983" spans="1:34" x14ac:dyDescent="0.2">
      <c r="A983" s="312">
        <v>10</v>
      </c>
      <c r="B983" s="423" t="s">
        <v>609</v>
      </c>
      <c r="C983" s="424" t="s">
        <v>1356</v>
      </c>
      <c r="D983" s="313">
        <v>13384627</v>
      </c>
      <c r="E983" s="313"/>
      <c r="F983" s="313">
        <v>12501304</v>
      </c>
      <c r="G983" s="313"/>
      <c r="H983" s="313">
        <v>603272</v>
      </c>
      <c r="I983" s="313"/>
      <c r="J983" s="313">
        <v>280051</v>
      </c>
      <c r="K983" s="313">
        <v>142058</v>
      </c>
      <c r="L983" s="313">
        <v>137994</v>
      </c>
      <c r="M983" s="313"/>
      <c r="N983" s="313"/>
      <c r="O983" s="313">
        <v>12592317</v>
      </c>
      <c r="P983" s="313">
        <v>510</v>
      </c>
      <c r="Q983" s="313"/>
      <c r="R983" s="313">
        <v>13384627</v>
      </c>
      <c r="S983" s="313">
        <v>792310.37</v>
      </c>
      <c r="T983" s="313"/>
      <c r="U983" s="319"/>
      <c r="V983" s="496">
        <v>697814.62</v>
      </c>
      <c r="W983" s="319" t="s">
        <v>2295</v>
      </c>
      <c r="X983" s="330">
        <v>0</v>
      </c>
      <c r="Y983" s="319"/>
      <c r="Z983" s="495">
        <v>63804</v>
      </c>
      <c r="AA983" s="328">
        <v>697814.62000000011</v>
      </c>
      <c r="AB983" s="53" t="s">
        <v>2295</v>
      </c>
      <c r="AC983" s="332">
        <v>2.4556356947869062E-10</v>
      </c>
      <c r="AD983" s="332"/>
      <c r="AE983" s="328">
        <v>63804.245905692747</v>
      </c>
      <c r="AG983" s="53">
        <v>15568.446740870035</v>
      </c>
      <c r="AH983" s="53">
        <v>15123.054374285999</v>
      </c>
    </row>
    <row r="984" spans="1:34" x14ac:dyDescent="0.2">
      <c r="A984" s="312">
        <v>11</v>
      </c>
      <c r="B984" s="423" t="s">
        <v>610</v>
      </c>
      <c r="C984" s="424" t="s">
        <v>1356</v>
      </c>
      <c r="D984" s="313">
        <v>10694671</v>
      </c>
      <c r="E984" s="313"/>
      <c r="F984" s="313">
        <v>10051562</v>
      </c>
      <c r="G984" s="313"/>
      <c r="H984" s="313">
        <v>439813</v>
      </c>
      <c r="I984" s="313"/>
      <c r="J984" s="313">
        <v>203296</v>
      </c>
      <c r="K984" s="313">
        <v>103123</v>
      </c>
      <c r="L984" s="313">
        <v>100173</v>
      </c>
      <c r="M984" s="313"/>
      <c r="N984" s="313"/>
      <c r="O984" s="313">
        <v>10266168</v>
      </c>
      <c r="P984" s="313">
        <v>511</v>
      </c>
      <c r="Q984" s="313"/>
      <c r="R984" s="313">
        <v>10694671</v>
      </c>
      <c r="S984" s="313">
        <v>428502.61</v>
      </c>
      <c r="T984" s="313"/>
      <c r="U984" s="319"/>
      <c r="V984" s="496">
        <v>428502.61</v>
      </c>
      <c r="W984" s="319" t="s">
        <v>2296</v>
      </c>
      <c r="X984" s="330">
        <v>0</v>
      </c>
      <c r="Y984" s="331"/>
      <c r="Z984" s="319">
        <v>0</v>
      </c>
      <c r="AA984" s="333">
        <v>428502.60749999998</v>
      </c>
      <c r="AB984" s="53" t="s">
        <v>2296</v>
      </c>
      <c r="AC984" s="53">
        <v>-5.8207660913467407E-11</v>
      </c>
      <c r="AD984" s="332"/>
      <c r="AE984" s="53">
        <v>0</v>
      </c>
      <c r="AG984" s="53">
        <v>0</v>
      </c>
      <c r="AH984" s="53">
        <v>0</v>
      </c>
    </row>
    <row r="985" spans="1:34" x14ac:dyDescent="0.2">
      <c r="A985" s="312">
        <v>12</v>
      </c>
      <c r="B985" s="423" t="s">
        <v>611</v>
      </c>
      <c r="C985" s="424" t="s">
        <v>1378</v>
      </c>
      <c r="D985" s="313">
        <v>52235847</v>
      </c>
      <c r="E985" s="313"/>
      <c r="F985" s="313">
        <v>49269205</v>
      </c>
      <c r="G985" s="313"/>
      <c r="H985" s="313">
        <v>1928832</v>
      </c>
      <c r="I985" s="313"/>
      <c r="J985" s="313">
        <v>1037810</v>
      </c>
      <c r="K985" s="313">
        <v>532681</v>
      </c>
      <c r="L985" s="313">
        <v>505129</v>
      </c>
      <c r="M985" s="313"/>
      <c r="N985" s="313"/>
      <c r="O985" s="313">
        <v>35264637</v>
      </c>
      <c r="P985" s="313">
        <v>512</v>
      </c>
      <c r="Q985" s="313"/>
      <c r="R985" s="313">
        <v>52235847</v>
      </c>
      <c r="S985" s="313">
        <v>16971209.84</v>
      </c>
      <c r="T985" s="313"/>
      <c r="U985" s="319"/>
      <c r="V985" s="496">
        <v>16056064</v>
      </c>
      <c r="W985" s="319" t="s">
        <v>2297</v>
      </c>
      <c r="X985" s="330">
        <v>0</v>
      </c>
      <c r="Y985" s="331"/>
      <c r="Z985" s="495">
        <v>595004</v>
      </c>
      <c r="AA985" s="333">
        <v>16056063.994999999</v>
      </c>
      <c r="AB985" s="53" t="s">
        <v>2297</v>
      </c>
      <c r="AC985" s="53">
        <v>-3.1141098588705063E-9</v>
      </c>
      <c r="AD985" s="332"/>
      <c r="AE985" s="53">
        <v>595003.81736859703</v>
      </c>
      <c r="AG985" s="53">
        <v>164320.71970332996</v>
      </c>
      <c r="AH985" s="53">
        <v>155821.31248815623</v>
      </c>
    </row>
    <row r="986" spans="1:34" x14ac:dyDescent="0.2">
      <c r="A986" s="312">
        <v>13</v>
      </c>
      <c r="B986" s="423" t="s">
        <v>612</v>
      </c>
      <c r="C986" s="424" t="s">
        <v>1378</v>
      </c>
      <c r="D986" s="313">
        <v>12661453</v>
      </c>
      <c r="E986" s="313"/>
      <c r="F986" s="313">
        <v>12209687</v>
      </c>
      <c r="G986" s="313"/>
      <c r="H986" s="313">
        <v>293726</v>
      </c>
      <c r="I986" s="313"/>
      <c r="J986" s="313">
        <v>158040</v>
      </c>
      <c r="K986" s="313">
        <v>81118</v>
      </c>
      <c r="L986" s="313">
        <v>76922</v>
      </c>
      <c r="M986" s="313"/>
      <c r="N986" s="313"/>
      <c r="O986" s="313">
        <v>4097829</v>
      </c>
      <c r="P986" s="313">
        <v>513</v>
      </c>
      <c r="Q986" s="313"/>
      <c r="R986" s="313">
        <v>12661453</v>
      </c>
      <c r="S986" s="313">
        <v>8563623.6099999994</v>
      </c>
      <c r="T986" s="313"/>
      <c r="U986" s="319" t="s">
        <v>2298</v>
      </c>
      <c r="V986" s="496">
        <v>8350246.0199999996</v>
      </c>
      <c r="W986" s="319" t="s">
        <v>2299</v>
      </c>
      <c r="X986" s="330">
        <v>0</v>
      </c>
      <c r="Y986" s="331"/>
      <c r="Z986" s="495">
        <v>138733</v>
      </c>
      <c r="AA986" s="333">
        <v>8350246.0175000001</v>
      </c>
      <c r="AB986" s="53" t="s">
        <v>2299</v>
      </c>
      <c r="AC986" s="53">
        <v>2.0736479200422764E-9</v>
      </c>
      <c r="AD986" s="332"/>
      <c r="AE986" s="53">
        <v>138732.51095696876</v>
      </c>
      <c r="AG986" s="53">
        <v>38313.411412244786</v>
      </c>
      <c r="AH986" s="53">
        <v>36331.669328939184</v>
      </c>
    </row>
    <row r="987" spans="1:34" x14ac:dyDescent="0.2">
      <c r="A987" s="312">
        <v>14</v>
      </c>
      <c r="B987" s="423" t="s">
        <v>613</v>
      </c>
      <c r="C987" s="424" t="s">
        <v>1356</v>
      </c>
      <c r="D987" s="313">
        <v>3723988</v>
      </c>
      <c r="E987" s="313"/>
      <c r="F987" s="313">
        <v>3446376</v>
      </c>
      <c r="G987" s="313"/>
      <c r="H987" s="313">
        <v>189035</v>
      </c>
      <c r="I987" s="313"/>
      <c r="J987" s="313">
        <v>88577</v>
      </c>
      <c r="K987" s="313">
        <v>44931</v>
      </c>
      <c r="L987" s="313">
        <v>43646</v>
      </c>
      <c r="M987" s="313"/>
      <c r="N987" s="313"/>
      <c r="O987" s="313">
        <v>2923386</v>
      </c>
      <c r="P987" s="313">
        <v>514</v>
      </c>
      <c r="Q987" s="313"/>
      <c r="R987" s="313">
        <v>3723988</v>
      </c>
      <c r="S987" s="313">
        <v>800602.24</v>
      </c>
      <c r="T987" s="313">
        <v>0</v>
      </c>
      <c r="U987" s="319" t="s">
        <v>2300</v>
      </c>
      <c r="V987" s="496">
        <v>706121.79</v>
      </c>
      <c r="W987" s="319" t="s">
        <v>2301</v>
      </c>
      <c r="X987" s="330">
        <v>0</v>
      </c>
      <c r="Y987" s="331"/>
      <c r="Z987" s="490">
        <v>63794</v>
      </c>
      <c r="AA987" s="333">
        <v>706121.79125000001</v>
      </c>
      <c r="AB987" s="53" t="s">
        <v>2301</v>
      </c>
      <c r="AC987" s="53">
        <v>-3.092281986027956E-10</v>
      </c>
      <c r="AE987" s="53">
        <v>63793.915694450872</v>
      </c>
      <c r="AG987" s="53">
        <v>15565.926135207228</v>
      </c>
      <c r="AH987" s="53">
        <v>15120.60587976826</v>
      </c>
    </row>
    <row r="988" spans="1:34" x14ac:dyDescent="0.2">
      <c r="A988" s="312">
        <v>15</v>
      </c>
      <c r="B988" s="423" t="s">
        <v>614</v>
      </c>
      <c r="C988" s="311"/>
      <c r="D988" s="313">
        <v>92700586</v>
      </c>
      <c r="E988" s="313"/>
      <c r="F988" s="313">
        <v>87478134</v>
      </c>
      <c r="G988" s="313"/>
      <c r="H988" s="313">
        <v>3454678</v>
      </c>
      <c r="I988" s="313"/>
      <c r="J988" s="313">
        <v>1767774</v>
      </c>
      <c r="K988" s="313">
        <v>903911</v>
      </c>
      <c r="L988" s="313">
        <v>863863</v>
      </c>
      <c r="M988" s="313"/>
      <c r="N988" s="313"/>
      <c r="O988" s="313"/>
      <c r="P988" s="313"/>
      <c r="Q988" s="313"/>
      <c r="R988" s="313"/>
      <c r="S988" s="313"/>
      <c r="T988" s="313"/>
      <c r="U988" s="319" t="s">
        <v>2505</v>
      </c>
      <c r="V988" s="319"/>
      <c r="W988" s="319"/>
      <c r="X988" s="330"/>
      <c r="Y988" s="331"/>
      <c r="Z988" s="319"/>
      <c r="AA988" s="333"/>
    </row>
    <row r="989" spans="1:34" x14ac:dyDescent="0.2">
      <c r="A989" s="45"/>
      <c r="B989" s="45"/>
      <c r="C989" s="311"/>
      <c r="D989" s="313"/>
      <c r="E989" s="313"/>
      <c r="F989" s="313"/>
      <c r="G989" s="313"/>
      <c r="H989" s="313"/>
      <c r="I989" s="313"/>
      <c r="J989" s="313"/>
      <c r="K989" s="313"/>
      <c r="L989" s="313"/>
      <c r="M989" s="313"/>
      <c r="N989" s="313"/>
      <c r="O989" s="313"/>
      <c r="P989" s="313"/>
      <c r="Q989" s="313"/>
      <c r="R989" s="313"/>
      <c r="S989" s="313"/>
      <c r="T989" s="313"/>
      <c r="U989" s="319"/>
      <c r="V989" s="319"/>
      <c r="W989" s="319"/>
      <c r="X989" s="330"/>
      <c r="Y989" s="333"/>
      <c r="AA989" s="333"/>
    </row>
    <row r="990" spans="1:34" x14ac:dyDescent="0.2">
      <c r="A990" s="312">
        <v>16</v>
      </c>
      <c r="B990" s="423" t="s">
        <v>615</v>
      </c>
      <c r="C990" s="311"/>
      <c r="D990" s="313">
        <v>448658083</v>
      </c>
      <c r="E990" s="313"/>
      <c r="F990" s="313">
        <v>422458821</v>
      </c>
      <c r="G990" s="313"/>
      <c r="H990" s="313">
        <v>17231931</v>
      </c>
      <c r="I990" s="313"/>
      <c r="J990" s="313">
        <v>8967330</v>
      </c>
      <c r="K990" s="313">
        <v>4591582</v>
      </c>
      <c r="L990" s="313">
        <v>4375748</v>
      </c>
      <c r="M990" s="313"/>
      <c r="N990" s="313"/>
      <c r="O990" s="313"/>
      <c r="P990" s="313"/>
      <c r="Q990" s="313"/>
      <c r="R990" s="313">
        <v>448658083</v>
      </c>
      <c r="S990" s="313" t="s">
        <v>2565</v>
      </c>
      <c r="T990" s="313"/>
      <c r="U990" s="319"/>
      <c r="V990" s="319"/>
      <c r="W990" s="319"/>
      <c r="X990" s="330"/>
    </row>
    <row r="991" spans="1:34" x14ac:dyDescent="0.2">
      <c r="A991" s="45"/>
      <c r="B991" s="45"/>
      <c r="C991" s="311"/>
      <c r="D991" s="313"/>
      <c r="E991" s="313"/>
      <c r="F991" s="313"/>
      <c r="G991" s="313"/>
      <c r="H991" s="313"/>
      <c r="I991" s="313"/>
      <c r="J991" s="313"/>
      <c r="K991" s="313"/>
      <c r="L991" s="313"/>
      <c r="M991" s="313"/>
      <c r="N991" s="313"/>
      <c r="O991" s="313"/>
      <c r="P991" s="313"/>
      <c r="Q991" s="313"/>
      <c r="R991" s="313"/>
      <c r="S991" s="313"/>
      <c r="T991" s="313"/>
      <c r="U991" s="319"/>
      <c r="V991" s="319"/>
      <c r="W991" s="319"/>
      <c r="X991" s="330"/>
    </row>
    <row r="992" spans="1:34" x14ac:dyDescent="0.2">
      <c r="A992" s="45"/>
      <c r="B992" s="423" t="s">
        <v>616</v>
      </c>
      <c r="C992" s="311"/>
      <c r="D992" s="313"/>
      <c r="E992" s="313"/>
      <c r="F992" s="313"/>
      <c r="G992" s="313"/>
      <c r="H992" s="313"/>
      <c r="I992" s="313"/>
      <c r="J992" s="313"/>
      <c r="K992" s="313"/>
      <c r="L992" s="313"/>
      <c r="M992" s="313"/>
      <c r="N992" s="313"/>
      <c r="O992" s="313"/>
      <c r="P992" s="313"/>
      <c r="Q992" s="313"/>
      <c r="R992" s="313"/>
      <c r="S992" s="313"/>
      <c r="T992" s="313"/>
      <c r="U992" s="319"/>
      <c r="V992" s="319"/>
      <c r="W992" s="319"/>
      <c r="X992" s="330"/>
    </row>
    <row r="993" spans="1:25" x14ac:dyDescent="0.2">
      <c r="A993" s="312">
        <v>17</v>
      </c>
      <c r="B993" s="423" t="s">
        <v>617</v>
      </c>
      <c r="C993" s="424" t="s">
        <v>1358</v>
      </c>
      <c r="D993" s="313">
        <v>0</v>
      </c>
      <c r="E993" s="313"/>
      <c r="F993" s="313">
        <v>0</v>
      </c>
      <c r="G993" s="313"/>
      <c r="H993" s="313">
        <v>0</v>
      </c>
      <c r="I993" s="313"/>
      <c r="J993" s="313">
        <v>0</v>
      </c>
      <c r="K993" s="313">
        <v>0</v>
      </c>
      <c r="L993" s="313">
        <v>0</v>
      </c>
      <c r="M993" s="313"/>
      <c r="N993" s="313"/>
      <c r="O993" s="313">
        <v>0</v>
      </c>
      <c r="P993" s="313">
        <v>535</v>
      </c>
      <c r="Q993" s="313"/>
      <c r="R993" s="313">
        <v>0</v>
      </c>
      <c r="S993" s="313" t="s">
        <v>2565</v>
      </c>
      <c r="T993" s="313"/>
      <c r="U993" s="319"/>
      <c r="V993" s="319"/>
      <c r="W993" s="319"/>
      <c r="X993" s="330"/>
    </row>
    <row r="994" spans="1:25" x14ac:dyDescent="0.2">
      <c r="A994" s="312">
        <v>18</v>
      </c>
      <c r="B994" s="423" t="s">
        <v>618</v>
      </c>
      <c r="C994" s="424" t="s">
        <v>1358</v>
      </c>
      <c r="D994" s="313">
        <v>0</v>
      </c>
      <c r="E994" s="313"/>
      <c r="F994" s="313">
        <v>0</v>
      </c>
      <c r="G994" s="313"/>
      <c r="H994" s="313">
        <v>0</v>
      </c>
      <c r="I994" s="313"/>
      <c r="J994" s="313">
        <v>0</v>
      </c>
      <c r="K994" s="313">
        <v>0</v>
      </c>
      <c r="L994" s="313">
        <v>0</v>
      </c>
      <c r="M994" s="313"/>
      <c r="N994" s="313"/>
      <c r="O994" s="313">
        <v>0</v>
      </c>
      <c r="P994" s="313">
        <v>536</v>
      </c>
      <c r="Q994" s="313"/>
      <c r="R994" s="313">
        <v>0</v>
      </c>
      <c r="S994" s="313" t="s">
        <v>2565</v>
      </c>
      <c r="T994" s="313"/>
      <c r="U994" s="319"/>
      <c r="V994" s="319"/>
      <c r="W994" s="319"/>
      <c r="X994" s="330"/>
      <c r="Y994" s="319"/>
    </row>
    <row r="995" spans="1:25" x14ac:dyDescent="0.2">
      <c r="A995" s="312">
        <v>19</v>
      </c>
      <c r="B995" s="423" t="s">
        <v>619</v>
      </c>
      <c r="C995" s="424" t="s">
        <v>1358</v>
      </c>
      <c r="D995" s="313">
        <v>0</v>
      </c>
      <c r="E995" s="313"/>
      <c r="F995" s="313">
        <v>0</v>
      </c>
      <c r="G995" s="313"/>
      <c r="H995" s="313">
        <v>0</v>
      </c>
      <c r="I995" s="313"/>
      <c r="J995" s="313">
        <v>0</v>
      </c>
      <c r="K995" s="313">
        <v>0</v>
      </c>
      <c r="L995" s="313">
        <v>0</v>
      </c>
      <c r="M995" s="313"/>
      <c r="N995" s="313"/>
      <c r="O995" s="313">
        <v>0</v>
      </c>
      <c r="P995" s="313">
        <v>537</v>
      </c>
      <c r="Q995" s="313"/>
      <c r="R995" s="313">
        <v>0</v>
      </c>
      <c r="S995" s="313" t="s">
        <v>2565</v>
      </c>
      <c r="T995" s="313"/>
      <c r="U995" s="319"/>
      <c r="V995" s="319"/>
      <c r="W995" s="319"/>
      <c r="X995" s="330"/>
      <c r="Y995" s="319"/>
    </row>
    <row r="996" spans="1:25" x14ac:dyDescent="0.2">
      <c r="A996" s="312">
        <v>20</v>
      </c>
      <c r="B996" s="423" t="s">
        <v>620</v>
      </c>
      <c r="C996" s="424" t="s">
        <v>1358</v>
      </c>
      <c r="D996" s="313">
        <v>0</v>
      </c>
      <c r="E996" s="313"/>
      <c r="F996" s="313">
        <v>0</v>
      </c>
      <c r="G996" s="313"/>
      <c r="H996" s="313">
        <v>0</v>
      </c>
      <c r="I996" s="313"/>
      <c r="J996" s="313">
        <v>0</v>
      </c>
      <c r="K996" s="313">
        <v>0</v>
      </c>
      <c r="L996" s="313">
        <v>0</v>
      </c>
      <c r="M996" s="313"/>
      <c r="N996" s="313"/>
      <c r="O996" s="313">
        <v>0</v>
      </c>
      <c r="P996" s="313">
        <v>538</v>
      </c>
      <c r="Q996" s="313"/>
      <c r="R996" s="313">
        <v>0</v>
      </c>
      <c r="S996" s="313" t="s">
        <v>2565</v>
      </c>
      <c r="T996" s="313"/>
      <c r="U996" s="319"/>
      <c r="V996" s="319"/>
      <c r="W996" s="319"/>
      <c r="X996" s="330"/>
      <c r="Y996" s="319"/>
    </row>
    <row r="997" spans="1:25" x14ac:dyDescent="0.2">
      <c r="A997" s="312">
        <v>21</v>
      </c>
      <c r="B997" s="423" t="s">
        <v>2202</v>
      </c>
      <c r="C997" s="424" t="s">
        <v>1358</v>
      </c>
      <c r="D997" s="313">
        <v>11310</v>
      </c>
      <c r="E997" s="313"/>
      <c r="F997" s="313">
        <v>10609</v>
      </c>
      <c r="G997" s="313"/>
      <c r="H997" s="313">
        <v>480</v>
      </c>
      <c r="I997" s="313"/>
      <c r="J997" s="313">
        <v>221</v>
      </c>
      <c r="K997" s="313">
        <v>112</v>
      </c>
      <c r="L997" s="313">
        <v>109</v>
      </c>
      <c r="M997" s="313"/>
      <c r="N997" s="313"/>
      <c r="O997" s="313">
        <v>11310</v>
      </c>
      <c r="P997" s="313">
        <v>539</v>
      </c>
      <c r="Q997" s="313"/>
      <c r="R997" s="313">
        <v>11310</v>
      </c>
      <c r="S997" s="313" t="s">
        <v>2565</v>
      </c>
      <c r="T997" s="313"/>
      <c r="U997" s="319"/>
      <c r="V997" s="319"/>
      <c r="W997" s="319"/>
      <c r="X997" s="330"/>
      <c r="Y997" s="319"/>
    </row>
    <row r="998" spans="1:25" x14ac:dyDescent="0.2">
      <c r="A998" s="312">
        <v>22</v>
      </c>
      <c r="B998" s="423" t="s">
        <v>621</v>
      </c>
      <c r="C998" s="424" t="s">
        <v>1358</v>
      </c>
      <c r="D998" s="313">
        <v>0</v>
      </c>
      <c r="E998" s="313"/>
      <c r="F998" s="313">
        <v>0</v>
      </c>
      <c r="G998" s="313"/>
      <c r="H998" s="313">
        <v>0</v>
      </c>
      <c r="I998" s="313"/>
      <c r="J998" s="313">
        <v>0</v>
      </c>
      <c r="K998" s="313">
        <v>0</v>
      </c>
      <c r="L998" s="313">
        <v>0</v>
      </c>
      <c r="M998" s="313"/>
      <c r="N998" s="313"/>
      <c r="O998" s="313">
        <v>0</v>
      </c>
      <c r="P998" s="313">
        <v>540</v>
      </c>
      <c r="Q998" s="313"/>
      <c r="R998" s="313">
        <v>0</v>
      </c>
      <c r="S998" s="313" t="s">
        <v>2565</v>
      </c>
      <c r="T998" s="313"/>
      <c r="U998" s="319"/>
      <c r="V998" s="319"/>
      <c r="W998" s="319"/>
      <c r="X998" s="330"/>
      <c r="Y998" s="319"/>
    </row>
    <row r="999" spans="1:25" x14ac:dyDescent="0.2">
      <c r="A999" s="312">
        <v>23</v>
      </c>
      <c r="B999" s="423" t="s">
        <v>622</v>
      </c>
      <c r="C999" s="311"/>
      <c r="D999" s="313">
        <v>11310</v>
      </c>
      <c r="E999" s="313"/>
      <c r="F999" s="313">
        <v>10609</v>
      </c>
      <c r="G999" s="313"/>
      <c r="H999" s="313">
        <v>480</v>
      </c>
      <c r="I999" s="313"/>
      <c r="J999" s="313">
        <v>221</v>
      </c>
      <c r="K999" s="313">
        <v>112</v>
      </c>
      <c r="L999" s="313">
        <v>109</v>
      </c>
      <c r="M999" s="313"/>
      <c r="N999" s="313"/>
      <c r="O999" s="313"/>
      <c r="P999" s="313"/>
      <c r="Q999" s="313"/>
      <c r="R999" s="313"/>
      <c r="S999" s="313"/>
      <c r="T999" s="313"/>
      <c r="U999" s="319"/>
      <c r="V999" s="319"/>
      <c r="W999" s="319"/>
      <c r="X999" s="330"/>
      <c r="Y999" s="319"/>
    </row>
    <row r="1000" spans="1:25" x14ac:dyDescent="0.2">
      <c r="A1000" s="312">
        <v>24</v>
      </c>
      <c r="B1000" s="423" t="s">
        <v>623</v>
      </c>
      <c r="C1000" s="424" t="s">
        <v>1358</v>
      </c>
      <c r="D1000" s="313">
        <v>194762</v>
      </c>
      <c r="E1000" s="313"/>
      <c r="F1000" s="313">
        <v>182692</v>
      </c>
      <c r="G1000" s="313"/>
      <c r="H1000" s="313">
        <v>8271</v>
      </c>
      <c r="I1000" s="313"/>
      <c r="J1000" s="313">
        <v>3799</v>
      </c>
      <c r="K1000" s="313">
        <v>1927</v>
      </c>
      <c r="L1000" s="313">
        <v>1872</v>
      </c>
      <c r="M1000" s="313"/>
      <c r="N1000" s="313"/>
      <c r="O1000" s="313">
        <v>194762</v>
      </c>
      <c r="P1000" s="313">
        <v>541</v>
      </c>
      <c r="Q1000" s="313"/>
      <c r="R1000" s="313">
        <v>194762</v>
      </c>
      <c r="S1000" s="313" t="s">
        <v>2565</v>
      </c>
      <c r="T1000" s="313"/>
      <c r="U1000" s="319"/>
      <c r="V1000" s="319"/>
      <c r="W1000" s="319"/>
      <c r="X1000" s="330"/>
    </row>
    <row r="1001" spans="1:25" x14ac:dyDescent="0.2">
      <c r="A1001" s="312">
        <v>25</v>
      </c>
      <c r="B1001" s="423" t="s">
        <v>123</v>
      </c>
      <c r="C1001" s="424" t="s">
        <v>1358</v>
      </c>
      <c r="D1001" s="313">
        <v>174225</v>
      </c>
      <c r="E1001" s="313"/>
      <c r="F1001" s="313">
        <v>163428</v>
      </c>
      <c r="G1001" s="313"/>
      <c r="H1001" s="313">
        <v>7399</v>
      </c>
      <c r="I1001" s="313"/>
      <c r="J1001" s="313">
        <v>3398</v>
      </c>
      <c r="K1001" s="313">
        <v>1724</v>
      </c>
      <c r="L1001" s="313">
        <v>1674</v>
      </c>
      <c r="M1001" s="313"/>
      <c r="N1001" s="313"/>
      <c r="O1001" s="313">
        <v>174225</v>
      </c>
      <c r="P1001" s="313">
        <v>542</v>
      </c>
      <c r="Q1001" s="313"/>
      <c r="R1001" s="313">
        <v>174225</v>
      </c>
      <c r="S1001" s="313" t="s">
        <v>2565</v>
      </c>
      <c r="T1001" s="313"/>
      <c r="U1001" s="319"/>
      <c r="V1001" s="319"/>
      <c r="W1001" s="319"/>
      <c r="X1001" s="330"/>
      <c r="Y1001" s="319"/>
    </row>
    <row r="1002" spans="1:25" x14ac:dyDescent="0.2">
      <c r="A1002" s="312">
        <v>26</v>
      </c>
      <c r="B1002" s="423" t="s">
        <v>124</v>
      </c>
      <c r="C1002" s="424" t="s">
        <v>1358</v>
      </c>
      <c r="D1002" s="313">
        <v>27402</v>
      </c>
      <c r="E1002" s="313"/>
      <c r="F1002" s="313">
        <v>25704</v>
      </c>
      <c r="G1002" s="313"/>
      <c r="H1002" s="313">
        <v>1164</v>
      </c>
      <c r="I1002" s="313"/>
      <c r="J1002" s="313">
        <v>534</v>
      </c>
      <c r="K1002" s="313">
        <v>271</v>
      </c>
      <c r="L1002" s="313">
        <v>263</v>
      </c>
      <c r="M1002" s="313"/>
      <c r="N1002" s="313"/>
      <c r="O1002" s="313">
        <v>27402</v>
      </c>
      <c r="P1002" s="313">
        <v>543</v>
      </c>
      <c r="Q1002" s="313"/>
      <c r="R1002" s="313">
        <v>27402</v>
      </c>
      <c r="S1002" s="313" t="s">
        <v>2565</v>
      </c>
      <c r="T1002" s="313"/>
      <c r="U1002" s="319"/>
      <c r="V1002" s="319"/>
      <c r="W1002" s="319"/>
      <c r="X1002" s="330"/>
      <c r="Y1002" s="319"/>
    </row>
    <row r="1003" spans="1:25" x14ac:dyDescent="0.2">
      <c r="A1003" s="312">
        <v>27</v>
      </c>
      <c r="B1003" s="423" t="s">
        <v>125</v>
      </c>
      <c r="C1003" s="424" t="s">
        <v>1378</v>
      </c>
      <c r="D1003" s="313">
        <v>80158</v>
      </c>
      <c r="E1003" s="313"/>
      <c r="F1003" s="313">
        <v>75495</v>
      </c>
      <c r="G1003" s="313"/>
      <c r="H1003" s="313">
        <v>3032</v>
      </c>
      <c r="I1003" s="313"/>
      <c r="J1003" s="313">
        <v>1631</v>
      </c>
      <c r="K1003" s="313">
        <v>837</v>
      </c>
      <c r="L1003" s="313">
        <v>794</v>
      </c>
      <c r="M1003" s="313"/>
      <c r="N1003" s="313"/>
      <c r="O1003" s="313">
        <v>80158</v>
      </c>
      <c r="P1003" s="313">
        <v>544</v>
      </c>
      <c r="Q1003" s="313"/>
      <c r="R1003" s="313">
        <v>80158</v>
      </c>
      <c r="S1003" s="313" t="s">
        <v>2565</v>
      </c>
      <c r="T1003" s="313"/>
      <c r="U1003" s="319"/>
      <c r="V1003" s="319"/>
      <c r="W1003" s="319"/>
      <c r="X1003" s="330"/>
      <c r="Y1003" s="319"/>
    </row>
    <row r="1004" spans="1:25" x14ac:dyDescent="0.2">
      <c r="A1004" s="312">
        <v>28</v>
      </c>
      <c r="B1004" s="423" t="s">
        <v>126</v>
      </c>
      <c r="C1004" s="424" t="s">
        <v>1358</v>
      </c>
      <c r="D1004" s="313">
        <v>140220</v>
      </c>
      <c r="E1004" s="313"/>
      <c r="F1004" s="313">
        <v>131530</v>
      </c>
      <c r="G1004" s="313"/>
      <c r="H1004" s="313">
        <v>5955</v>
      </c>
      <c r="I1004" s="313"/>
      <c r="J1004" s="313">
        <v>2735</v>
      </c>
      <c r="K1004" s="313">
        <v>1387</v>
      </c>
      <c r="L1004" s="313">
        <v>1348</v>
      </c>
      <c r="M1004" s="313"/>
      <c r="N1004" s="313"/>
      <c r="O1004" s="313">
        <v>140220</v>
      </c>
      <c r="P1004" s="313">
        <v>545</v>
      </c>
      <c r="Q1004" s="313"/>
      <c r="R1004" s="313">
        <v>140220</v>
      </c>
      <c r="S1004" s="313" t="s">
        <v>2565</v>
      </c>
      <c r="T1004" s="313"/>
      <c r="U1004" s="319"/>
      <c r="V1004" s="319"/>
      <c r="W1004" s="319"/>
      <c r="X1004" s="330"/>
      <c r="Y1004" s="319"/>
    </row>
    <row r="1005" spans="1:25" x14ac:dyDescent="0.2">
      <c r="A1005" s="312">
        <v>29</v>
      </c>
      <c r="B1005" s="423" t="s">
        <v>1075</v>
      </c>
      <c r="C1005" s="311"/>
      <c r="D1005" s="313">
        <v>616767</v>
      </c>
      <c r="E1005" s="313"/>
      <c r="F1005" s="313">
        <v>578849</v>
      </c>
      <c r="G1005" s="313"/>
      <c r="H1005" s="313">
        <v>25820</v>
      </c>
      <c r="I1005" s="313"/>
      <c r="J1005" s="313">
        <v>12098</v>
      </c>
      <c r="K1005" s="313">
        <v>6147</v>
      </c>
      <c r="L1005" s="313">
        <v>5951</v>
      </c>
      <c r="M1005" s="313"/>
      <c r="N1005" s="313"/>
      <c r="O1005" s="313"/>
      <c r="P1005" s="313"/>
      <c r="Q1005" s="313"/>
      <c r="R1005" s="313"/>
      <c r="S1005" s="313"/>
      <c r="T1005" s="313"/>
      <c r="U1005" s="319"/>
      <c r="V1005" s="319"/>
      <c r="W1005" s="319"/>
      <c r="X1005" s="330"/>
      <c r="Y1005" s="319"/>
    </row>
    <row r="1006" spans="1:25" x14ac:dyDescent="0.2">
      <c r="A1006" s="45"/>
      <c r="B1006" s="45"/>
      <c r="C1006" s="311"/>
      <c r="D1006" s="313"/>
      <c r="E1006" s="313"/>
      <c r="F1006" s="313"/>
      <c r="G1006" s="313"/>
      <c r="H1006" s="313"/>
      <c r="I1006" s="313"/>
      <c r="J1006" s="313"/>
      <c r="K1006" s="313"/>
      <c r="L1006" s="313"/>
      <c r="M1006" s="313"/>
      <c r="N1006" s="313"/>
      <c r="O1006" s="313"/>
      <c r="P1006" s="313"/>
      <c r="Q1006" s="313"/>
      <c r="R1006" s="313"/>
      <c r="S1006" s="313"/>
      <c r="T1006" s="313"/>
      <c r="U1006" s="319"/>
      <c r="V1006" s="319"/>
      <c r="W1006" s="319"/>
      <c r="X1006" s="330"/>
    </row>
    <row r="1007" spans="1:25" x14ac:dyDescent="0.2">
      <c r="A1007" s="312">
        <v>30</v>
      </c>
      <c r="B1007" s="423" t="s">
        <v>1076</v>
      </c>
      <c r="C1007" s="311"/>
      <c r="D1007" s="313">
        <v>628077</v>
      </c>
      <c r="E1007" s="313"/>
      <c r="F1007" s="313">
        <v>589458</v>
      </c>
      <c r="G1007" s="313"/>
      <c r="H1007" s="313">
        <v>26300</v>
      </c>
      <c r="I1007" s="313"/>
      <c r="J1007" s="313">
        <v>12319</v>
      </c>
      <c r="K1007" s="313">
        <v>6258</v>
      </c>
      <c r="L1007" s="313">
        <v>6060</v>
      </c>
      <c r="M1007" s="313"/>
      <c r="N1007" s="313"/>
      <c r="O1007" s="313"/>
      <c r="P1007" s="313"/>
      <c r="Q1007" s="313"/>
      <c r="R1007" s="313">
        <v>628077</v>
      </c>
      <c r="S1007" s="313" t="s">
        <v>2565</v>
      </c>
      <c r="T1007" s="313"/>
      <c r="U1007" s="319"/>
      <c r="V1007" s="319"/>
      <c r="W1007" s="319"/>
      <c r="X1007" s="330"/>
    </row>
    <row r="1008" spans="1:25" x14ac:dyDescent="0.2">
      <c r="A1008" s="45"/>
      <c r="B1008" s="45"/>
      <c r="C1008" s="311"/>
      <c r="D1008" s="313"/>
      <c r="E1008" s="313"/>
      <c r="F1008" s="313"/>
      <c r="G1008" s="313"/>
      <c r="H1008" s="313"/>
      <c r="I1008" s="313"/>
      <c r="J1008" s="313"/>
      <c r="K1008" s="313"/>
      <c r="L1008" s="313"/>
      <c r="M1008" s="313"/>
      <c r="N1008" s="313"/>
      <c r="O1008" s="313"/>
      <c r="P1008" s="313"/>
      <c r="Q1008" s="313"/>
      <c r="R1008" s="313"/>
      <c r="S1008" s="313"/>
      <c r="T1008" s="313"/>
      <c r="U1008" s="319"/>
      <c r="V1008" s="319"/>
      <c r="W1008" s="319"/>
      <c r="X1008" s="330"/>
    </row>
    <row r="1009" spans="1:31" x14ac:dyDescent="0.2">
      <c r="A1009" s="45"/>
      <c r="B1009" s="423" t="s">
        <v>1077</v>
      </c>
      <c r="C1009" s="311"/>
      <c r="D1009" s="313"/>
      <c r="E1009" s="313"/>
      <c r="F1009" s="313"/>
      <c r="G1009" s="313"/>
      <c r="H1009" s="313"/>
      <c r="I1009" s="313"/>
      <c r="J1009" s="313"/>
      <c r="K1009" s="313"/>
      <c r="L1009" s="313"/>
      <c r="M1009" s="313"/>
      <c r="N1009" s="313"/>
      <c r="O1009" s="313"/>
      <c r="P1009" s="313"/>
      <c r="Q1009" s="313"/>
      <c r="R1009" s="313"/>
      <c r="S1009" s="313"/>
      <c r="T1009" s="313"/>
      <c r="U1009" s="319"/>
      <c r="V1009" s="319"/>
      <c r="W1009" s="319"/>
      <c r="X1009" s="330"/>
    </row>
    <row r="1010" spans="1:31" x14ac:dyDescent="0.2">
      <c r="A1010" s="312">
        <v>31</v>
      </c>
      <c r="B1010" s="423" t="s">
        <v>1078</v>
      </c>
      <c r="C1010" s="424" t="s">
        <v>1360</v>
      </c>
      <c r="D1010" s="313">
        <v>689949</v>
      </c>
      <c r="E1010" s="313"/>
      <c r="F1010" s="313">
        <v>647260</v>
      </c>
      <c r="G1010" s="313"/>
      <c r="H1010" s="313">
        <v>29200</v>
      </c>
      <c r="I1010" s="313"/>
      <c r="J1010" s="313">
        <v>13489</v>
      </c>
      <c r="K1010" s="313">
        <v>6842</v>
      </c>
      <c r="L1010" s="313">
        <v>6646</v>
      </c>
      <c r="M1010" s="313"/>
      <c r="N1010" s="313"/>
      <c r="O1010" s="313">
        <v>689949</v>
      </c>
      <c r="P1010" s="313">
        <v>546</v>
      </c>
      <c r="Q1010" s="313"/>
      <c r="R1010" s="313">
        <v>689949</v>
      </c>
      <c r="S1010" s="313" t="s">
        <v>2565</v>
      </c>
      <c r="T1010" s="313"/>
      <c r="U1010" s="319"/>
      <c r="V1010" s="319"/>
      <c r="W1010" s="319"/>
      <c r="X1010" s="330"/>
    </row>
    <row r="1011" spans="1:31" x14ac:dyDescent="0.2">
      <c r="A1011" s="312">
        <v>32</v>
      </c>
      <c r="B1011" s="423" t="s">
        <v>1079</v>
      </c>
      <c r="C1011" s="424" t="s">
        <v>1378</v>
      </c>
      <c r="D1011" s="313">
        <v>113730395</v>
      </c>
      <c r="E1011" s="313"/>
      <c r="F1011" s="313">
        <v>107114208</v>
      </c>
      <c r="G1011" s="313"/>
      <c r="H1011" s="313">
        <v>4301669</v>
      </c>
      <c r="I1011" s="313"/>
      <c r="J1011" s="313">
        <v>2314518</v>
      </c>
      <c r="K1011" s="313">
        <v>1187982</v>
      </c>
      <c r="L1011" s="313">
        <v>1126536</v>
      </c>
      <c r="M1011" s="313"/>
      <c r="N1011" s="313"/>
      <c r="O1011" s="313">
        <v>113730395</v>
      </c>
      <c r="P1011" s="313">
        <v>547</v>
      </c>
      <c r="Q1011" s="313"/>
      <c r="R1011" s="313">
        <v>113730395</v>
      </c>
      <c r="S1011" s="313" t="s">
        <v>2565</v>
      </c>
      <c r="T1011" s="313"/>
      <c r="U1011" s="319"/>
      <c r="V1011" s="319"/>
      <c r="W1011" s="319"/>
      <c r="X1011" s="330"/>
      <c r="Y1011" s="319" t="s">
        <v>1254</v>
      </c>
      <c r="Z1011" s="53" t="s">
        <v>1254</v>
      </c>
      <c r="AD1011" s="53" t="s">
        <v>1254</v>
      </c>
      <c r="AE1011" s="53" t="s">
        <v>1254</v>
      </c>
    </row>
    <row r="1012" spans="1:31" x14ac:dyDescent="0.2">
      <c r="A1012" s="312">
        <v>33</v>
      </c>
      <c r="B1012" s="423" t="s">
        <v>1080</v>
      </c>
      <c r="C1012" s="424" t="s">
        <v>1360</v>
      </c>
      <c r="D1012" s="313">
        <v>727043</v>
      </c>
      <c r="E1012" s="313"/>
      <c r="F1012" s="313">
        <v>682059</v>
      </c>
      <c r="G1012" s="313"/>
      <c r="H1012" s="313">
        <v>30770</v>
      </c>
      <c r="I1012" s="313"/>
      <c r="J1012" s="313">
        <v>14214</v>
      </c>
      <c r="K1012" s="313">
        <v>7210</v>
      </c>
      <c r="L1012" s="313">
        <v>7004</v>
      </c>
      <c r="M1012" s="313"/>
      <c r="N1012" s="313"/>
      <c r="O1012" s="313">
        <v>727043</v>
      </c>
      <c r="P1012" s="313">
        <v>548</v>
      </c>
      <c r="Q1012" s="313"/>
      <c r="R1012" s="313">
        <v>727043</v>
      </c>
      <c r="S1012" s="313" t="s">
        <v>2565</v>
      </c>
      <c r="T1012" s="313" t="s">
        <v>2286</v>
      </c>
      <c r="U1012" s="319" t="s">
        <v>2294</v>
      </c>
      <c r="V1012" s="319"/>
      <c r="W1012" s="319" t="s">
        <v>2287</v>
      </c>
      <c r="X1012" s="330"/>
      <c r="Y1012" s="319" t="s">
        <v>1258</v>
      </c>
      <c r="Z1012" s="53" t="s">
        <v>1259</v>
      </c>
      <c r="AB1012" s="53" t="s">
        <v>2287</v>
      </c>
      <c r="AD1012" s="53" t="s">
        <v>1258</v>
      </c>
      <c r="AE1012" s="53" t="s">
        <v>1259</v>
      </c>
    </row>
    <row r="1013" spans="1:31" x14ac:dyDescent="0.2">
      <c r="A1013" s="312">
        <v>34</v>
      </c>
      <c r="B1013" s="423" t="s">
        <v>2203</v>
      </c>
      <c r="C1013" s="424" t="s">
        <v>1360</v>
      </c>
      <c r="D1013" s="313">
        <v>5729433</v>
      </c>
      <c r="E1013" s="313"/>
      <c r="F1013" s="313">
        <v>5376587</v>
      </c>
      <c r="G1013" s="313"/>
      <c r="H1013" s="313">
        <v>241354</v>
      </c>
      <c r="I1013" s="313"/>
      <c r="J1013" s="313">
        <v>111492</v>
      </c>
      <c r="K1013" s="313">
        <v>56555</v>
      </c>
      <c r="L1013" s="313">
        <v>54937</v>
      </c>
      <c r="M1013" s="313"/>
      <c r="N1013" s="313"/>
      <c r="O1013" s="313">
        <v>5702818</v>
      </c>
      <c r="P1013" s="313">
        <v>549</v>
      </c>
      <c r="Q1013" s="313"/>
      <c r="R1013" s="313">
        <v>5729433</v>
      </c>
      <c r="S1013" s="313">
        <v>26614.560000000001</v>
      </c>
      <c r="T1013" s="313">
        <v>26614.57</v>
      </c>
      <c r="U1013" s="319" t="s">
        <v>2302</v>
      </c>
      <c r="V1013" s="319">
        <v>0</v>
      </c>
      <c r="W1013" s="319">
        <v>0</v>
      </c>
      <c r="X1013" s="330"/>
      <c r="Y1013" s="344">
        <v>0</v>
      </c>
      <c r="Z1013" s="53">
        <v>0</v>
      </c>
      <c r="AA1013" s="53">
        <v>-5.2386894822120667E-10</v>
      </c>
      <c r="AB1013" s="328">
        <v>0</v>
      </c>
      <c r="AD1013" s="53">
        <v>0</v>
      </c>
      <c r="AE1013" s="53">
        <v>0</v>
      </c>
    </row>
    <row r="1014" spans="1:31" x14ac:dyDescent="0.2">
      <c r="A1014" s="312">
        <v>35</v>
      </c>
      <c r="B1014" s="423" t="s">
        <v>2204</v>
      </c>
      <c r="C1014" s="424" t="s">
        <v>1360</v>
      </c>
      <c r="D1014" s="313">
        <v>10332</v>
      </c>
      <c r="E1014" s="313"/>
      <c r="F1014" s="313">
        <v>9693</v>
      </c>
      <c r="G1014" s="313"/>
      <c r="H1014" s="313">
        <v>437</v>
      </c>
      <c r="I1014" s="313"/>
      <c r="J1014" s="313">
        <v>202</v>
      </c>
      <c r="K1014" s="313">
        <v>102</v>
      </c>
      <c r="L1014" s="313">
        <v>100</v>
      </c>
      <c r="M1014" s="313"/>
      <c r="N1014" s="313"/>
      <c r="O1014" s="313">
        <v>10332</v>
      </c>
      <c r="P1014" s="313">
        <v>550</v>
      </c>
      <c r="Q1014" s="313"/>
      <c r="R1014" s="313">
        <v>10332</v>
      </c>
      <c r="S1014" s="313" t="s">
        <v>2565</v>
      </c>
      <c r="T1014" s="313"/>
      <c r="U1014" s="319"/>
      <c r="V1014" s="319"/>
      <c r="W1014" s="319"/>
      <c r="X1014" s="330"/>
      <c r="Y1014" s="331"/>
    </row>
    <row r="1015" spans="1:31" x14ac:dyDescent="0.2">
      <c r="A1015" s="312">
        <v>36</v>
      </c>
      <c r="B1015" s="423" t="s">
        <v>1081</v>
      </c>
      <c r="C1015" s="311"/>
      <c r="D1015" s="313">
        <v>120887152</v>
      </c>
      <c r="E1015" s="313"/>
      <c r="F1015" s="313">
        <v>113829808</v>
      </c>
      <c r="G1015" s="313"/>
      <c r="H1015" s="313">
        <v>4603430</v>
      </c>
      <c r="I1015" s="313"/>
      <c r="J1015" s="313">
        <v>2453914</v>
      </c>
      <c r="K1015" s="313">
        <v>1258692</v>
      </c>
      <c r="L1015" s="313">
        <v>1195223</v>
      </c>
      <c r="M1015" s="313"/>
      <c r="N1015" s="313"/>
      <c r="O1015" s="313"/>
      <c r="P1015" s="313"/>
      <c r="Q1015" s="313"/>
      <c r="R1015" s="313"/>
      <c r="S1015" s="313"/>
      <c r="T1015" s="313"/>
      <c r="U1015" s="319"/>
      <c r="V1015" s="319"/>
      <c r="W1015" s="319"/>
      <c r="X1015" s="330"/>
      <c r="Y1015" s="331"/>
    </row>
    <row r="1016" spans="1:31" x14ac:dyDescent="0.2">
      <c r="A1016" s="312">
        <v>37</v>
      </c>
      <c r="B1016" s="426" t="s">
        <v>1082</v>
      </c>
      <c r="C1016" s="424" t="s">
        <v>1360</v>
      </c>
      <c r="D1016" s="313">
        <v>965135</v>
      </c>
      <c r="E1016" s="313"/>
      <c r="F1016" s="313">
        <v>911492</v>
      </c>
      <c r="G1016" s="313"/>
      <c r="H1016" s="313">
        <v>36693</v>
      </c>
      <c r="I1016" s="313"/>
      <c r="J1016" s="313">
        <v>16950</v>
      </c>
      <c r="K1016" s="313">
        <v>8598</v>
      </c>
      <c r="L1016" s="313">
        <v>8352</v>
      </c>
      <c r="M1016" s="313"/>
      <c r="N1016" s="313"/>
      <c r="O1016" s="313">
        <v>867002</v>
      </c>
      <c r="P1016" s="313">
        <v>551</v>
      </c>
      <c r="Q1016" s="313"/>
      <c r="R1016" s="313">
        <v>965135</v>
      </c>
      <c r="S1016" s="313">
        <v>98132.56</v>
      </c>
      <c r="T1016" s="313">
        <v>98132.56</v>
      </c>
      <c r="U1016" s="319" t="s">
        <v>2303</v>
      </c>
      <c r="V1016" s="319">
        <v>0</v>
      </c>
      <c r="W1016" s="319">
        <v>0</v>
      </c>
      <c r="X1016" s="330"/>
      <c r="Y1016" s="331">
        <v>0</v>
      </c>
      <c r="Z1016" s="53">
        <v>0</v>
      </c>
      <c r="AA1016" s="53">
        <v>0</v>
      </c>
      <c r="AB1016" s="53">
        <v>0</v>
      </c>
      <c r="AD1016" s="53">
        <v>0</v>
      </c>
      <c r="AE1016" s="53">
        <v>0</v>
      </c>
    </row>
    <row r="1017" spans="1:31" x14ac:dyDescent="0.2">
      <c r="A1017" s="312">
        <v>38</v>
      </c>
      <c r="B1017" s="423" t="s">
        <v>1083</v>
      </c>
      <c r="C1017" s="424" t="s">
        <v>1360</v>
      </c>
      <c r="D1017" s="313">
        <v>933352</v>
      </c>
      <c r="E1017" s="313"/>
      <c r="F1017" s="313">
        <v>876396</v>
      </c>
      <c r="G1017" s="313"/>
      <c r="H1017" s="313">
        <v>38959</v>
      </c>
      <c r="I1017" s="313"/>
      <c r="J1017" s="313">
        <v>17997</v>
      </c>
      <c r="K1017" s="313">
        <v>9129</v>
      </c>
      <c r="L1017" s="313">
        <v>8868</v>
      </c>
      <c r="M1017" s="313"/>
      <c r="N1017" s="313"/>
      <c r="O1017" s="313">
        <v>920539</v>
      </c>
      <c r="P1017" s="313">
        <v>552</v>
      </c>
      <c r="Q1017" s="313"/>
      <c r="R1017" s="313">
        <v>933352</v>
      </c>
      <c r="S1017" s="313">
        <v>12812.97</v>
      </c>
      <c r="T1017" s="313">
        <v>12812.97</v>
      </c>
      <c r="U1017" s="319" t="s">
        <v>2304</v>
      </c>
      <c r="V1017" s="319">
        <v>0</v>
      </c>
      <c r="W1017" s="319">
        <v>0</v>
      </c>
      <c r="X1017" s="330"/>
      <c r="Y1017" s="331">
        <v>0</v>
      </c>
      <c r="Z1017" s="53">
        <v>0</v>
      </c>
      <c r="AA1017" s="53">
        <v>-7.2759576141834259E-11</v>
      </c>
      <c r="AB1017" s="53">
        <v>0</v>
      </c>
      <c r="AD1017" s="53">
        <v>0</v>
      </c>
      <c r="AE1017" s="53">
        <v>0</v>
      </c>
    </row>
    <row r="1018" spans="1:31" x14ac:dyDescent="0.2">
      <c r="A1018" s="312">
        <v>39</v>
      </c>
      <c r="B1018" s="423" t="s">
        <v>1084</v>
      </c>
      <c r="C1018" s="424" t="s">
        <v>1360</v>
      </c>
      <c r="D1018" s="313">
        <v>7699999</v>
      </c>
      <c r="E1018" s="313"/>
      <c r="F1018" s="313">
        <v>7236966</v>
      </c>
      <c r="G1018" s="313"/>
      <c r="H1018" s="313">
        <v>314752</v>
      </c>
      <c r="I1018" s="313"/>
      <c r="J1018" s="313">
        <v>148281</v>
      </c>
      <c r="K1018" s="313">
        <v>75216</v>
      </c>
      <c r="L1018" s="313">
        <v>73065</v>
      </c>
      <c r="M1018" s="313"/>
      <c r="N1018" s="313"/>
      <c r="O1018" s="313">
        <v>3908495</v>
      </c>
      <c r="P1018" s="313">
        <v>553</v>
      </c>
      <c r="Q1018" s="313"/>
      <c r="R1018" s="313">
        <v>7699999</v>
      </c>
      <c r="S1018" s="313">
        <v>3791504.22</v>
      </c>
      <c r="T1018" s="313">
        <v>3570298.49</v>
      </c>
      <c r="U1018" s="319" t="s">
        <v>2305</v>
      </c>
      <c r="V1018" s="319">
        <v>0</v>
      </c>
      <c r="W1018" s="495">
        <v>149337</v>
      </c>
      <c r="X1018" s="330"/>
      <c r="Y1018" s="331">
        <v>36456</v>
      </c>
      <c r="Z1018" s="490">
        <v>35413</v>
      </c>
      <c r="AA1018" s="53">
        <v>-8.5128704085946083E-10</v>
      </c>
      <c r="AB1018" s="53">
        <v>149336.78551715551</v>
      </c>
      <c r="AD1018" s="53">
        <v>36455.95402105066</v>
      </c>
      <c r="AE1018" s="53">
        <v>35412.998104652856</v>
      </c>
    </row>
    <row r="1019" spans="1:31" x14ac:dyDescent="0.2">
      <c r="A1019" s="312">
        <v>40</v>
      </c>
      <c r="B1019" s="423" t="s">
        <v>1085</v>
      </c>
      <c r="C1019" s="424" t="s">
        <v>1360</v>
      </c>
      <c r="D1019" s="313">
        <v>6524618</v>
      </c>
      <c r="E1019" s="313"/>
      <c r="F1019" s="313">
        <v>5979786</v>
      </c>
      <c r="G1019" s="313"/>
      <c r="H1019" s="313">
        <v>370461</v>
      </c>
      <c r="I1019" s="313"/>
      <c r="J1019" s="313">
        <v>174371</v>
      </c>
      <c r="K1019" s="313">
        <v>88451</v>
      </c>
      <c r="L1019" s="313">
        <v>85921</v>
      </c>
      <c r="M1019" s="313"/>
      <c r="N1019" s="313"/>
      <c r="O1019" s="313">
        <v>4789199</v>
      </c>
      <c r="P1019" s="313">
        <v>554</v>
      </c>
      <c r="Q1019" s="313"/>
      <c r="R1019" s="313">
        <v>6524618</v>
      </c>
      <c r="S1019" s="313">
        <v>1735418.93</v>
      </c>
      <c r="T1019" s="313">
        <v>1486904.82</v>
      </c>
      <c r="U1019" s="319" t="s">
        <v>2306</v>
      </c>
      <c r="V1019" s="319">
        <v>0</v>
      </c>
      <c r="W1019" s="495">
        <v>167773</v>
      </c>
      <c r="X1019" s="330"/>
      <c r="Y1019" s="331">
        <v>40957</v>
      </c>
      <c r="Z1019" s="490">
        <v>39785</v>
      </c>
      <c r="AA1019" s="53">
        <v>-6.8394001573324203E-10</v>
      </c>
      <c r="AB1019" s="53">
        <v>167772.76679847174</v>
      </c>
      <c r="AD1019" s="53">
        <v>40956.528233875171</v>
      </c>
      <c r="AE1019" s="53">
        <v>39784.816929544249</v>
      </c>
    </row>
    <row r="1020" spans="1:31" x14ac:dyDescent="0.2">
      <c r="A1020" s="312">
        <v>41</v>
      </c>
      <c r="B1020" s="423" t="s">
        <v>1086</v>
      </c>
      <c r="C1020" s="311"/>
      <c r="D1020" s="313">
        <v>16123104</v>
      </c>
      <c r="E1020" s="313"/>
      <c r="F1020" s="313">
        <v>15004640</v>
      </c>
      <c r="G1020" s="313"/>
      <c r="H1020" s="313">
        <v>760864</v>
      </c>
      <c r="I1020" s="313"/>
      <c r="J1020" s="313">
        <v>357599</v>
      </c>
      <c r="K1020" s="313">
        <v>181394</v>
      </c>
      <c r="L1020" s="313">
        <v>176205</v>
      </c>
      <c r="M1020" s="313"/>
      <c r="N1020" s="313"/>
      <c r="O1020" s="313"/>
      <c r="P1020" s="313"/>
      <c r="Q1020" s="313"/>
      <c r="R1020" s="313"/>
      <c r="S1020" s="313"/>
      <c r="T1020" s="313"/>
      <c r="U1020" s="319"/>
      <c r="V1020" s="319"/>
      <c r="W1020" s="319"/>
      <c r="X1020" s="330"/>
      <c r="Y1020" s="331"/>
    </row>
    <row r="1021" spans="1:31" x14ac:dyDescent="0.2">
      <c r="A1021" s="45"/>
      <c r="B1021" s="45"/>
      <c r="C1021" s="311"/>
      <c r="D1021" s="313"/>
      <c r="E1021" s="313"/>
      <c r="F1021" s="313"/>
      <c r="G1021" s="313"/>
      <c r="H1021" s="313"/>
      <c r="I1021" s="313"/>
      <c r="J1021" s="313"/>
      <c r="K1021" s="313"/>
      <c r="L1021" s="313"/>
      <c r="M1021" s="313"/>
      <c r="N1021" s="313"/>
      <c r="O1021" s="313"/>
      <c r="P1021" s="313"/>
      <c r="Q1021" s="313"/>
      <c r="R1021" s="313"/>
      <c r="S1021" s="313"/>
      <c r="T1021" s="313"/>
      <c r="U1021" s="319"/>
      <c r="V1021" s="319"/>
      <c r="W1021" s="319"/>
      <c r="X1021" s="330"/>
      <c r="Y1021" s="331"/>
    </row>
    <row r="1022" spans="1:31" x14ac:dyDescent="0.2">
      <c r="A1022" s="312">
        <v>42</v>
      </c>
      <c r="B1022" s="423" t="s">
        <v>1087</v>
      </c>
      <c r="C1022" s="311"/>
      <c r="D1022" s="313">
        <v>137010256</v>
      </c>
      <c r="E1022" s="313"/>
      <c r="F1022" s="313">
        <v>128834449</v>
      </c>
      <c r="G1022" s="313"/>
      <c r="H1022" s="313">
        <v>5364294</v>
      </c>
      <c r="I1022" s="313"/>
      <c r="J1022" s="313">
        <v>2811514</v>
      </c>
      <c r="K1022" s="313">
        <v>1440086</v>
      </c>
      <c r="L1022" s="313">
        <v>1371428</v>
      </c>
      <c r="M1022" s="313"/>
      <c r="N1022" s="313"/>
      <c r="O1022" s="313"/>
      <c r="P1022" s="313"/>
      <c r="Q1022" s="313"/>
      <c r="R1022" s="313">
        <v>137010256</v>
      </c>
      <c r="S1022" s="313" t="s">
        <v>2565</v>
      </c>
      <c r="T1022" s="313"/>
      <c r="U1022" s="319"/>
      <c r="V1022" s="319"/>
      <c r="W1022" s="319"/>
      <c r="X1022" s="330"/>
    </row>
    <row r="1023" spans="1:31" x14ac:dyDescent="0.2">
      <c r="A1023" s="45"/>
      <c r="B1023" s="45"/>
      <c r="C1023" s="311"/>
      <c r="D1023" s="313"/>
      <c r="E1023" s="313"/>
      <c r="F1023" s="313"/>
      <c r="G1023" s="313"/>
      <c r="H1023" s="313"/>
      <c r="I1023" s="313"/>
      <c r="J1023" s="313"/>
      <c r="K1023" s="313"/>
      <c r="L1023" s="313"/>
      <c r="M1023" s="313"/>
      <c r="N1023" s="313"/>
      <c r="O1023" s="313"/>
      <c r="P1023" s="313"/>
      <c r="Q1023" s="313"/>
      <c r="R1023" s="313"/>
      <c r="S1023" s="313"/>
      <c r="T1023" s="313"/>
      <c r="U1023" s="319"/>
      <c r="V1023" s="319"/>
      <c r="W1023" s="319"/>
      <c r="X1023" s="330"/>
    </row>
    <row r="1024" spans="1:31" x14ac:dyDescent="0.2">
      <c r="A1024" s="45"/>
      <c r="B1024" s="425" t="s">
        <v>1095</v>
      </c>
      <c r="C1024" s="45"/>
      <c r="D1024" s="313"/>
      <c r="E1024" s="313"/>
      <c r="F1024" s="313"/>
      <c r="G1024" s="313"/>
      <c r="H1024" s="313"/>
      <c r="I1024" s="313"/>
      <c r="J1024" s="313"/>
      <c r="K1024" s="313"/>
      <c r="L1024" s="313"/>
      <c r="M1024" s="313"/>
      <c r="N1024" s="313"/>
      <c r="O1024" s="313"/>
      <c r="P1024" s="313"/>
      <c r="Q1024" s="313"/>
      <c r="R1024" s="313"/>
      <c r="S1024" s="313"/>
      <c r="T1024" s="313"/>
      <c r="U1024" s="319"/>
      <c r="V1024" s="319"/>
      <c r="W1024" s="319"/>
      <c r="X1024" s="330"/>
    </row>
    <row r="1025" spans="1:25" x14ac:dyDescent="0.2">
      <c r="A1025" s="45"/>
      <c r="B1025" s="45"/>
      <c r="C1025" s="45"/>
      <c r="D1025" s="313"/>
      <c r="E1025" s="313"/>
      <c r="F1025" s="313"/>
      <c r="G1025" s="313"/>
      <c r="H1025" s="313"/>
      <c r="I1025" s="313"/>
      <c r="J1025" s="313"/>
      <c r="K1025" s="313"/>
      <c r="L1025" s="313"/>
      <c r="M1025" s="313"/>
      <c r="N1025" s="313"/>
      <c r="O1025" s="313"/>
      <c r="P1025" s="313"/>
      <c r="Q1025" s="313"/>
      <c r="R1025" s="313"/>
      <c r="S1025" s="313"/>
      <c r="T1025" s="313"/>
      <c r="U1025" s="319"/>
      <c r="V1025" s="319"/>
      <c r="W1025" s="319"/>
      <c r="X1025" s="330"/>
    </row>
    <row r="1026" spans="1:25" x14ac:dyDescent="0.2">
      <c r="A1026" s="45"/>
      <c r="B1026" s="423" t="s">
        <v>1088</v>
      </c>
      <c r="C1026" s="311"/>
      <c r="D1026" s="313"/>
      <c r="E1026" s="313"/>
      <c r="F1026" s="313"/>
      <c r="G1026" s="313"/>
      <c r="H1026" s="313"/>
      <c r="I1026" s="313"/>
      <c r="J1026" s="313"/>
      <c r="K1026" s="313"/>
      <c r="L1026" s="313"/>
      <c r="M1026" s="313"/>
      <c r="N1026" s="313"/>
      <c r="O1026" s="313"/>
      <c r="P1026" s="313">
        <v>555</v>
      </c>
      <c r="Q1026" s="313"/>
      <c r="R1026" s="313">
        <v>51756701</v>
      </c>
      <c r="S1026" s="313" t="s">
        <v>2565</v>
      </c>
      <c r="T1026" s="313"/>
      <c r="U1026" s="319"/>
      <c r="V1026" s="319"/>
      <c r="W1026" s="319"/>
      <c r="X1026" s="330"/>
    </row>
    <row r="1027" spans="1:25" x14ac:dyDescent="0.2">
      <c r="A1027" s="312">
        <v>43</v>
      </c>
      <c r="B1027" s="423" t="s">
        <v>1089</v>
      </c>
      <c r="C1027" s="424" t="s">
        <v>1270</v>
      </c>
      <c r="D1027" s="313">
        <v>10238540</v>
      </c>
      <c r="E1027" s="313"/>
      <c r="F1027" s="313">
        <v>9604907</v>
      </c>
      <c r="G1027" s="313"/>
      <c r="H1027" s="313">
        <v>434986</v>
      </c>
      <c r="I1027" s="313"/>
      <c r="J1027" s="313">
        <v>198647</v>
      </c>
      <c r="K1027" s="313">
        <v>100765</v>
      </c>
      <c r="L1027" s="313">
        <v>97882</v>
      </c>
      <c r="M1027" s="313"/>
      <c r="N1027" s="313"/>
      <c r="O1027" s="313">
        <v>10238540</v>
      </c>
      <c r="P1027" s="313"/>
      <c r="Q1027" s="313"/>
      <c r="R1027" s="313">
        <v>10238540</v>
      </c>
      <c r="S1027" s="313"/>
      <c r="T1027" s="313"/>
      <c r="U1027" s="319"/>
      <c r="V1027" s="319"/>
      <c r="W1027" s="319"/>
      <c r="X1027" s="330"/>
    </row>
    <row r="1028" spans="1:25" x14ac:dyDescent="0.2">
      <c r="A1028" s="312">
        <v>44</v>
      </c>
      <c r="B1028" s="423" t="s">
        <v>1090</v>
      </c>
      <c r="C1028" s="424" t="s">
        <v>1378</v>
      </c>
      <c r="D1028" s="313">
        <v>41518161</v>
      </c>
      <c r="E1028" s="313"/>
      <c r="F1028" s="313">
        <v>39102871</v>
      </c>
      <c r="G1028" s="313"/>
      <c r="H1028" s="313">
        <v>1570358</v>
      </c>
      <c r="I1028" s="313"/>
      <c r="J1028" s="313">
        <v>844933</v>
      </c>
      <c r="K1028" s="313">
        <v>433682</v>
      </c>
      <c r="L1028" s="313">
        <v>411251</v>
      </c>
      <c r="M1028" s="313"/>
      <c r="N1028" s="313"/>
      <c r="O1028" s="313">
        <v>41518161</v>
      </c>
      <c r="P1028" s="313"/>
      <c r="Q1028" s="313"/>
      <c r="R1028" s="313"/>
      <c r="S1028" s="313"/>
      <c r="T1028" s="313"/>
      <c r="U1028" s="319"/>
      <c r="V1028" s="319"/>
      <c r="W1028" s="319"/>
      <c r="X1028" s="330"/>
      <c r="Y1028" s="319"/>
    </row>
    <row r="1029" spans="1:25" x14ac:dyDescent="0.2">
      <c r="A1029" s="312">
        <v>45</v>
      </c>
      <c r="B1029" s="423" t="s">
        <v>1091</v>
      </c>
      <c r="C1029" s="311"/>
      <c r="D1029" s="313">
        <v>51756701</v>
      </c>
      <c r="E1029" s="313"/>
      <c r="F1029" s="313">
        <v>48707778</v>
      </c>
      <c r="G1029" s="313"/>
      <c r="H1029" s="313">
        <v>2005343</v>
      </c>
      <c r="I1029" s="313"/>
      <c r="J1029" s="313">
        <v>1043580</v>
      </c>
      <c r="K1029" s="313">
        <v>534447</v>
      </c>
      <c r="L1029" s="313">
        <v>509133</v>
      </c>
      <c r="M1029" s="313"/>
      <c r="N1029" s="313"/>
      <c r="O1029" s="313">
        <v>51756701</v>
      </c>
      <c r="P1029" s="313"/>
      <c r="Q1029" s="313"/>
      <c r="R1029" s="313"/>
      <c r="S1029" s="313"/>
      <c r="T1029" s="313"/>
      <c r="U1029" s="319"/>
      <c r="V1029" s="319"/>
      <c r="W1029" s="319"/>
      <c r="X1029" s="330"/>
      <c r="Y1029" s="319"/>
    </row>
    <row r="1030" spans="1:25" x14ac:dyDescent="0.2">
      <c r="A1030" s="45"/>
      <c r="B1030" s="45"/>
      <c r="C1030" s="311"/>
      <c r="D1030" s="313"/>
      <c r="E1030" s="313"/>
      <c r="F1030" s="313"/>
      <c r="G1030" s="313"/>
      <c r="H1030" s="313"/>
      <c r="I1030" s="313"/>
      <c r="J1030" s="313"/>
      <c r="K1030" s="313"/>
      <c r="L1030" s="313"/>
      <c r="M1030" s="313"/>
      <c r="N1030" s="313"/>
      <c r="O1030" s="313"/>
      <c r="P1030" s="313"/>
      <c r="Q1030" s="313"/>
      <c r="R1030" s="313"/>
      <c r="S1030" s="313"/>
      <c r="T1030" s="313"/>
      <c r="U1030" s="319"/>
      <c r="V1030" s="319"/>
      <c r="W1030" s="319"/>
      <c r="X1030" s="330"/>
    </row>
    <row r="1031" spans="1:25" x14ac:dyDescent="0.2">
      <c r="A1031" s="312">
        <v>46</v>
      </c>
      <c r="B1031" s="423" t="s">
        <v>1092</v>
      </c>
      <c r="C1031" s="424" t="s">
        <v>1270</v>
      </c>
      <c r="D1031" s="313">
        <v>2452014</v>
      </c>
      <c r="E1031" s="313"/>
      <c r="F1031" s="313">
        <v>2300266</v>
      </c>
      <c r="G1031" s="313"/>
      <c r="H1031" s="313">
        <v>104174</v>
      </c>
      <c r="I1031" s="313"/>
      <c r="J1031" s="313">
        <v>47574</v>
      </c>
      <c r="K1031" s="313">
        <v>24132</v>
      </c>
      <c r="L1031" s="313">
        <v>23442</v>
      </c>
      <c r="M1031" s="313"/>
      <c r="N1031" s="313"/>
      <c r="O1031" s="313">
        <v>2452014</v>
      </c>
      <c r="P1031" s="313">
        <v>556</v>
      </c>
      <c r="Q1031" s="313"/>
      <c r="R1031" s="313">
        <v>2452014</v>
      </c>
      <c r="S1031" s="313" t="s">
        <v>2565</v>
      </c>
      <c r="T1031" s="313"/>
      <c r="U1031" s="319"/>
      <c r="V1031" s="319"/>
      <c r="W1031" s="319"/>
      <c r="X1031" s="330"/>
    </row>
    <row r="1032" spans="1:25" x14ac:dyDescent="0.2">
      <c r="A1032" s="312">
        <v>47</v>
      </c>
      <c r="B1032" s="423" t="s">
        <v>1093</v>
      </c>
      <c r="C1032" s="424" t="s">
        <v>913</v>
      </c>
      <c r="D1032" s="313">
        <v>182814</v>
      </c>
      <c r="E1032" s="313"/>
      <c r="F1032" s="313">
        <v>171386</v>
      </c>
      <c r="G1032" s="313"/>
      <c r="H1032" s="313">
        <v>7816</v>
      </c>
      <c r="I1032" s="313"/>
      <c r="J1032" s="313">
        <v>3612</v>
      </c>
      <c r="K1032" s="313">
        <v>1832</v>
      </c>
      <c r="L1032" s="313">
        <v>1780</v>
      </c>
      <c r="M1032" s="313"/>
      <c r="N1032" s="313"/>
      <c r="O1032" s="313">
        <v>182814</v>
      </c>
      <c r="P1032" s="313">
        <v>557</v>
      </c>
      <c r="Q1032" s="313"/>
      <c r="R1032" s="313">
        <v>182814</v>
      </c>
      <c r="S1032" s="313" t="s">
        <v>2565</v>
      </c>
      <c r="T1032" s="313"/>
      <c r="U1032" s="319"/>
      <c r="V1032" s="319"/>
      <c r="W1032" s="319"/>
      <c r="X1032" s="330"/>
      <c r="Y1032" s="319"/>
    </row>
    <row r="1033" spans="1:25" x14ac:dyDescent="0.2">
      <c r="A1033" s="45"/>
      <c r="B1033" s="45"/>
      <c r="C1033" s="311"/>
      <c r="D1033" s="313"/>
      <c r="E1033" s="313"/>
      <c r="F1033" s="313"/>
      <c r="G1033" s="313"/>
      <c r="H1033" s="313"/>
      <c r="I1033" s="313"/>
      <c r="J1033" s="313"/>
      <c r="K1033" s="313"/>
      <c r="L1033" s="313"/>
      <c r="M1033" s="313"/>
      <c r="N1033" s="313"/>
      <c r="O1033" s="313"/>
      <c r="P1033" s="313"/>
      <c r="Q1033" s="313"/>
      <c r="R1033" s="313"/>
      <c r="S1033" s="313"/>
      <c r="T1033" s="313"/>
      <c r="U1033" s="319"/>
      <c r="V1033" s="319"/>
      <c r="W1033" s="319"/>
      <c r="X1033" s="330"/>
      <c r="Y1033" s="319"/>
    </row>
    <row r="1034" spans="1:25" x14ac:dyDescent="0.2">
      <c r="A1034" s="312">
        <v>48</v>
      </c>
      <c r="B1034" s="423" t="s">
        <v>1094</v>
      </c>
      <c r="C1034" s="311"/>
      <c r="D1034" s="313">
        <v>640687945</v>
      </c>
      <c r="E1034" s="313"/>
      <c r="F1034" s="313">
        <v>603062158</v>
      </c>
      <c r="G1034" s="313"/>
      <c r="H1034" s="313">
        <v>24739859</v>
      </c>
      <c r="I1034" s="313"/>
      <c r="J1034" s="313">
        <v>12885928</v>
      </c>
      <c r="K1034" s="313">
        <v>6598338</v>
      </c>
      <c r="L1034" s="313">
        <v>6287590</v>
      </c>
      <c r="M1034" s="313"/>
      <c r="N1034" s="313"/>
      <c r="O1034" s="313"/>
      <c r="P1034" s="313"/>
      <c r="Q1034" s="313"/>
      <c r="R1034" s="313">
        <v>640687945</v>
      </c>
      <c r="S1034" s="313" t="s">
        <v>2565</v>
      </c>
      <c r="T1034" s="313"/>
      <c r="U1034" s="319"/>
      <c r="V1034" s="319"/>
      <c r="W1034" s="319"/>
      <c r="X1034" s="330"/>
    </row>
    <row r="1035" spans="1:25" x14ac:dyDescent="0.2">
      <c r="A1035" s="45"/>
      <c r="B1035" s="45"/>
      <c r="C1035" s="311"/>
      <c r="D1035" s="313"/>
      <c r="E1035" s="313"/>
      <c r="F1035" s="313"/>
      <c r="G1035" s="313"/>
      <c r="H1035" s="313"/>
      <c r="I1035" s="313"/>
      <c r="J1035" s="313"/>
      <c r="K1035" s="313"/>
      <c r="L1035" s="313"/>
      <c r="M1035" s="313"/>
      <c r="N1035" s="313"/>
      <c r="O1035" s="313"/>
      <c r="P1035" s="313"/>
      <c r="Q1035" s="313"/>
      <c r="R1035" s="313"/>
      <c r="S1035" s="313"/>
      <c r="T1035" s="313"/>
      <c r="U1035" s="319"/>
      <c r="V1035" s="319"/>
      <c r="W1035" s="319"/>
      <c r="X1035" s="330"/>
    </row>
    <row r="1036" spans="1:25" x14ac:dyDescent="0.2">
      <c r="A1036" s="45"/>
      <c r="B1036" s="425" t="s">
        <v>1095</v>
      </c>
      <c r="C1036" s="45"/>
      <c r="D1036" s="313"/>
      <c r="E1036" s="313"/>
      <c r="F1036" s="313"/>
      <c r="G1036" s="313"/>
      <c r="H1036" s="313"/>
      <c r="I1036" s="313"/>
      <c r="J1036" s="313"/>
      <c r="K1036" s="313"/>
      <c r="L1036" s="313"/>
      <c r="M1036" s="313"/>
      <c r="N1036" s="313"/>
      <c r="O1036" s="313"/>
      <c r="P1036" s="313"/>
      <c r="Q1036" s="313"/>
      <c r="R1036" s="313"/>
      <c r="S1036" s="313"/>
      <c r="T1036" s="313"/>
      <c r="U1036" s="319"/>
      <c r="V1036" s="319"/>
      <c r="W1036" s="319"/>
      <c r="X1036" s="330"/>
    </row>
    <row r="1037" spans="1:25" x14ac:dyDescent="0.2">
      <c r="A1037" s="45"/>
      <c r="B1037" s="45"/>
      <c r="C1037" s="45"/>
      <c r="D1037" s="313"/>
      <c r="E1037" s="313"/>
      <c r="F1037" s="313"/>
      <c r="G1037" s="313"/>
      <c r="H1037" s="313"/>
      <c r="I1037" s="313"/>
      <c r="J1037" s="313"/>
      <c r="K1037" s="313"/>
      <c r="L1037" s="313"/>
      <c r="M1037" s="313"/>
      <c r="N1037" s="313"/>
      <c r="O1037" s="313"/>
      <c r="P1037" s="313"/>
      <c r="Q1037" s="313"/>
      <c r="R1037" s="313"/>
      <c r="S1037" s="313"/>
      <c r="T1037" s="313"/>
      <c r="U1037" s="319"/>
      <c r="V1037" s="319"/>
      <c r="W1037" s="319"/>
      <c r="X1037" s="330"/>
    </row>
    <row r="1038" spans="1:25" x14ac:dyDescent="0.2">
      <c r="A1038" s="45"/>
      <c r="B1038" s="423" t="s">
        <v>1096</v>
      </c>
      <c r="C1038" s="45"/>
      <c r="D1038" s="313"/>
      <c r="E1038" s="313"/>
      <c r="F1038" s="313"/>
      <c r="G1038" s="313"/>
      <c r="H1038" s="313"/>
      <c r="I1038" s="313"/>
      <c r="J1038" s="313"/>
      <c r="K1038" s="313"/>
      <c r="L1038" s="313"/>
      <c r="M1038" s="313"/>
      <c r="N1038" s="313"/>
      <c r="O1038" s="313"/>
      <c r="P1038" s="313"/>
      <c r="Q1038" s="313"/>
      <c r="R1038" s="313"/>
      <c r="S1038" s="313"/>
      <c r="T1038" s="313"/>
      <c r="U1038" s="319"/>
      <c r="V1038" s="319"/>
      <c r="W1038" s="319"/>
      <c r="X1038" s="330"/>
    </row>
    <row r="1039" spans="1:25" x14ac:dyDescent="0.2">
      <c r="A1039" s="312">
        <v>1</v>
      </c>
      <c r="B1039" s="423" t="s">
        <v>1097</v>
      </c>
      <c r="C1039" s="424" t="s">
        <v>515</v>
      </c>
      <c r="D1039" s="313">
        <v>2076855</v>
      </c>
      <c r="E1039" s="313"/>
      <c r="F1039" s="313">
        <v>1854542</v>
      </c>
      <c r="G1039" s="313"/>
      <c r="H1039" s="313">
        <v>222313</v>
      </c>
      <c r="I1039" s="313"/>
      <c r="J1039" s="313">
        <v>0</v>
      </c>
      <c r="K1039" s="313">
        <v>0</v>
      </c>
      <c r="L1039" s="313">
        <v>0</v>
      </c>
      <c r="M1039" s="313"/>
      <c r="N1039" s="313"/>
      <c r="O1039" s="313">
        <v>2076855</v>
      </c>
      <c r="P1039" s="313">
        <v>560</v>
      </c>
      <c r="Q1039" s="313"/>
      <c r="R1039" s="313">
        <v>2076855</v>
      </c>
      <c r="S1039" s="313" t="s">
        <v>2565</v>
      </c>
      <c r="T1039" s="313"/>
      <c r="U1039" s="319"/>
      <c r="V1039" s="319"/>
      <c r="W1039" s="319"/>
      <c r="X1039" s="330"/>
    </row>
    <row r="1040" spans="1:25" x14ac:dyDescent="0.2">
      <c r="A1040" s="312">
        <v>2</v>
      </c>
      <c r="B1040" s="423" t="s">
        <v>1098</v>
      </c>
      <c r="C1040" s="424" t="s">
        <v>2136</v>
      </c>
      <c r="D1040" s="313">
        <v>5050903</v>
      </c>
      <c r="E1040" s="313"/>
      <c r="F1040" s="313">
        <v>4510239</v>
      </c>
      <c r="G1040" s="313"/>
      <c r="H1040" s="313">
        <v>540664</v>
      </c>
      <c r="I1040" s="313"/>
      <c r="J1040" s="313">
        <v>0</v>
      </c>
      <c r="K1040" s="313">
        <v>0</v>
      </c>
      <c r="L1040" s="313">
        <v>0</v>
      </c>
      <c r="M1040" s="313"/>
      <c r="N1040" s="313"/>
      <c r="O1040" s="313">
        <v>5050903</v>
      </c>
      <c r="P1040" s="313">
        <v>561</v>
      </c>
      <c r="Q1040" s="313"/>
      <c r="R1040" s="313">
        <v>5050903</v>
      </c>
      <c r="S1040" s="313" t="s">
        <v>2565</v>
      </c>
      <c r="T1040" s="313"/>
      <c r="U1040" s="319"/>
      <c r="V1040" s="319"/>
      <c r="W1040" s="319"/>
      <c r="X1040" s="330"/>
      <c r="Y1040" s="319"/>
    </row>
    <row r="1041" spans="1:27" x14ac:dyDescent="0.2">
      <c r="A1041" s="312">
        <v>3</v>
      </c>
      <c r="B1041" s="423" t="s">
        <v>1099</v>
      </c>
      <c r="C1041" s="424" t="s">
        <v>2136</v>
      </c>
      <c r="D1041" s="313">
        <v>1310413</v>
      </c>
      <c r="E1041" s="313"/>
      <c r="F1041" s="313">
        <v>1170142</v>
      </c>
      <c r="G1041" s="313"/>
      <c r="H1041" s="313">
        <v>140271</v>
      </c>
      <c r="I1041" s="313"/>
      <c r="J1041" s="313">
        <v>0</v>
      </c>
      <c r="K1041" s="313">
        <v>0</v>
      </c>
      <c r="L1041" s="313">
        <v>0</v>
      </c>
      <c r="M1041" s="313"/>
      <c r="N1041" s="313"/>
      <c r="O1041" s="313">
        <v>1310413</v>
      </c>
      <c r="P1041" s="313">
        <v>562</v>
      </c>
      <c r="Q1041" s="313"/>
      <c r="R1041" s="313">
        <v>1310413</v>
      </c>
      <c r="S1041" s="313" t="s">
        <v>2565</v>
      </c>
      <c r="T1041" s="313"/>
      <c r="U1041" s="319"/>
      <c r="V1041" s="319"/>
      <c r="W1041" s="319"/>
      <c r="X1041" s="330"/>
      <c r="Y1041" s="319"/>
    </row>
    <row r="1042" spans="1:27" x14ac:dyDescent="0.2">
      <c r="A1042" s="312">
        <v>4</v>
      </c>
      <c r="B1042" s="423" t="s">
        <v>1100</v>
      </c>
      <c r="C1042" s="424" t="s">
        <v>2136</v>
      </c>
      <c r="D1042" s="313">
        <v>1238414</v>
      </c>
      <c r="E1042" s="313"/>
      <c r="F1042" s="313">
        <v>1105850</v>
      </c>
      <c r="G1042" s="313"/>
      <c r="H1042" s="313">
        <v>132564</v>
      </c>
      <c r="I1042" s="313"/>
      <c r="J1042" s="313">
        <v>0</v>
      </c>
      <c r="K1042" s="313">
        <v>0</v>
      </c>
      <c r="L1042" s="313">
        <v>0</v>
      </c>
      <c r="M1042" s="313"/>
      <c r="N1042" s="313"/>
      <c r="O1042" s="313">
        <v>1238414</v>
      </c>
      <c r="P1042" s="313">
        <v>563</v>
      </c>
      <c r="Q1042" s="313"/>
      <c r="R1042" s="313">
        <v>1238414</v>
      </c>
      <c r="S1042" s="313" t="s">
        <v>2565</v>
      </c>
      <c r="T1042" s="313"/>
      <c r="U1042" s="319"/>
      <c r="V1042" s="319"/>
      <c r="W1042" s="319"/>
      <c r="X1042" s="330"/>
      <c r="Y1042" s="319"/>
    </row>
    <row r="1043" spans="1:27" x14ac:dyDescent="0.2">
      <c r="A1043" s="312">
        <v>5</v>
      </c>
      <c r="B1043" s="423" t="s">
        <v>1101</v>
      </c>
      <c r="C1043" s="424" t="s">
        <v>2136</v>
      </c>
      <c r="D1043" s="313">
        <v>0</v>
      </c>
      <c r="E1043" s="313"/>
      <c r="F1043" s="313">
        <v>0</v>
      </c>
      <c r="G1043" s="313"/>
      <c r="H1043" s="313">
        <v>0</v>
      </c>
      <c r="I1043" s="313"/>
      <c r="J1043" s="313">
        <v>0</v>
      </c>
      <c r="K1043" s="313">
        <v>0</v>
      </c>
      <c r="L1043" s="313">
        <v>0</v>
      </c>
      <c r="M1043" s="313"/>
      <c r="N1043" s="313"/>
      <c r="O1043" s="313">
        <v>0</v>
      </c>
      <c r="P1043" s="313">
        <v>564</v>
      </c>
      <c r="Q1043" s="313"/>
      <c r="R1043" s="313">
        <v>0</v>
      </c>
      <c r="S1043" s="313" t="s">
        <v>2565</v>
      </c>
      <c r="T1043" s="313"/>
      <c r="U1043" s="319"/>
      <c r="V1043" s="319"/>
      <c r="W1043" s="319"/>
      <c r="X1043" s="330"/>
      <c r="Y1043" s="319"/>
    </row>
    <row r="1044" spans="1:27" x14ac:dyDescent="0.2">
      <c r="A1044" s="312">
        <v>6</v>
      </c>
      <c r="B1044" s="423" t="s">
        <v>1102</v>
      </c>
      <c r="C1044" s="424" t="s">
        <v>2136</v>
      </c>
      <c r="D1044" s="313">
        <v>3329838</v>
      </c>
      <c r="E1044" s="313"/>
      <c r="F1044" s="313">
        <v>2973402</v>
      </c>
      <c r="G1044" s="313"/>
      <c r="H1044" s="313">
        <v>356436</v>
      </c>
      <c r="I1044" s="313"/>
      <c r="J1044" s="313">
        <v>0</v>
      </c>
      <c r="K1044" s="313">
        <v>0</v>
      </c>
      <c r="L1044" s="313">
        <v>0</v>
      </c>
      <c r="M1044" s="313"/>
      <c r="N1044" s="313"/>
      <c r="O1044" s="313">
        <v>3329838</v>
      </c>
      <c r="P1044" s="313">
        <v>565</v>
      </c>
      <c r="Q1044" s="313"/>
      <c r="R1044" s="313">
        <v>3329838</v>
      </c>
      <c r="S1044" s="313" t="s">
        <v>2565</v>
      </c>
      <c r="T1044" s="313"/>
      <c r="U1044" s="319"/>
      <c r="V1044" s="319"/>
      <c r="W1044" s="319"/>
      <c r="X1044" s="330"/>
      <c r="Y1044" s="319"/>
    </row>
    <row r="1045" spans="1:27" x14ac:dyDescent="0.2">
      <c r="A1045" s="312">
        <v>7</v>
      </c>
      <c r="B1045" s="423" t="s">
        <v>1103</v>
      </c>
      <c r="C1045" s="424" t="s">
        <v>2136</v>
      </c>
      <c r="D1045" s="313">
        <v>27152785</v>
      </c>
      <c r="E1045" s="313"/>
      <c r="F1045" s="313">
        <v>24246266</v>
      </c>
      <c r="G1045" s="313"/>
      <c r="H1045" s="313">
        <v>2906519</v>
      </c>
      <c r="I1045" s="313"/>
      <c r="J1045" s="313">
        <v>0</v>
      </c>
      <c r="K1045" s="313">
        <v>0</v>
      </c>
      <c r="L1045" s="313">
        <v>0</v>
      </c>
      <c r="M1045" s="313"/>
      <c r="N1045" s="313"/>
      <c r="O1045" s="313">
        <v>27152785</v>
      </c>
      <c r="P1045" s="313">
        <v>566</v>
      </c>
      <c r="Q1045" s="313"/>
      <c r="R1045" s="313">
        <v>27152785</v>
      </c>
      <c r="S1045" s="313" t="s">
        <v>2565</v>
      </c>
      <c r="T1045" s="313"/>
      <c r="U1045" s="319"/>
      <c r="V1045" s="319"/>
      <c r="W1045" s="319"/>
      <c r="X1045" s="330"/>
      <c r="Y1045" s="319"/>
    </row>
    <row r="1046" spans="1:27" x14ac:dyDescent="0.2">
      <c r="A1046" s="312">
        <v>8</v>
      </c>
      <c r="B1046" s="423" t="s">
        <v>1104</v>
      </c>
      <c r="C1046" s="424" t="s">
        <v>2136</v>
      </c>
      <c r="D1046" s="313">
        <v>189602</v>
      </c>
      <c r="E1046" s="313"/>
      <c r="F1046" s="313">
        <v>169306</v>
      </c>
      <c r="G1046" s="313"/>
      <c r="H1046" s="313">
        <v>20296</v>
      </c>
      <c r="I1046" s="313"/>
      <c r="J1046" s="313">
        <v>0</v>
      </c>
      <c r="K1046" s="313">
        <v>0</v>
      </c>
      <c r="L1046" s="313">
        <v>0</v>
      </c>
      <c r="M1046" s="313"/>
      <c r="N1046" s="313"/>
      <c r="O1046" s="313">
        <v>189602</v>
      </c>
      <c r="P1046" s="313">
        <v>567</v>
      </c>
      <c r="Q1046" s="313"/>
      <c r="R1046" s="313">
        <v>189602</v>
      </c>
      <c r="S1046" s="313" t="s">
        <v>2565</v>
      </c>
      <c r="T1046" s="313"/>
      <c r="U1046" s="319"/>
      <c r="V1046" s="319"/>
      <c r="W1046" s="319"/>
      <c r="X1046" s="330"/>
      <c r="Y1046" s="326"/>
    </row>
    <row r="1047" spans="1:27" x14ac:dyDescent="0.2">
      <c r="A1047" s="310">
        <v>9</v>
      </c>
      <c r="B1047" s="426" t="s">
        <v>2064</v>
      </c>
      <c r="C1047" s="424" t="s">
        <v>2136</v>
      </c>
      <c r="D1047" s="313">
        <v>0</v>
      </c>
      <c r="E1047" s="313"/>
      <c r="F1047" s="313">
        <v>0</v>
      </c>
      <c r="G1047" s="313"/>
      <c r="H1047" s="313">
        <v>0</v>
      </c>
      <c r="I1047" s="313"/>
      <c r="J1047" s="313">
        <v>0</v>
      </c>
      <c r="K1047" s="313">
        <v>0</v>
      </c>
      <c r="L1047" s="313">
        <v>0</v>
      </c>
      <c r="M1047" s="313"/>
      <c r="N1047" s="313"/>
      <c r="O1047" s="313">
        <v>0</v>
      </c>
      <c r="P1047" s="313">
        <v>575.70000000000005</v>
      </c>
      <c r="Q1047" s="313"/>
      <c r="R1047" s="313">
        <v>0</v>
      </c>
      <c r="S1047" s="313" t="s">
        <v>2565</v>
      </c>
      <c r="T1047" s="313"/>
      <c r="U1047" s="319"/>
      <c r="V1047" s="319"/>
      <c r="W1047" s="319"/>
      <c r="X1047" s="330"/>
      <c r="Y1047" s="319"/>
      <c r="AA1047" s="319"/>
    </row>
    <row r="1048" spans="1:27" x14ac:dyDescent="0.2">
      <c r="A1048" s="312">
        <v>10</v>
      </c>
      <c r="B1048" s="423" t="s">
        <v>1105</v>
      </c>
      <c r="C1048" s="45"/>
      <c r="D1048" s="313">
        <v>40348810</v>
      </c>
      <c r="E1048" s="313"/>
      <c r="F1048" s="313">
        <v>36029747</v>
      </c>
      <c r="G1048" s="313"/>
      <c r="H1048" s="313">
        <v>4319063</v>
      </c>
      <c r="I1048" s="313"/>
      <c r="J1048" s="313">
        <v>0</v>
      </c>
      <c r="K1048" s="313">
        <v>0</v>
      </c>
      <c r="L1048" s="313">
        <v>0</v>
      </c>
      <c r="M1048" s="313"/>
      <c r="N1048" s="313"/>
      <c r="O1048" s="313"/>
      <c r="P1048" s="313"/>
      <c r="Q1048" s="313"/>
      <c r="R1048" s="313"/>
      <c r="S1048" s="313"/>
      <c r="T1048" s="313"/>
      <c r="U1048" s="358"/>
      <c r="V1048" s="319"/>
      <c r="W1048" s="319"/>
      <c r="X1048" s="330"/>
      <c r="Y1048" s="326"/>
      <c r="AA1048" s="326"/>
    </row>
    <row r="1049" spans="1:27" x14ac:dyDescent="0.2">
      <c r="A1049" s="312">
        <v>11</v>
      </c>
      <c r="B1049" s="423" t="s">
        <v>1106</v>
      </c>
      <c r="C1049" s="424" t="s">
        <v>2136</v>
      </c>
      <c r="D1049" s="313">
        <v>0</v>
      </c>
      <c r="E1049" s="313"/>
      <c r="F1049" s="313">
        <v>0</v>
      </c>
      <c r="G1049" s="313"/>
      <c r="H1049" s="313">
        <v>0</v>
      </c>
      <c r="I1049" s="313"/>
      <c r="J1049" s="313">
        <v>0</v>
      </c>
      <c r="K1049" s="313">
        <v>0</v>
      </c>
      <c r="L1049" s="313">
        <v>0</v>
      </c>
      <c r="M1049" s="313"/>
      <c r="N1049" s="313"/>
      <c r="O1049" s="313">
        <v>0</v>
      </c>
      <c r="P1049" s="313">
        <v>568</v>
      </c>
      <c r="Q1049" s="313"/>
      <c r="R1049" s="313">
        <v>0</v>
      </c>
      <c r="S1049" s="313" t="s">
        <v>2565</v>
      </c>
      <c r="T1049" s="313"/>
      <c r="U1049" s="319"/>
      <c r="V1049" s="319"/>
      <c r="W1049" s="319"/>
      <c r="X1049" s="330"/>
      <c r="Y1049" s="316"/>
      <c r="Z1049" s="326"/>
    </row>
    <row r="1050" spans="1:27" x14ac:dyDescent="0.2">
      <c r="A1050" s="312">
        <v>12</v>
      </c>
      <c r="B1050" s="423" t="s">
        <v>1107</v>
      </c>
      <c r="C1050" s="424" t="s">
        <v>2136</v>
      </c>
      <c r="D1050" s="313">
        <v>0</v>
      </c>
      <c r="E1050" s="313"/>
      <c r="F1050" s="313">
        <v>0</v>
      </c>
      <c r="G1050" s="313"/>
      <c r="H1050" s="313">
        <v>0</v>
      </c>
      <c r="I1050" s="313"/>
      <c r="J1050" s="313">
        <v>0</v>
      </c>
      <c r="K1050" s="313">
        <v>0</v>
      </c>
      <c r="L1050" s="313">
        <v>0</v>
      </c>
      <c r="M1050" s="313"/>
      <c r="N1050" s="313"/>
      <c r="O1050" s="313">
        <v>0</v>
      </c>
      <c r="P1050" s="313">
        <v>569</v>
      </c>
      <c r="Q1050" s="313"/>
      <c r="R1050" s="313">
        <v>0</v>
      </c>
      <c r="S1050" s="313" t="s">
        <v>2565</v>
      </c>
      <c r="T1050" s="313"/>
      <c r="U1050" s="319"/>
      <c r="V1050" s="319"/>
      <c r="W1050" s="319"/>
      <c r="X1050" s="330"/>
      <c r="Y1050" s="316"/>
      <c r="Z1050" s="359"/>
    </row>
    <row r="1051" spans="1:27" x14ac:dyDescent="0.2">
      <c r="A1051" s="312">
        <v>13</v>
      </c>
      <c r="B1051" s="423" t="s">
        <v>1108</v>
      </c>
      <c r="C1051" s="424" t="s">
        <v>2136</v>
      </c>
      <c r="D1051" s="313">
        <v>2205693</v>
      </c>
      <c r="E1051" s="313"/>
      <c r="F1051" s="313">
        <v>1969589</v>
      </c>
      <c r="G1051" s="313"/>
      <c r="H1051" s="313">
        <v>236104</v>
      </c>
      <c r="I1051" s="313"/>
      <c r="J1051" s="313">
        <v>0</v>
      </c>
      <c r="K1051" s="313">
        <v>0</v>
      </c>
      <c r="L1051" s="313">
        <v>0</v>
      </c>
      <c r="M1051" s="313"/>
      <c r="N1051" s="313"/>
      <c r="O1051" s="313">
        <v>2205693</v>
      </c>
      <c r="P1051" s="313">
        <v>570</v>
      </c>
      <c r="Q1051" s="313"/>
      <c r="R1051" s="313">
        <v>2205693</v>
      </c>
      <c r="S1051" s="313" t="s">
        <v>2565</v>
      </c>
      <c r="T1051" s="313" t="s">
        <v>2307</v>
      </c>
      <c r="U1051" s="319"/>
      <c r="V1051" s="319"/>
      <c r="W1051" s="319"/>
      <c r="X1051" s="330"/>
      <c r="Y1051" s="316"/>
      <c r="Z1051" s="359"/>
    </row>
    <row r="1052" spans="1:27" x14ac:dyDescent="0.2">
      <c r="A1052" s="312">
        <v>14</v>
      </c>
      <c r="B1052" s="426" t="s">
        <v>1109</v>
      </c>
      <c r="C1052" s="424" t="s">
        <v>2136</v>
      </c>
      <c r="D1052" s="313">
        <v>11991206</v>
      </c>
      <c r="E1052" s="313"/>
      <c r="F1052" s="313">
        <v>10707630</v>
      </c>
      <c r="G1052" s="313"/>
      <c r="H1052" s="313">
        <v>1283576</v>
      </c>
      <c r="I1052" s="313"/>
      <c r="J1052" s="313">
        <v>0</v>
      </c>
      <c r="K1052" s="313">
        <v>0</v>
      </c>
      <c r="L1052" s="313">
        <v>0</v>
      </c>
      <c r="M1052" s="313"/>
      <c r="N1052" s="313"/>
      <c r="O1052" s="313">
        <v>11991206</v>
      </c>
      <c r="P1052" s="313">
        <v>571</v>
      </c>
      <c r="Q1052" s="313"/>
      <c r="R1052" s="313">
        <v>11991206</v>
      </c>
      <c r="S1052" s="313" t="s">
        <v>2565</v>
      </c>
      <c r="T1052" s="313">
        <v>0</v>
      </c>
      <c r="U1052" s="319"/>
      <c r="V1052" s="319"/>
      <c r="W1052" s="319"/>
      <c r="X1052" s="330"/>
      <c r="Y1052" s="354"/>
    </row>
    <row r="1053" spans="1:27" x14ac:dyDescent="0.2">
      <c r="A1053" s="312">
        <v>15</v>
      </c>
      <c r="B1053" s="423" t="s">
        <v>1110</v>
      </c>
      <c r="C1053" s="424" t="s">
        <v>2136</v>
      </c>
      <c r="D1053" s="313">
        <v>0</v>
      </c>
      <c r="E1053" s="313"/>
      <c r="F1053" s="313">
        <v>0</v>
      </c>
      <c r="G1053" s="313"/>
      <c r="H1053" s="313">
        <v>0</v>
      </c>
      <c r="I1053" s="313"/>
      <c r="J1053" s="313">
        <v>0</v>
      </c>
      <c r="K1053" s="313">
        <v>0</v>
      </c>
      <c r="L1053" s="313">
        <v>0</v>
      </c>
      <c r="M1053" s="313"/>
      <c r="N1053" s="313"/>
      <c r="O1053" s="313">
        <v>0</v>
      </c>
      <c r="P1053" s="313">
        <v>572</v>
      </c>
      <c r="Q1053" s="313"/>
      <c r="R1053" s="313">
        <v>0</v>
      </c>
      <c r="S1053" s="313" t="s">
        <v>2565</v>
      </c>
      <c r="T1053" s="313" t="s">
        <v>2506</v>
      </c>
      <c r="U1053" s="319"/>
      <c r="V1053" s="319"/>
      <c r="W1053" s="319"/>
      <c r="X1053" s="330"/>
      <c r="Y1053" s="326"/>
    </row>
    <row r="1054" spans="1:27" x14ac:dyDescent="0.2">
      <c r="A1054" s="312">
        <v>16</v>
      </c>
      <c r="B1054" s="423" t="s">
        <v>1111</v>
      </c>
      <c r="C1054" s="424" t="s">
        <v>2136</v>
      </c>
      <c r="D1054" s="313">
        <v>243450</v>
      </c>
      <c r="E1054" s="313"/>
      <c r="F1054" s="313">
        <v>217390</v>
      </c>
      <c r="G1054" s="313"/>
      <c r="H1054" s="313">
        <v>26060</v>
      </c>
      <c r="I1054" s="313"/>
      <c r="J1054" s="313">
        <v>0</v>
      </c>
      <c r="K1054" s="313">
        <v>0</v>
      </c>
      <c r="L1054" s="313">
        <v>0</v>
      </c>
      <c r="M1054" s="313"/>
      <c r="N1054" s="313"/>
      <c r="O1054" s="313">
        <v>243450</v>
      </c>
      <c r="P1054" s="313">
        <v>573</v>
      </c>
      <c r="Q1054" s="313"/>
      <c r="R1054" s="313">
        <v>243450</v>
      </c>
      <c r="S1054" s="313" t="s">
        <v>2565</v>
      </c>
      <c r="T1054" s="313">
        <v>0</v>
      </c>
      <c r="U1054" s="319"/>
      <c r="V1054" s="319"/>
      <c r="W1054" s="319"/>
      <c r="X1054" s="330"/>
      <c r="Y1054" s="319"/>
    </row>
    <row r="1055" spans="1:27" x14ac:dyDescent="0.2">
      <c r="A1055" s="312">
        <v>17</v>
      </c>
      <c r="B1055" s="423" t="s">
        <v>1112</v>
      </c>
      <c r="C1055" s="45"/>
      <c r="D1055" s="313">
        <v>14440349</v>
      </c>
      <c r="E1055" s="313"/>
      <c r="F1055" s="313">
        <v>12894609</v>
      </c>
      <c r="G1055" s="313"/>
      <c r="H1055" s="313">
        <v>1545740</v>
      </c>
      <c r="I1055" s="313"/>
      <c r="J1055" s="313">
        <v>0</v>
      </c>
      <c r="K1055" s="313">
        <v>0</v>
      </c>
      <c r="L1055" s="313">
        <v>0</v>
      </c>
      <c r="M1055" s="313"/>
      <c r="N1055" s="313"/>
      <c r="O1055" s="313"/>
      <c r="P1055" s="313"/>
      <c r="Q1055" s="313"/>
      <c r="R1055" s="313"/>
      <c r="S1055" s="313"/>
      <c r="T1055" s="313"/>
      <c r="U1055" s="319"/>
      <c r="V1055" s="319"/>
      <c r="W1055" s="319"/>
      <c r="X1055" s="330"/>
      <c r="Y1055" s="319"/>
      <c r="Z1055" s="333"/>
    </row>
    <row r="1056" spans="1:27" x14ac:dyDescent="0.2">
      <c r="A1056" s="45"/>
      <c r="B1056" s="45"/>
      <c r="C1056" s="45"/>
      <c r="D1056" s="313"/>
      <c r="E1056" s="313"/>
      <c r="F1056" s="313"/>
      <c r="G1056" s="313"/>
      <c r="H1056" s="313"/>
      <c r="I1056" s="313"/>
      <c r="J1056" s="313"/>
      <c r="K1056" s="313"/>
      <c r="L1056" s="313"/>
      <c r="M1056" s="313"/>
      <c r="N1056" s="313"/>
      <c r="O1056" s="313"/>
      <c r="P1056" s="313"/>
      <c r="Q1056" s="313"/>
      <c r="R1056" s="313"/>
      <c r="S1056" s="313"/>
      <c r="T1056" s="313"/>
      <c r="U1056" s="319"/>
      <c r="V1056" s="319"/>
      <c r="W1056" s="319"/>
      <c r="X1056" s="330"/>
    </row>
    <row r="1057" spans="1:25" x14ac:dyDescent="0.2">
      <c r="A1057" s="312">
        <v>18</v>
      </c>
      <c r="B1057" s="423" t="s">
        <v>1113</v>
      </c>
      <c r="C1057" s="45"/>
      <c r="D1057" s="313">
        <v>54789159</v>
      </c>
      <c r="E1057" s="313"/>
      <c r="F1057" s="313">
        <v>48924356</v>
      </c>
      <c r="G1057" s="313"/>
      <c r="H1057" s="313">
        <v>5864803</v>
      </c>
      <c r="I1057" s="313"/>
      <c r="J1057" s="313">
        <v>0</v>
      </c>
      <c r="K1057" s="313">
        <v>0</v>
      </c>
      <c r="L1057" s="313">
        <v>0</v>
      </c>
      <c r="M1057" s="313"/>
      <c r="N1057" s="313"/>
      <c r="O1057" s="313"/>
      <c r="P1057" s="313"/>
      <c r="Q1057" s="313"/>
      <c r="R1057" s="313">
        <v>54789159</v>
      </c>
      <c r="S1057" s="313" t="s">
        <v>2565</v>
      </c>
      <c r="T1057" s="313"/>
      <c r="U1057" s="319"/>
      <c r="V1057" s="319"/>
      <c r="W1057" s="319"/>
      <c r="X1057" s="330"/>
    </row>
    <row r="1058" spans="1:25" x14ac:dyDescent="0.2">
      <c r="A1058" s="45"/>
      <c r="B1058" s="45"/>
      <c r="C1058" s="311"/>
      <c r="D1058" s="313"/>
      <c r="E1058" s="313"/>
      <c r="F1058" s="313"/>
      <c r="G1058" s="313"/>
      <c r="H1058" s="313"/>
      <c r="I1058" s="313"/>
      <c r="J1058" s="313"/>
      <c r="K1058" s="313"/>
      <c r="L1058" s="313"/>
      <c r="M1058" s="313"/>
      <c r="N1058" s="313"/>
      <c r="O1058" s="313"/>
      <c r="P1058" s="313"/>
      <c r="Q1058" s="313"/>
      <c r="R1058" s="313"/>
      <c r="S1058" s="313"/>
      <c r="T1058" s="313"/>
      <c r="U1058" s="319"/>
      <c r="V1058" s="319"/>
      <c r="W1058" s="319"/>
      <c r="X1058" s="330"/>
    </row>
    <row r="1059" spans="1:25" x14ac:dyDescent="0.2">
      <c r="A1059" s="45"/>
      <c r="B1059" s="423" t="s">
        <v>739</v>
      </c>
      <c r="C1059" s="311"/>
      <c r="D1059" s="313"/>
      <c r="E1059" s="313"/>
      <c r="F1059" s="313"/>
      <c r="G1059" s="313"/>
      <c r="H1059" s="313"/>
      <c r="I1059" s="313"/>
      <c r="J1059" s="313"/>
      <c r="K1059" s="313"/>
      <c r="L1059" s="313"/>
      <c r="M1059" s="313"/>
      <c r="N1059" s="313"/>
      <c r="O1059" s="313"/>
      <c r="P1059" s="313"/>
      <c r="Q1059" s="313"/>
      <c r="R1059" s="313"/>
      <c r="S1059" s="313"/>
      <c r="T1059" s="313"/>
      <c r="U1059" s="319"/>
      <c r="V1059" s="319"/>
      <c r="W1059" s="319"/>
      <c r="X1059" s="330"/>
    </row>
    <row r="1060" spans="1:25" x14ac:dyDescent="0.2">
      <c r="A1060" s="312">
        <v>19</v>
      </c>
      <c r="B1060" s="423" t="s">
        <v>740</v>
      </c>
      <c r="C1060" s="424" t="s">
        <v>1443</v>
      </c>
      <c r="D1060" s="313">
        <v>2007736</v>
      </c>
      <c r="E1060" s="313"/>
      <c r="F1060" s="313">
        <v>1911255</v>
      </c>
      <c r="G1060" s="313"/>
      <c r="H1060" s="313">
        <v>93393</v>
      </c>
      <c r="I1060" s="313"/>
      <c r="J1060" s="313">
        <v>3088</v>
      </c>
      <c r="K1060" s="313">
        <v>3065</v>
      </c>
      <c r="L1060" s="313">
        <v>24</v>
      </c>
      <c r="M1060" s="313"/>
      <c r="N1060" s="313"/>
      <c r="O1060" s="313">
        <v>2007736</v>
      </c>
      <c r="P1060" s="313">
        <v>580</v>
      </c>
      <c r="Q1060" s="313"/>
      <c r="R1060" s="313">
        <v>2007736</v>
      </c>
      <c r="S1060" s="313" t="s">
        <v>2565</v>
      </c>
      <c r="T1060" s="313"/>
      <c r="U1060" s="319"/>
      <c r="V1060" s="319"/>
      <c r="W1060" s="319"/>
      <c r="X1060" s="330"/>
    </row>
    <row r="1061" spans="1:25" x14ac:dyDescent="0.2">
      <c r="A1061" s="312">
        <v>20</v>
      </c>
      <c r="B1061" s="426" t="s">
        <v>741</v>
      </c>
      <c r="C1061" s="427" t="s">
        <v>1921</v>
      </c>
      <c r="D1061" s="313">
        <v>455771</v>
      </c>
      <c r="E1061" s="313"/>
      <c r="F1061" s="313">
        <v>438256</v>
      </c>
      <c r="G1061" s="313"/>
      <c r="H1061" s="313">
        <v>13051</v>
      </c>
      <c r="I1061" s="313"/>
      <c r="J1061" s="313">
        <v>4464</v>
      </c>
      <c r="K1061" s="313">
        <v>4464</v>
      </c>
      <c r="L1061" s="313">
        <v>0</v>
      </c>
      <c r="M1061" s="313"/>
      <c r="N1061" s="313"/>
      <c r="O1061" s="313">
        <v>455771</v>
      </c>
      <c r="P1061" s="313">
        <v>581</v>
      </c>
      <c r="Q1061" s="313"/>
      <c r="R1061" s="313">
        <v>455771</v>
      </c>
      <c r="S1061" s="313" t="s">
        <v>2565</v>
      </c>
      <c r="T1061" s="313"/>
      <c r="U1061" s="319"/>
      <c r="V1061" s="319"/>
      <c r="W1061" s="319"/>
      <c r="X1061" s="330"/>
      <c r="Y1061" s="319"/>
    </row>
    <row r="1062" spans="1:25" x14ac:dyDescent="0.2">
      <c r="A1062" s="312">
        <v>21</v>
      </c>
      <c r="B1062" s="423" t="s">
        <v>742</v>
      </c>
      <c r="C1062" s="427" t="s">
        <v>1921</v>
      </c>
      <c r="D1062" s="313">
        <v>2320251</v>
      </c>
      <c r="E1062" s="313"/>
      <c r="F1062" s="313">
        <v>2231084</v>
      </c>
      <c r="G1062" s="313"/>
      <c r="H1062" s="313">
        <v>66440</v>
      </c>
      <c r="I1062" s="313"/>
      <c r="J1062" s="313">
        <v>22728</v>
      </c>
      <c r="K1062" s="313">
        <v>22728</v>
      </c>
      <c r="L1062" s="313">
        <v>0</v>
      </c>
      <c r="M1062" s="313"/>
      <c r="N1062" s="313"/>
      <c r="O1062" s="313">
        <v>2320251</v>
      </c>
      <c r="P1062" s="313">
        <v>582</v>
      </c>
      <c r="Q1062" s="313"/>
      <c r="R1062" s="313">
        <v>2320251</v>
      </c>
      <c r="S1062" s="313" t="s">
        <v>2565</v>
      </c>
      <c r="T1062" s="313"/>
      <c r="U1062" s="319"/>
      <c r="V1062" s="319"/>
      <c r="W1062" s="319"/>
      <c r="X1062" s="330"/>
      <c r="Y1062" s="319"/>
    </row>
    <row r="1063" spans="1:25" x14ac:dyDescent="0.2">
      <c r="A1063" s="312">
        <v>22</v>
      </c>
      <c r="B1063" s="423" t="s">
        <v>743</v>
      </c>
      <c r="C1063" s="427" t="s">
        <v>1920</v>
      </c>
      <c r="D1063" s="313">
        <v>7066135</v>
      </c>
      <c r="E1063" s="313"/>
      <c r="F1063" s="313">
        <v>6598429</v>
      </c>
      <c r="G1063" s="313"/>
      <c r="H1063" s="313">
        <v>467706</v>
      </c>
      <c r="I1063" s="313"/>
      <c r="J1063" s="313">
        <v>0</v>
      </c>
      <c r="K1063" s="313">
        <v>0</v>
      </c>
      <c r="L1063" s="313">
        <v>0</v>
      </c>
      <c r="M1063" s="313"/>
      <c r="N1063" s="313"/>
      <c r="O1063" s="313">
        <v>7066135</v>
      </c>
      <c r="P1063" s="313">
        <v>583</v>
      </c>
      <c r="Q1063" s="313"/>
      <c r="R1063" s="313">
        <v>7066135</v>
      </c>
      <c r="S1063" s="313" t="s">
        <v>2565</v>
      </c>
      <c r="T1063" s="313"/>
      <c r="U1063" s="319"/>
      <c r="V1063" s="319"/>
      <c r="W1063" s="319"/>
      <c r="X1063" s="330"/>
      <c r="Y1063" s="319"/>
    </row>
    <row r="1064" spans="1:25" x14ac:dyDescent="0.2">
      <c r="A1064" s="312">
        <v>23</v>
      </c>
      <c r="B1064" s="423" t="s">
        <v>744</v>
      </c>
      <c r="C1064" s="427" t="s">
        <v>1922</v>
      </c>
      <c r="D1064" s="313">
        <v>42632</v>
      </c>
      <c r="E1064" s="313"/>
      <c r="F1064" s="313">
        <v>41724</v>
      </c>
      <c r="G1064" s="313"/>
      <c r="H1064" s="313">
        <v>908</v>
      </c>
      <c r="I1064" s="313"/>
      <c r="J1064" s="313">
        <v>0</v>
      </c>
      <c r="K1064" s="313">
        <v>0</v>
      </c>
      <c r="L1064" s="313">
        <v>0</v>
      </c>
      <c r="M1064" s="313"/>
      <c r="N1064" s="313"/>
      <c r="O1064" s="313">
        <v>42632</v>
      </c>
      <c r="P1064" s="313">
        <v>584</v>
      </c>
      <c r="Q1064" s="313"/>
      <c r="R1064" s="313">
        <v>42632</v>
      </c>
      <c r="S1064" s="313" t="s">
        <v>2565</v>
      </c>
      <c r="T1064" s="313"/>
      <c r="U1064" s="319"/>
      <c r="V1064" s="319"/>
      <c r="W1064" s="319"/>
      <c r="X1064" s="330"/>
      <c r="Y1064" s="319"/>
    </row>
    <row r="1065" spans="1:25" x14ac:dyDescent="0.2">
      <c r="A1065" s="312">
        <v>24</v>
      </c>
      <c r="B1065" s="423" t="s">
        <v>745</v>
      </c>
      <c r="C1065" s="427" t="s">
        <v>1923</v>
      </c>
      <c r="D1065" s="313">
        <v>0</v>
      </c>
      <c r="E1065" s="313"/>
      <c r="F1065" s="313">
        <v>0</v>
      </c>
      <c r="G1065" s="313"/>
      <c r="H1065" s="313">
        <v>0</v>
      </c>
      <c r="I1065" s="313"/>
      <c r="J1065" s="313">
        <v>0</v>
      </c>
      <c r="K1065" s="313">
        <v>0</v>
      </c>
      <c r="L1065" s="313">
        <v>0</v>
      </c>
      <c r="M1065" s="313"/>
      <c r="N1065" s="313"/>
      <c r="O1065" s="313">
        <v>0</v>
      </c>
      <c r="P1065" s="313">
        <v>585</v>
      </c>
      <c r="Q1065" s="313"/>
      <c r="R1065" s="313">
        <v>0</v>
      </c>
      <c r="S1065" s="313" t="s">
        <v>2565</v>
      </c>
      <c r="T1065" s="313"/>
      <c r="U1065" s="319"/>
      <c r="V1065" s="319"/>
      <c r="W1065" s="319"/>
      <c r="X1065" s="330"/>
      <c r="Y1065" s="319"/>
    </row>
    <row r="1066" spans="1:25" x14ac:dyDescent="0.2">
      <c r="A1066" s="312">
        <v>25</v>
      </c>
      <c r="B1066" s="423" t="s">
        <v>746</v>
      </c>
      <c r="C1066" s="427" t="s">
        <v>1924</v>
      </c>
      <c r="D1066" s="313">
        <v>10233446</v>
      </c>
      <c r="E1066" s="313"/>
      <c r="F1066" s="313">
        <v>9700980</v>
      </c>
      <c r="G1066" s="313"/>
      <c r="H1066" s="313">
        <v>526518</v>
      </c>
      <c r="I1066" s="313"/>
      <c r="J1066" s="313">
        <v>5948</v>
      </c>
      <c r="K1066" s="313">
        <v>2572</v>
      </c>
      <c r="L1066" s="313">
        <v>3376</v>
      </c>
      <c r="M1066" s="313"/>
      <c r="N1066" s="313"/>
      <c r="O1066" s="313">
        <v>10233446</v>
      </c>
      <c r="P1066" s="313">
        <v>586</v>
      </c>
      <c r="Q1066" s="313"/>
      <c r="R1066" s="313">
        <v>10233446</v>
      </c>
      <c r="S1066" s="313" t="s">
        <v>2565</v>
      </c>
      <c r="T1066" s="313"/>
      <c r="U1066" s="319"/>
      <c r="V1066" s="319"/>
      <c r="W1066" s="319"/>
      <c r="X1066" s="330"/>
      <c r="Y1066" s="319"/>
    </row>
    <row r="1067" spans="1:25" x14ac:dyDescent="0.2">
      <c r="A1067" s="312">
        <v>26</v>
      </c>
      <c r="B1067" s="423" t="s">
        <v>747</v>
      </c>
      <c r="C1067" s="427" t="s">
        <v>1923</v>
      </c>
      <c r="D1067" s="313">
        <v>0</v>
      </c>
      <c r="E1067" s="313"/>
      <c r="F1067" s="313">
        <v>0</v>
      </c>
      <c r="G1067" s="313"/>
      <c r="H1067" s="313">
        <v>0</v>
      </c>
      <c r="I1067" s="313"/>
      <c r="J1067" s="313">
        <v>0</v>
      </c>
      <c r="K1067" s="313">
        <v>0</v>
      </c>
      <c r="L1067" s="313">
        <v>0</v>
      </c>
      <c r="M1067" s="313"/>
      <c r="N1067" s="313"/>
      <c r="O1067" s="313">
        <v>0</v>
      </c>
      <c r="P1067" s="313">
        <v>587</v>
      </c>
      <c r="Q1067" s="313"/>
      <c r="R1067" s="313">
        <v>0</v>
      </c>
      <c r="S1067" s="313" t="s">
        <v>2565</v>
      </c>
      <c r="T1067" s="313"/>
      <c r="U1067" s="319"/>
      <c r="V1067" s="319"/>
      <c r="W1067" s="319"/>
      <c r="X1067" s="330"/>
      <c r="Y1067" s="319"/>
    </row>
    <row r="1068" spans="1:25" x14ac:dyDescent="0.2">
      <c r="A1068" s="312">
        <v>27</v>
      </c>
      <c r="B1068" s="423" t="s">
        <v>748</v>
      </c>
      <c r="C1068" s="424" t="s">
        <v>1443</v>
      </c>
      <c r="D1068" s="313">
        <v>8920239</v>
      </c>
      <c r="E1068" s="313"/>
      <c r="F1068" s="313">
        <v>8491579</v>
      </c>
      <c r="G1068" s="313"/>
      <c r="H1068" s="313">
        <v>414939</v>
      </c>
      <c r="I1068" s="313"/>
      <c r="J1068" s="313">
        <v>13721</v>
      </c>
      <c r="K1068" s="313">
        <v>13617</v>
      </c>
      <c r="L1068" s="313">
        <v>104</v>
      </c>
      <c r="M1068" s="313"/>
      <c r="N1068" s="313"/>
      <c r="O1068" s="313">
        <v>8920239</v>
      </c>
      <c r="P1068" s="313">
        <v>588</v>
      </c>
      <c r="Q1068" s="313"/>
      <c r="R1068" s="313">
        <v>8920239</v>
      </c>
      <c r="S1068" s="313" t="s">
        <v>2565</v>
      </c>
      <c r="T1068" s="313"/>
      <c r="U1068" s="319"/>
      <c r="V1068" s="319"/>
      <c r="W1068" s="319"/>
      <c r="X1068" s="330"/>
      <c r="Y1068" s="319"/>
    </row>
    <row r="1069" spans="1:25" x14ac:dyDescent="0.2">
      <c r="A1069" s="312">
        <v>28</v>
      </c>
      <c r="B1069" s="423" t="s">
        <v>749</v>
      </c>
      <c r="C1069" s="424" t="s">
        <v>1443</v>
      </c>
      <c r="D1069" s="313">
        <v>0</v>
      </c>
      <c r="E1069" s="313"/>
      <c r="F1069" s="313">
        <v>0</v>
      </c>
      <c r="G1069" s="313"/>
      <c r="H1069" s="313">
        <v>0</v>
      </c>
      <c r="I1069" s="313"/>
      <c r="J1069" s="313">
        <v>0</v>
      </c>
      <c r="K1069" s="313">
        <v>0</v>
      </c>
      <c r="L1069" s="313">
        <v>0</v>
      </c>
      <c r="M1069" s="313"/>
      <c r="N1069" s="313"/>
      <c r="O1069" s="313">
        <v>0</v>
      </c>
      <c r="P1069" s="313">
        <v>589</v>
      </c>
      <c r="Q1069" s="313"/>
      <c r="R1069" s="313">
        <v>0</v>
      </c>
      <c r="S1069" s="313" t="s">
        <v>2565</v>
      </c>
      <c r="T1069" s="313"/>
      <c r="U1069" s="319"/>
      <c r="V1069" s="319"/>
      <c r="W1069" s="319"/>
      <c r="X1069" s="330"/>
      <c r="Y1069" s="319"/>
    </row>
    <row r="1070" spans="1:25" x14ac:dyDescent="0.2">
      <c r="A1070" s="312">
        <v>29</v>
      </c>
      <c r="B1070" s="423" t="s">
        <v>750</v>
      </c>
      <c r="C1070" s="311"/>
      <c r="D1070" s="313">
        <v>31046210</v>
      </c>
      <c r="E1070" s="313"/>
      <c r="F1070" s="313">
        <v>29413306</v>
      </c>
      <c r="G1070" s="313"/>
      <c r="H1070" s="313">
        <v>1582953</v>
      </c>
      <c r="I1070" s="313"/>
      <c r="J1070" s="313">
        <v>49950</v>
      </c>
      <c r="K1070" s="313">
        <v>46446</v>
      </c>
      <c r="L1070" s="313">
        <v>3504</v>
      </c>
      <c r="M1070" s="313"/>
      <c r="N1070" s="313"/>
      <c r="O1070" s="313"/>
      <c r="P1070" s="313"/>
      <c r="Q1070" s="313"/>
      <c r="R1070" s="313"/>
      <c r="S1070" s="313"/>
      <c r="T1070" s="313"/>
      <c r="U1070" s="319"/>
      <c r="V1070" s="319"/>
      <c r="W1070" s="319"/>
      <c r="X1070" s="330"/>
      <c r="Y1070" s="319"/>
    </row>
    <row r="1071" spans="1:25" x14ac:dyDescent="0.2">
      <c r="A1071" s="312">
        <v>30</v>
      </c>
      <c r="B1071" s="423" t="s">
        <v>751</v>
      </c>
      <c r="C1071" s="424" t="s">
        <v>1443</v>
      </c>
      <c r="D1071" s="313">
        <v>53485</v>
      </c>
      <c r="E1071" s="313"/>
      <c r="F1071" s="313">
        <v>50915</v>
      </c>
      <c r="G1071" s="313"/>
      <c r="H1071" s="313">
        <v>2488</v>
      </c>
      <c r="I1071" s="313"/>
      <c r="J1071" s="313">
        <v>82</v>
      </c>
      <c r="K1071" s="313">
        <v>82</v>
      </c>
      <c r="L1071" s="313">
        <v>1</v>
      </c>
      <c r="M1071" s="313"/>
      <c r="N1071" s="313"/>
      <c r="O1071" s="313">
        <v>53485</v>
      </c>
      <c r="P1071" s="313">
        <v>590</v>
      </c>
      <c r="Q1071" s="313"/>
      <c r="R1071" s="313">
        <v>53485</v>
      </c>
      <c r="S1071" s="313" t="s">
        <v>2565</v>
      </c>
      <c r="T1071" s="313"/>
      <c r="U1071" s="319"/>
      <c r="V1071" s="319"/>
      <c r="W1071" s="319"/>
      <c r="X1071" s="330"/>
    </row>
    <row r="1072" spans="1:25" x14ac:dyDescent="0.2">
      <c r="A1072" s="312">
        <v>31</v>
      </c>
      <c r="B1072" s="423" t="s">
        <v>752</v>
      </c>
      <c r="C1072" s="427" t="s">
        <v>1921</v>
      </c>
      <c r="D1072" s="313">
        <v>0</v>
      </c>
      <c r="E1072" s="313"/>
      <c r="F1072" s="313">
        <v>0</v>
      </c>
      <c r="G1072" s="313"/>
      <c r="H1072" s="313">
        <v>0</v>
      </c>
      <c r="I1072" s="313"/>
      <c r="J1072" s="313">
        <v>0</v>
      </c>
      <c r="K1072" s="313">
        <v>0</v>
      </c>
      <c r="L1072" s="313">
        <v>0</v>
      </c>
      <c r="M1072" s="313"/>
      <c r="N1072" s="313"/>
      <c r="O1072" s="313">
        <v>0</v>
      </c>
      <c r="P1072" s="313">
        <v>591</v>
      </c>
      <c r="Q1072" s="313"/>
      <c r="R1072" s="313">
        <v>0</v>
      </c>
      <c r="S1072" s="313" t="s">
        <v>2565</v>
      </c>
      <c r="T1072" s="313"/>
      <c r="U1072" s="319"/>
      <c r="V1072" s="319"/>
      <c r="W1072" s="319"/>
      <c r="X1072" s="330"/>
      <c r="Y1072" s="319"/>
    </row>
    <row r="1073" spans="1:25" x14ac:dyDescent="0.2">
      <c r="A1073" s="312">
        <v>32</v>
      </c>
      <c r="B1073" s="423" t="s">
        <v>753</v>
      </c>
      <c r="C1073" s="427" t="s">
        <v>1921</v>
      </c>
      <c r="D1073" s="313">
        <v>1478012</v>
      </c>
      <c r="E1073" s="313"/>
      <c r="F1073" s="313">
        <v>1421212</v>
      </c>
      <c r="G1073" s="313"/>
      <c r="H1073" s="313">
        <v>42322</v>
      </c>
      <c r="I1073" s="313"/>
      <c r="J1073" s="313">
        <v>14478</v>
      </c>
      <c r="K1073" s="313">
        <v>14478</v>
      </c>
      <c r="L1073" s="313">
        <v>0</v>
      </c>
      <c r="M1073" s="313"/>
      <c r="N1073" s="313"/>
      <c r="O1073" s="313">
        <v>1478012</v>
      </c>
      <c r="P1073" s="313">
        <v>592</v>
      </c>
      <c r="Q1073" s="313"/>
      <c r="R1073" s="313">
        <v>1478012</v>
      </c>
      <c r="S1073" s="313" t="s">
        <v>2565</v>
      </c>
      <c r="T1073" s="313" t="s">
        <v>2308</v>
      </c>
      <c r="U1073" s="319"/>
      <c r="V1073" s="319"/>
      <c r="W1073" s="319"/>
      <c r="X1073" s="330"/>
      <c r="Y1073" s="319"/>
    </row>
    <row r="1074" spans="1:25" x14ac:dyDescent="0.2">
      <c r="A1074" s="312">
        <v>33</v>
      </c>
      <c r="B1074" s="423" t="s">
        <v>754</v>
      </c>
      <c r="C1074" s="427" t="s">
        <v>1920</v>
      </c>
      <c r="D1074" s="313">
        <v>30027297</v>
      </c>
      <c r="E1074" s="313"/>
      <c r="F1074" s="313">
        <v>28071515</v>
      </c>
      <c r="G1074" s="313"/>
      <c r="H1074" s="313">
        <v>1955782</v>
      </c>
      <c r="I1074" s="313"/>
      <c r="J1074" s="313">
        <v>0</v>
      </c>
      <c r="K1074" s="313">
        <v>0</v>
      </c>
      <c r="L1074" s="313">
        <v>0</v>
      </c>
      <c r="M1074" s="313"/>
      <c r="N1074" s="313"/>
      <c r="O1074" s="313">
        <v>29548102</v>
      </c>
      <c r="P1074" s="313">
        <v>593</v>
      </c>
      <c r="Q1074" s="313"/>
      <c r="R1074" s="313">
        <v>30027297</v>
      </c>
      <c r="S1074" s="313">
        <v>479195.28</v>
      </c>
      <c r="T1074" s="313">
        <v>0</v>
      </c>
      <c r="U1074" s="319"/>
      <c r="V1074" s="319"/>
      <c r="W1074" s="319"/>
      <c r="X1074" s="330"/>
      <c r="Y1074" s="354"/>
    </row>
    <row r="1075" spans="1:25" x14ac:dyDescent="0.2">
      <c r="A1075" s="312">
        <v>34</v>
      </c>
      <c r="B1075" s="423" t="s">
        <v>755</v>
      </c>
      <c r="C1075" s="427" t="s">
        <v>1922</v>
      </c>
      <c r="D1075" s="313">
        <v>493796</v>
      </c>
      <c r="E1075" s="313"/>
      <c r="F1075" s="313">
        <v>483282</v>
      </c>
      <c r="G1075" s="313"/>
      <c r="H1075" s="313">
        <v>10514</v>
      </c>
      <c r="I1075" s="313"/>
      <c r="J1075" s="313">
        <v>0</v>
      </c>
      <c r="K1075" s="313">
        <v>0</v>
      </c>
      <c r="L1075" s="313">
        <v>0</v>
      </c>
      <c r="M1075" s="313"/>
      <c r="N1075" s="313"/>
      <c r="O1075" s="313">
        <v>493796</v>
      </c>
      <c r="P1075" s="313">
        <v>594</v>
      </c>
      <c r="Q1075" s="313"/>
      <c r="R1075" s="313">
        <v>493796</v>
      </c>
      <c r="S1075" s="313" t="s">
        <v>2565</v>
      </c>
      <c r="T1075" s="313" t="s">
        <v>2307</v>
      </c>
      <c r="U1075" s="319"/>
      <c r="V1075" s="319"/>
      <c r="W1075" s="319"/>
      <c r="X1075" s="330"/>
      <c r="Y1075" s="326"/>
    </row>
    <row r="1076" spans="1:25" x14ac:dyDescent="0.2">
      <c r="A1076" s="312">
        <v>35</v>
      </c>
      <c r="B1076" s="423" t="s">
        <v>756</v>
      </c>
      <c r="C1076" s="427" t="s">
        <v>1926</v>
      </c>
      <c r="D1076" s="313">
        <v>109677</v>
      </c>
      <c r="E1076" s="313"/>
      <c r="F1076" s="313">
        <v>106084</v>
      </c>
      <c r="G1076" s="313"/>
      <c r="H1076" s="313">
        <v>3593</v>
      </c>
      <c r="I1076" s="313"/>
      <c r="J1076" s="313">
        <v>0</v>
      </c>
      <c r="K1076" s="313">
        <v>0</v>
      </c>
      <c r="L1076" s="313">
        <v>0</v>
      </c>
      <c r="M1076" s="313"/>
      <c r="N1076" s="313"/>
      <c r="O1076" s="313">
        <v>109677</v>
      </c>
      <c r="P1076" s="313">
        <v>595</v>
      </c>
      <c r="Q1076" s="313"/>
      <c r="R1076" s="313">
        <v>109677</v>
      </c>
      <c r="S1076" s="313" t="s">
        <v>2565</v>
      </c>
      <c r="T1076" s="313">
        <v>0</v>
      </c>
      <c r="U1076" s="319"/>
      <c r="V1076" s="319"/>
      <c r="W1076" s="319"/>
      <c r="X1076" s="330"/>
      <c r="Y1076" s="354"/>
    </row>
    <row r="1077" spans="1:25" x14ac:dyDescent="0.2">
      <c r="A1077" s="312">
        <v>36</v>
      </c>
      <c r="B1077" s="423" t="s">
        <v>757</v>
      </c>
      <c r="C1077" s="427" t="s">
        <v>1923</v>
      </c>
      <c r="D1077" s="313">
        <v>0</v>
      </c>
      <c r="E1077" s="313"/>
      <c r="F1077" s="313">
        <v>0</v>
      </c>
      <c r="G1077" s="313"/>
      <c r="H1077" s="313">
        <v>0</v>
      </c>
      <c r="I1077" s="313"/>
      <c r="J1077" s="313">
        <v>0</v>
      </c>
      <c r="K1077" s="313">
        <v>0</v>
      </c>
      <c r="L1077" s="313">
        <v>0</v>
      </c>
      <c r="M1077" s="313"/>
      <c r="N1077" s="313"/>
      <c r="O1077" s="313">
        <v>0</v>
      </c>
      <c r="P1077" s="313">
        <v>596</v>
      </c>
      <c r="Q1077" s="313"/>
      <c r="R1077" s="313">
        <v>0</v>
      </c>
      <c r="S1077" s="313" t="s">
        <v>2565</v>
      </c>
      <c r="T1077" s="313" t="s">
        <v>2507</v>
      </c>
      <c r="U1077" s="319"/>
      <c r="V1077" s="319"/>
      <c r="W1077" s="319"/>
      <c r="X1077" s="330"/>
      <c r="Y1077" s="326"/>
    </row>
    <row r="1078" spans="1:25" x14ac:dyDescent="0.2">
      <c r="A1078" s="312">
        <v>37</v>
      </c>
      <c r="B1078" s="423" t="s">
        <v>758</v>
      </c>
      <c r="C1078" s="427" t="s">
        <v>1924</v>
      </c>
      <c r="D1078" s="313">
        <v>30</v>
      </c>
      <c r="E1078" s="313"/>
      <c r="F1078" s="313">
        <v>28</v>
      </c>
      <c r="G1078" s="313"/>
      <c r="H1078" s="313">
        <v>2</v>
      </c>
      <c r="I1078" s="313"/>
      <c r="J1078" s="313">
        <v>0</v>
      </c>
      <c r="K1078" s="313">
        <v>0</v>
      </c>
      <c r="L1078" s="313">
        <v>0</v>
      </c>
      <c r="M1078" s="313"/>
      <c r="N1078" s="313"/>
      <c r="O1078" s="313">
        <v>30</v>
      </c>
      <c r="P1078" s="313">
        <v>597</v>
      </c>
      <c r="Q1078" s="313"/>
      <c r="R1078" s="313">
        <v>30</v>
      </c>
      <c r="S1078" s="313" t="s">
        <v>2565</v>
      </c>
      <c r="T1078" s="313">
        <v>479195</v>
      </c>
      <c r="U1078" s="319"/>
      <c r="V1078" s="319"/>
      <c r="W1078" s="319"/>
      <c r="X1078" s="330"/>
      <c r="Y1078" s="354"/>
    </row>
    <row r="1079" spans="1:25" x14ac:dyDescent="0.2">
      <c r="A1079" s="312">
        <v>38</v>
      </c>
      <c r="B1079" s="423" t="s">
        <v>759</v>
      </c>
      <c r="C1079" s="424" t="s">
        <v>1443</v>
      </c>
      <c r="D1079" s="313">
        <v>613638</v>
      </c>
      <c r="E1079" s="313"/>
      <c r="F1079" s="313">
        <v>584150</v>
      </c>
      <c r="G1079" s="313"/>
      <c r="H1079" s="313">
        <v>28544</v>
      </c>
      <c r="I1079" s="313"/>
      <c r="J1079" s="313">
        <v>944</v>
      </c>
      <c r="K1079" s="313">
        <v>937</v>
      </c>
      <c r="L1079" s="313">
        <v>7</v>
      </c>
      <c r="M1079" s="313"/>
      <c r="N1079" s="313"/>
      <c r="O1079" s="313">
        <v>613638</v>
      </c>
      <c r="P1079" s="313">
        <v>598</v>
      </c>
      <c r="Q1079" s="313"/>
      <c r="R1079" s="313">
        <v>613638</v>
      </c>
      <c r="S1079" s="313" t="s">
        <v>2565</v>
      </c>
      <c r="T1079" s="313"/>
      <c r="U1079" s="319"/>
      <c r="V1079" s="319"/>
      <c r="W1079" s="319"/>
      <c r="X1079" s="330"/>
      <c r="Y1079" s="326"/>
    </row>
    <row r="1080" spans="1:25" x14ac:dyDescent="0.2">
      <c r="A1080" s="312">
        <v>39</v>
      </c>
      <c r="B1080" s="423" t="s">
        <v>760</v>
      </c>
      <c r="C1080" s="311"/>
      <c r="D1080" s="313">
        <v>32775935</v>
      </c>
      <c r="E1080" s="313"/>
      <c r="F1080" s="313">
        <v>30717186</v>
      </c>
      <c r="G1080" s="313"/>
      <c r="H1080" s="313">
        <v>2043245</v>
      </c>
      <c r="I1080" s="313"/>
      <c r="J1080" s="313">
        <v>15504</v>
      </c>
      <c r="K1080" s="313">
        <v>15496</v>
      </c>
      <c r="L1080" s="313">
        <v>8</v>
      </c>
      <c r="M1080" s="313"/>
      <c r="N1080" s="313"/>
      <c r="O1080" s="313"/>
      <c r="P1080" s="313"/>
      <c r="Q1080" s="313"/>
      <c r="R1080" s="313"/>
      <c r="S1080" s="313"/>
      <c r="T1080" s="313"/>
      <c r="U1080" s="319"/>
      <c r="V1080" s="319"/>
      <c r="W1080" s="319"/>
      <c r="X1080" s="330"/>
      <c r="Y1080" s="319"/>
    </row>
    <row r="1081" spans="1:25" x14ac:dyDescent="0.2">
      <c r="A1081" s="45"/>
      <c r="B1081" s="45"/>
      <c r="C1081" s="311"/>
      <c r="D1081" s="313"/>
      <c r="E1081" s="313"/>
      <c r="F1081" s="313"/>
      <c r="G1081" s="313"/>
      <c r="H1081" s="313"/>
      <c r="I1081" s="313"/>
      <c r="J1081" s="313"/>
      <c r="K1081" s="313"/>
      <c r="L1081" s="313"/>
      <c r="M1081" s="313"/>
      <c r="N1081" s="313"/>
      <c r="O1081" s="313"/>
      <c r="P1081" s="313"/>
      <c r="Q1081" s="313"/>
      <c r="R1081" s="313"/>
      <c r="S1081" s="313"/>
      <c r="T1081" s="313"/>
      <c r="U1081" s="319"/>
      <c r="V1081" s="319"/>
      <c r="W1081" s="319"/>
      <c r="X1081" s="330"/>
    </row>
    <row r="1082" spans="1:25" x14ac:dyDescent="0.2">
      <c r="A1082" s="312">
        <v>40</v>
      </c>
      <c r="B1082" s="423" t="s">
        <v>761</v>
      </c>
      <c r="C1082" s="311"/>
      <c r="D1082" s="313">
        <v>63822145</v>
      </c>
      <c r="E1082" s="313"/>
      <c r="F1082" s="313">
        <v>60130492</v>
      </c>
      <c r="G1082" s="313"/>
      <c r="H1082" s="313">
        <v>3626199</v>
      </c>
      <c r="I1082" s="313"/>
      <c r="J1082" s="313">
        <v>65454</v>
      </c>
      <c r="K1082" s="313">
        <v>61942</v>
      </c>
      <c r="L1082" s="313">
        <v>3512</v>
      </c>
      <c r="M1082" s="313"/>
      <c r="N1082" s="313"/>
      <c r="O1082" s="313"/>
      <c r="P1082" s="313"/>
      <c r="Q1082" s="313"/>
      <c r="R1082" s="313"/>
      <c r="S1082" s="313"/>
      <c r="T1082" s="313"/>
      <c r="U1082" s="319"/>
      <c r="V1082" s="319"/>
      <c r="W1082" s="319"/>
      <c r="X1082" s="330"/>
    </row>
    <row r="1083" spans="1:25" x14ac:dyDescent="0.2">
      <c r="A1083" s="45"/>
      <c r="B1083" s="45"/>
      <c r="C1083" s="311"/>
      <c r="D1083" s="313"/>
      <c r="E1083" s="313"/>
      <c r="F1083" s="313"/>
      <c r="G1083" s="313"/>
      <c r="H1083" s="313"/>
      <c r="I1083" s="313"/>
      <c r="J1083" s="313"/>
      <c r="K1083" s="313"/>
      <c r="L1083" s="313"/>
      <c r="M1083" s="313"/>
      <c r="N1083" s="313"/>
      <c r="O1083" s="313"/>
      <c r="P1083" s="313"/>
      <c r="Q1083" s="313"/>
      <c r="R1083" s="313"/>
      <c r="S1083" s="313"/>
      <c r="T1083" s="313"/>
      <c r="U1083" s="319"/>
      <c r="V1083" s="319"/>
      <c r="W1083" s="319"/>
      <c r="X1083" s="330"/>
    </row>
    <row r="1084" spans="1:25" x14ac:dyDescent="0.2">
      <c r="A1084" s="45"/>
      <c r="B1084" s="45"/>
      <c r="C1084" s="45"/>
      <c r="D1084" s="313"/>
      <c r="E1084" s="313"/>
      <c r="F1084" s="313"/>
      <c r="G1084" s="313"/>
      <c r="H1084" s="313"/>
      <c r="I1084" s="313"/>
      <c r="J1084" s="313"/>
      <c r="K1084" s="313"/>
      <c r="L1084" s="313"/>
      <c r="M1084" s="313"/>
      <c r="N1084" s="313"/>
      <c r="O1084" s="313"/>
      <c r="P1084" s="313"/>
      <c r="Q1084" s="313"/>
      <c r="R1084" s="313"/>
      <c r="S1084" s="313"/>
      <c r="T1084" s="313"/>
      <c r="U1084" s="319"/>
      <c r="V1084" s="319"/>
      <c r="W1084" s="319"/>
      <c r="X1084" s="330"/>
    </row>
    <row r="1085" spans="1:25" x14ac:dyDescent="0.2">
      <c r="A1085" s="45"/>
      <c r="B1085" s="425" t="s">
        <v>1095</v>
      </c>
      <c r="C1085" s="45"/>
      <c r="D1085" s="313"/>
      <c r="E1085" s="313"/>
      <c r="F1085" s="313"/>
      <c r="G1085" s="313"/>
      <c r="H1085" s="313"/>
      <c r="I1085" s="313"/>
      <c r="J1085" s="313"/>
      <c r="K1085" s="313"/>
      <c r="L1085" s="313"/>
      <c r="M1085" s="313"/>
      <c r="N1085" s="313"/>
      <c r="O1085" s="313"/>
      <c r="P1085" s="313"/>
      <c r="Q1085" s="313"/>
      <c r="R1085" s="313"/>
      <c r="S1085" s="313"/>
      <c r="T1085" s="313"/>
      <c r="U1085" s="319"/>
      <c r="V1085" s="319"/>
      <c r="W1085" s="319"/>
      <c r="X1085" s="330"/>
    </row>
    <row r="1086" spans="1:25" x14ac:dyDescent="0.2">
      <c r="A1086" s="45"/>
      <c r="B1086" s="45"/>
      <c r="C1086" s="45"/>
      <c r="D1086" s="313"/>
      <c r="E1086" s="313"/>
      <c r="F1086" s="313"/>
      <c r="G1086" s="313"/>
      <c r="H1086" s="313"/>
      <c r="I1086" s="313"/>
      <c r="J1086" s="313"/>
      <c r="K1086" s="313"/>
      <c r="L1086" s="313"/>
      <c r="M1086" s="313"/>
      <c r="N1086" s="313"/>
      <c r="O1086" s="313"/>
      <c r="P1086" s="313"/>
      <c r="Q1086" s="313"/>
      <c r="R1086" s="313"/>
      <c r="S1086" s="313"/>
      <c r="T1086" s="313"/>
      <c r="U1086" s="319"/>
      <c r="V1086" s="319"/>
      <c r="W1086" s="319"/>
      <c r="X1086" s="330"/>
    </row>
    <row r="1087" spans="1:25" x14ac:dyDescent="0.2">
      <c r="A1087" s="45"/>
      <c r="B1087" s="423" t="s">
        <v>762</v>
      </c>
      <c r="C1087" s="45"/>
      <c r="D1087" s="313"/>
      <c r="E1087" s="313"/>
      <c r="F1087" s="313"/>
      <c r="G1087" s="313"/>
      <c r="H1087" s="313"/>
      <c r="I1087" s="313"/>
      <c r="J1087" s="313"/>
      <c r="K1087" s="313"/>
      <c r="L1087" s="313"/>
      <c r="M1087" s="313"/>
      <c r="N1087" s="313"/>
      <c r="O1087" s="313"/>
      <c r="P1087" s="313"/>
      <c r="Q1087" s="313"/>
      <c r="R1087" s="313"/>
      <c r="S1087" s="313"/>
      <c r="T1087" s="313"/>
      <c r="U1087" s="319"/>
      <c r="V1087" s="319"/>
      <c r="W1087" s="319"/>
      <c r="X1087" s="330"/>
    </row>
    <row r="1088" spans="1:25" x14ac:dyDescent="0.2">
      <c r="A1088" s="312">
        <v>1</v>
      </c>
      <c r="B1088" s="423" t="s">
        <v>738</v>
      </c>
      <c r="C1088" s="424" t="s">
        <v>536</v>
      </c>
      <c r="D1088" s="313">
        <v>4454051</v>
      </c>
      <c r="E1088" s="313"/>
      <c r="F1088" s="313">
        <v>4235757</v>
      </c>
      <c r="G1088" s="313"/>
      <c r="H1088" s="313">
        <v>216500</v>
      </c>
      <c r="I1088" s="313"/>
      <c r="J1088" s="313">
        <v>1795</v>
      </c>
      <c r="K1088" s="313">
        <v>718</v>
      </c>
      <c r="L1088" s="313">
        <v>1077</v>
      </c>
      <c r="M1088" s="313"/>
      <c r="N1088" s="313"/>
      <c r="O1088" s="313">
        <v>4454051</v>
      </c>
      <c r="P1088" s="313">
        <v>901</v>
      </c>
      <c r="Q1088" s="313"/>
      <c r="R1088" s="313">
        <v>4454051</v>
      </c>
      <c r="S1088" s="313" t="s">
        <v>2565</v>
      </c>
      <c r="T1088" s="313"/>
      <c r="U1088" s="319"/>
      <c r="V1088" s="319"/>
      <c r="W1088" s="319"/>
      <c r="X1088" s="330"/>
    </row>
    <row r="1089" spans="1:25" x14ac:dyDescent="0.2">
      <c r="A1089" s="312">
        <v>2</v>
      </c>
      <c r="B1089" s="423" t="s">
        <v>327</v>
      </c>
      <c r="C1089" s="424" t="s">
        <v>1396</v>
      </c>
      <c r="D1089" s="313">
        <v>10412449</v>
      </c>
      <c r="E1089" s="313"/>
      <c r="F1089" s="313">
        <v>9902132</v>
      </c>
      <c r="G1089" s="313"/>
      <c r="H1089" s="313">
        <v>506122</v>
      </c>
      <c r="I1089" s="313"/>
      <c r="J1089" s="313">
        <v>4196</v>
      </c>
      <c r="K1089" s="313">
        <v>1678</v>
      </c>
      <c r="L1089" s="313">
        <v>2518</v>
      </c>
      <c r="M1089" s="313"/>
      <c r="N1089" s="313"/>
      <c r="O1089" s="313">
        <v>10412449</v>
      </c>
      <c r="P1089" s="313">
        <v>902</v>
      </c>
      <c r="Q1089" s="313"/>
      <c r="R1089" s="313">
        <v>10412449</v>
      </c>
      <c r="S1089" s="313" t="s">
        <v>2565</v>
      </c>
      <c r="T1089" s="313"/>
      <c r="U1089" s="319"/>
      <c r="V1089" s="319"/>
      <c r="W1089" s="319"/>
      <c r="X1089" s="330"/>
      <c r="Y1089" s="319"/>
    </row>
    <row r="1090" spans="1:25" x14ac:dyDescent="0.2">
      <c r="A1090" s="312">
        <v>3</v>
      </c>
      <c r="B1090" s="423" t="s">
        <v>328</v>
      </c>
      <c r="C1090" s="424" t="s">
        <v>1398</v>
      </c>
      <c r="D1090" s="313">
        <v>22595043</v>
      </c>
      <c r="E1090" s="313"/>
      <c r="F1090" s="313">
        <v>21487653</v>
      </c>
      <c r="G1090" s="313"/>
      <c r="H1090" s="313">
        <v>1098285</v>
      </c>
      <c r="I1090" s="313"/>
      <c r="J1090" s="313">
        <v>9105</v>
      </c>
      <c r="K1090" s="313">
        <v>3642</v>
      </c>
      <c r="L1090" s="313">
        <v>5463</v>
      </c>
      <c r="M1090" s="313"/>
      <c r="N1090" s="313"/>
      <c r="O1090" s="313">
        <v>22595043</v>
      </c>
      <c r="P1090" s="313">
        <v>903</v>
      </c>
      <c r="Q1090" s="313"/>
      <c r="R1090" s="313">
        <v>22595043</v>
      </c>
      <c r="S1090" s="313" t="s">
        <v>2565</v>
      </c>
      <c r="T1090" s="313"/>
      <c r="U1090" s="319"/>
      <c r="V1090" s="319"/>
      <c r="W1090" s="319"/>
      <c r="X1090" s="330"/>
      <c r="Y1090" s="319"/>
    </row>
    <row r="1091" spans="1:25" x14ac:dyDescent="0.2">
      <c r="A1091" s="312">
        <v>4</v>
      </c>
      <c r="B1091" s="423" t="s">
        <v>329</v>
      </c>
      <c r="C1091" s="424" t="s">
        <v>1400</v>
      </c>
      <c r="D1091" s="313">
        <v>4885488</v>
      </c>
      <c r="E1091" s="313"/>
      <c r="F1091" s="313">
        <v>4646049</v>
      </c>
      <c r="G1091" s="313"/>
      <c r="H1091" s="313">
        <v>237471</v>
      </c>
      <c r="I1091" s="313"/>
      <c r="J1091" s="313">
        <v>1969</v>
      </c>
      <c r="K1091" s="313">
        <v>787</v>
      </c>
      <c r="L1091" s="313">
        <v>1181</v>
      </c>
      <c r="M1091" s="313"/>
      <c r="N1091" s="313"/>
      <c r="O1091" s="313">
        <v>4885488</v>
      </c>
      <c r="P1091" s="313">
        <v>904</v>
      </c>
      <c r="Q1091" s="313"/>
      <c r="R1091" s="313">
        <v>4885488</v>
      </c>
      <c r="S1091" s="313" t="s">
        <v>2565</v>
      </c>
      <c r="T1091" s="313"/>
      <c r="U1091" s="319"/>
      <c r="V1091" s="319"/>
      <c r="W1091" s="319"/>
      <c r="X1091" s="330"/>
      <c r="Y1091" s="319"/>
    </row>
    <row r="1092" spans="1:25" x14ac:dyDescent="0.2">
      <c r="A1092" s="312">
        <v>5</v>
      </c>
      <c r="B1092" s="423" t="s">
        <v>330</v>
      </c>
      <c r="C1092" s="427" t="s">
        <v>1927</v>
      </c>
      <c r="D1092" s="313">
        <v>174346</v>
      </c>
      <c r="E1092" s="313"/>
      <c r="F1092" s="313">
        <v>165801</v>
      </c>
      <c r="G1092" s="313"/>
      <c r="H1092" s="313">
        <v>8474</v>
      </c>
      <c r="I1092" s="313"/>
      <c r="J1092" s="313">
        <v>70</v>
      </c>
      <c r="K1092" s="313">
        <v>28</v>
      </c>
      <c r="L1092" s="313">
        <v>42</v>
      </c>
      <c r="M1092" s="313"/>
      <c r="N1092" s="313"/>
      <c r="O1092" s="313">
        <v>174346</v>
      </c>
      <c r="P1092" s="313">
        <v>905</v>
      </c>
      <c r="Q1092" s="313"/>
      <c r="R1092" s="313">
        <v>174346</v>
      </c>
      <c r="S1092" s="313" t="s">
        <v>2565</v>
      </c>
      <c r="T1092" s="313"/>
      <c r="U1092" s="319"/>
      <c r="V1092" s="319"/>
      <c r="W1092" s="319"/>
      <c r="X1092" s="330"/>
      <c r="Y1092" s="319"/>
    </row>
    <row r="1093" spans="1:25" x14ac:dyDescent="0.2">
      <c r="A1093" s="312">
        <v>6</v>
      </c>
      <c r="B1093" s="423" t="s">
        <v>331</v>
      </c>
      <c r="C1093" s="45"/>
      <c r="D1093" s="313">
        <v>42521377</v>
      </c>
      <c r="E1093" s="313"/>
      <c r="F1093" s="313">
        <v>40437391</v>
      </c>
      <c r="G1093" s="313"/>
      <c r="H1093" s="313">
        <v>2066851</v>
      </c>
      <c r="I1093" s="313"/>
      <c r="J1093" s="313">
        <v>17135</v>
      </c>
      <c r="K1093" s="313">
        <v>6854</v>
      </c>
      <c r="L1093" s="313">
        <v>10281</v>
      </c>
      <c r="M1093" s="313"/>
      <c r="N1093" s="313"/>
      <c r="O1093" s="313"/>
      <c r="P1093" s="313"/>
      <c r="Q1093" s="313"/>
      <c r="R1093" s="313"/>
      <c r="S1093" s="313"/>
      <c r="T1093" s="313"/>
      <c r="U1093" s="319"/>
      <c r="V1093" s="319"/>
      <c r="W1093" s="319"/>
      <c r="X1093" s="330"/>
      <c r="Y1093" s="319"/>
    </row>
    <row r="1094" spans="1:25" x14ac:dyDescent="0.2">
      <c r="A1094" s="45"/>
      <c r="B1094" s="45"/>
      <c r="C1094" s="45"/>
      <c r="D1094" s="313"/>
      <c r="E1094" s="313"/>
      <c r="F1094" s="313"/>
      <c r="G1094" s="313"/>
      <c r="H1094" s="313"/>
      <c r="I1094" s="313"/>
      <c r="J1094" s="313"/>
      <c r="K1094" s="313"/>
      <c r="L1094" s="313"/>
      <c r="M1094" s="313"/>
      <c r="N1094" s="313"/>
      <c r="O1094" s="313"/>
      <c r="P1094" s="313"/>
      <c r="Q1094" s="313"/>
      <c r="R1094" s="313"/>
      <c r="S1094" s="313"/>
      <c r="T1094" s="313"/>
      <c r="U1094" s="319"/>
      <c r="V1094" s="319"/>
      <c r="W1094" s="319"/>
      <c r="X1094" s="330"/>
    </row>
    <row r="1095" spans="1:25" x14ac:dyDescent="0.2">
      <c r="A1095" s="45"/>
      <c r="B1095" s="423" t="s">
        <v>332</v>
      </c>
      <c r="C1095" s="45"/>
      <c r="D1095" s="313"/>
      <c r="E1095" s="313"/>
      <c r="F1095" s="313"/>
      <c r="G1095" s="313"/>
      <c r="H1095" s="313"/>
      <c r="I1095" s="313"/>
      <c r="J1095" s="313"/>
      <c r="K1095" s="313"/>
      <c r="L1095" s="313"/>
      <c r="M1095" s="313"/>
      <c r="N1095" s="313"/>
      <c r="O1095" s="313"/>
      <c r="P1095" s="313"/>
      <c r="Q1095" s="313"/>
      <c r="R1095" s="313"/>
      <c r="S1095" s="313"/>
      <c r="T1095" s="313"/>
      <c r="U1095" s="319"/>
      <c r="V1095" s="319"/>
      <c r="W1095" s="319"/>
      <c r="X1095" s="330"/>
    </row>
    <row r="1096" spans="1:25" x14ac:dyDescent="0.2">
      <c r="A1096" s="312">
        <v>7</v>
      </c>
      <c r="B1096" s="423" t="s">
        <v>333</v>
      </c>
      <c r="C1096" s="424" t="s">
        <v>542</v>
      </c>
      <c r="D1096" s="313">
        <v>373399</v>
      </c>
      <c r="E1096" s="313"/>
      <c r="F1096" s="313">
        <v>368993</v>
      </c>
      <c r="G1096" s="313"/>
      <c r="H1096" s="313">
        <v>4406</v>
      </c>
      <c r="I1096" s="313"/>
      <c r="J1096" s="313">
        <v>0</v>
      </c>
      <c r="K1096" s="313">
        <v>0</v>
      </c>
      <c r="L1096" s="313">
        <v>0</v>
      </c>
      <c r="M1096" s="313"/>
      <c r="N1096" s="313"/>
      <c r="O1096" s="313">
        <v>373399</v>
      </c>
      <c r="P1096" s="313">
        <v>907</v>
      </c>
      <c r="Q1096" s="313"/>
      <c r="R1096" s="313">
        <v>373399</v>
      </c>
      <c r="S1096" s="313" t="s">
        <v>2565</v>
      </c>
      <c r="T1096" s="313"/>
      <c r="U1096" s="319"/>
      <c r="V1096" s="319"/>
      <c r="W1096" s="319"/>
      <c r="X1096" s="330"/>
    </row>
    <row r="1097" spans="1:25" x14ac:dyDescent="0.2">
      <c r="A1097" s="312">
        <v>8</v>
      </c>
      <c r="B1097" s="423" t="s">
        <v>334</v>
      </c>
      <c r="C1097" s="424" t="s">
        <v>1410</v>
      </c>
      <c r="D1097" s="313">
        <v>9171811</v>
      </c>
      <c r="E1097" s="313"/>
      <c r="F1097" s="313">
        <v>9171811</v>
      </c>
      <c r="G1097" s="313"/>
      <c r="H1097" s="313">
        <v>0</v>
      </c>
      <c r="I1097" s="313"/>
      <c r="J1097" s="313">
        <v>0</v>
      </c>
      <c r="K1097" s="313">
        <v>0</v>
      </c>
      <c r="L1097" s="313">
        <v>0</v>
      </c>
      <c r="M1097" s="313"/>
      <c r="N1097" s="313"/>
      <c r="O1097" s="313">
        <v>9171811</v>
      </c>
      <c r="P1097" s="313">
        <v>908</v>
      </c>
      <c r="Q1097" s="313"/>
      <c r="R1097" s="313">
        <v>9171811</v>
      </c>
      <c r="S1097" s="313" t="s">
        <v>2565</v>
      </c>
      <c r="T1097" s="313"/>
      <c r="U1097" s="319"/>
      <c r="V1097" s="319"/>
      <c r="W1097" s="319"/>
      <c r="X1097" s="330"/>
      <c r="Y1097" s="319"/>
    </row>
    <row r="1098" spans="1:25" x14ac:dyDescent="0.2">
      <c r="A1098" s="312">
        <v>9</v>
      </c>
      <c r="B1098" s="423" t="s">
        <v>335</v>
      </c>
      <c r="C1098" s="424" t="s">
        <v>1412</v>
      </c>
      <c r="D1098" s="313">
        <v>1788015</v>
      </c>
      <c r="E1098" s="313"/>
      <c r="F1098" s="313">
        <v>1698677</v>
      </c>
      <c r="G1098" s="313"/>
      <c r="H1098" s="313">
        <v>89338</v>
      </c>
      <c r="I1098" s="313"/>
      <c r="J1098" s="313">
        <v>0</v>
      </c>
      <c r="K1098" s="313">
        <v>0</v>
      </c>
      <c r="L1098" s="313">
        <v>0</v>
      </c>
      <c r="M1098" s="313"/>
      <c r="N1098" s="313"/>
      <c r="O1098" s="313">
        <v>1788015</v>
      </c>
      <c r="P1098" s="313">
        <v>909</v>
      </c>
      <c r="Q1098" s="313"/>
      <c r="R1098" s="313">
        <v>1788015</v>
      </c>
      <c r="S1098" s="313" t="s">
        <v>2565</v>
      </c>
      <c r="T1098" s="313"/>
      <c r="U1098" s="319"/>
      <c r="V1098" s="319"/>
      <c r="W1098" s="319"/>
      <c r="X1098" s="330"/>
      <c r="Y1098" s="319"/>
    </row>
    <row r="1099" spans="1:25" x14ac:dyDescent="0.2">
      <c r="A1099" s="312">
        <v>10</v>
      </c>
      <c r="B1099" s="423" t="s">
        <v>336</v>
      </c>
      <c r="C1099" s="427" t="s">
        <v>1928</v>
      </c>
      <c r="D1099" s="313">
        <v>1833884</v>
      </c>
      <c r="E1099" s="313"/>
      <c r="F1099" s="313">
        <v>1818935</v>
      </c>
      <c r="G1099" s="313"/>
      <c r="H1099" s="313">
        <v>14949</v>
      </c>
      <c r="I1099" s="313"/>
      <c r="J1099" s="313">
        <v>0</v>
      </c>
      <c r="K1099" s="313">
        <v>0</v>
      </c>
      <c r="L1099" s="313">
        <v>0</v>
      </c>
      <c r="M1099" s="313"/>
      <c r="N1099" s="313"/>
      <c r="O1099" s="313">
        <v>1833884</v>
      </c>
      <c r="P1099" s="313">
        <v>910</v>
      </c>
      <c r="Q1099" s="313"/>
      <c r="R1099" s="313">
        <v>1833884</v>
      </c>
      <c r="S1099" s="313" t="s">
        <v>2565</v>
      </c>
      <c r="T1099" s="313"/>
      <c r="U1099" s="319"/>
      <c r="V1099" s="319"/>
      <c r="W1099" s="319"/>
      <c r="X1099" s="330"/>
      <c r="Y1099" s="319"/>
    </row>
    <row r="1100" spans="1:25" x14ac:dyDescent="0.2">
      <c r="A1100" s="312">
        <v>11</v>
      </c>
      <c r="B1100" s="423" t="s">
        <v>337</v>
      </c>
      <c r="C1100" s="45"/>
      <c r="D1100" s="313">
        <v>13167109</v>
      </c>
      <c r="E1100" s="313"/>
      <c r="F1100" s="313">
        <v>13058416</v>
      </c>
      <c r="G1100" s="313"/>
      <c r="H1100" s="313">
        <v>108693</v>
      </c>
      <c r="I1100" s="313"/>
      <c r="J1100" s="313">
        <v>0</v>
      </c>
      <c r="K1100" s="313">
        <v>0</v>
      </c>
      <c r="L1100" s="313">
        <v>0</v>
      </c>
      <c r="M1100" s="313"/>
      <c r="N1100" s="313"/>
      <c r="O1100" s="313"/>
      <c r="P1100" s="313"/>
      <c r="Q1100" s="313"/>
      <c r="R1100" s="313"/>
      <c r="S1100" s="313"/>
      <c r="T1100" s="313"/>
      <c r="U1100" s="319"/>
      <c r="V1100" s="319"/>
      <c r="W1100" s="319"/>
      <c r="X1100" s="330"/>
      <c r="Y1100" s="319"/>
    </row>
    <row r="1101" spans="1:25" x14ac:dyDescent="0.2">
      <c r="A1101" s="45"/>
      <c r="B1101" s="45"/>
      <c r="C1101" s="45"/>
      <c r="D1101" s="313"/>
      <c r="E1101" s="313"/>
      <c r="F1101" s="313"/>
      <c r="G1101" s="313"/>
      <c r="H1101" s="313"/>
      <c r="I1101" s="313"/>
      <c r="J1101" s="313"/>
      <c r="K1101" s="313"/>
      <c r="L1101" s="313"/>
      <c r="M1101" s="313"/>
      <c r="N1101" s="313"/>
      <c r="O1101" s="313"/>
      <c r="P1101" s="313"/>
      <c r="Q1101" s="313"/>
      <c r="R1101" s="313"/>
      <c r="S1101" s="313"/>
      <c r="T1101" s="313"/>
      <c r="U1101" s="319"/>
      <c r="V1101" s="319"/>
      <c r="W1101" s="319"/>
      <c r="X1101" s="330"/>
    </row>
    <row r="1102" spans="1:25" x14ac:dyDescent="0.2">
      <c r="A1102" s="45"/>
      <c r="B1102" s="423" t="s">
        <v>338</v>
      </c>
      <c r="C1102" s="45"/>
      <c r="D1102" s="313"/>
      <c r="E1102" s="313"/>
      <c r="F1102" s="313"/>
      <c r="G1102" s="313"/>
      <c r="H1102" s="313"/>
      <c r="I1102" s="313"/>
      <c r="J1102" s="313"/>
      <c r="K1102" s="313"/>
      <c r="L1102" s="313"/>
      <c r="M1102" s="313"/>
      <c r="N1102" s="313"/>
      <c r="O1102" s="313"/>
      <c r="P1102" s="313"/>
      <c r="Q1102" s="313"/>
      <c r="R1102" s="313"/>
      <c r="S1102" s="313"/>
      <c r="T1102" s="313"/>
      <c r="U1102" s="319"/>
      <c r="V1102" s="319"/>
      <c r="W1102" s="319"/>
      <c r="X1102" s="330"/>
    </row>
    <row r="1103" spans="1:25" x14ac:dyDescent="0.2">
      <c r="A1103" s="312">
        <v>12</v>
      </c>
      <c r="B1103" s="423" t="s">
        <v>339</v>
      </c>
      <c r="C1103" s="424" t="s">
        <v>542</v>
      </c>
      <c r="D1103" s="313">
        <v>0</v>
      </c>
      <c r="E1103" s="313"/>
      <c r="F1103" s="313">
        <v>0</v>
      </c>
      <c r="G1103" s="313"/>
      <c r="H1103" s="313">
        <v>0</v>
      </c>
      <c r="I1103" s="313"/>
      <c r="J1103" s="313">
        <v>0</v>
      </c>
      <c r="K1103" s="313">
        <v>0</v>
      </c>
      <c r="L1103" s="313">
        <v>0</v>
      </c>
      <c r="M1103" s="313"/>
      <c r="N1103" s="313"/>
      <c r="O1103" s="313">
        <v>0</v>
      </c>
      <c r="P1103" s="313">
        <v>911</v>
      </c>
      <c r="Q1103" s="313"/>
      <c r="R1103" s="313">
        <v>0</v>
      </c>
      <c r="S1103" s="313" t="s">
        <v>2565</v>
      </c>
      <c r="T1103" s="313"/>
      <c r="U1103" s="319"/>
      <c r="V1103" s="319"/>
      <c r="W1103" s="319"/>
      <c r="X1103" s="330"/>
    </row>
    <row r="1104" spans="1:25" x14ac:dyDescent="0.2">
      <c r="A1104" s="312">
        <v>13</v>
      </c>
      <c r="B1104" s="423" t="s">
        <v>340</v>
      </c>
      <c r="C1104" s="424" t="s">
        <v>1414</v>
      </c>
      <c r="D1104" s="313">
        <v>128000</v>
      </c>
      <c r="E1104" s="313"/>
      <c r="F1104" s="313">
        <v>121604</v>
      </c>
      <c r="G1104" s="313"/>
      <c r="H1104" s="313">
        <v>6396</v>
      </c>
      <c r="I1104" s="313"/>
      <c r="J1104" s="313">
        <v>0</v>
      </c>
      <c r="K1104" s="313">
        <v>0</v>
      </c>
      <c r="L1104" s="313">
        <v>0</v>
      </c>
      <c r="M1104" s="313"/>
      <c r="N1104" s="313"/>
      <c r="O1104" s="313">
        <v>128000</v>
      </c>
      <c r="P1104" s="313">
        <v>912</v>
      </c>
      <c r="Q1104" s="313"/>
      <c r="R1104" s="313">
        <v>128000</v>
      </c>
      <c r="S1104" s="313" t="s">
        <v>2565</v>
      </c>
      <c r="T1104" s="313"/>
      <c r="U1104" s="319"/>
      <c r="V1104" s="319"/>
      <c r="W1104" s="319"/>
      <c r="X1104" s="330"/>
      <c r="Y1104" s="319"/>
    </row>
    <row r="1105" spans="1:25" x14ac:dyDescent="0.2">
      <c r="A1105" s="312">
        <v>14</v>
      </c>
      <c r="B1105" s="423" t="s">
        <v>341</v>
      </c>
      <c r="C1105" s="424" t="s">
        <v>1416</v>
      </c>
      <c r="D1105" s="313">
        <v>1095256</v>
      </c>
      <c r="E1105" s="313"/>
      <c r="F1105" s="313">
        <v>1040532</v>
      </c>
      <c r="G1105" s="313"/>
      <c r="H1105" s="313">
        <v>54724</v>
      </c>
      <c r="I1105" s="313"/>
      <c r="J1105" s="313">
        <v>0</v>
      </c>
      <c r="K1105" s="313">
        <v>0</v>
      </c>
      <c r="L1105" s="313">
        <v>0</v>
      </c>
      <c r="M1105" s="313"/>
      <c r="N1105" s="313"/>
      <c r="O1105" s="313">
        <v>1095256</v>
      </c>
      <c r="P1105" s="313">
        <v>913</v>
      </c>
      <c r="Q1105" s="313"/>
      <c r="R1105" s="313">
        <v>1095256</v>
      </c>
      <c r="S1105" s="313" t="s">
        <v>2565</v>
      </c>
      <c r="T1105" s="313"/>
      <c r="U1105" s="319"/>
      <c r="V1105" s="319"/>
      <c r="W1105" s="319"/>
      <c r="X1105" s="330"/>
      <c r="Y1105" s="319"/>
    </row>
    <row r="1106" spans="1:25" x14ac:dyDescent="0.2">
      <c r="A1106" s="312">
        <v>15</v>
      </c>
      <c r="B1106" s="423" t="s">
        <v>342</v>
      </c>
      <c r="C1106" s="427" t="s">
        <v>1929</v>
      </c>
      <c r="D1106" s="313">
        <v>0</v>
      </c>
      <c r="E1106" s="313"/>
      <c r="F1106" s="313">
        <v>0</v>
      </c>
      <c r="G1106" s="313"/>
      <c r="H1106" s="313">
        <v>0</v>
      </c>
      <c r="I1106" s="313"/>
      <c r="J1106" s="313">
        <v>0</v>
      </c>
      <c r="K1106" s="313">
        <v>0</v>
      </c>
      <c r="L1106" s="313">
        <v>0</v>
      </c>
      <c r="M1106" s="313"/>
      <c r="N1106" s="313"/>
      <c r="O1106" s="313">
        <v>0</v>
      </c>
      <c r="P1106" s="313">
        <v>916</v>
      </c>
      <c r="Q1106" s="313"/>
      <c r="R1106" s="313">
        <v>0</v>
      </c>
      <c r="S1106" s="313" t="s">
        <v>2565</v>
      </c>
      <c r="T1106" s="313"/>
      <c r="U1106" s="319"/>
      <c r="V1106" s="319"/>
      <c r="W1106" s="319"/>
      <c r="X1106" s="330"/>
      <c r="Y1106" s="319"/>
    </row>
    <row r="1107" spans="1:25" x14ac:dyDescent="0.2">
      <c r="A1107" s="312">
        <v>16</v>
      </c>
      <c r="B1107" s="423" t="s">
        <v>343</v>
      </c>
      <c r="C1107" s="45"/>
      <c r="D1107" s="313">
        <v>1223256</v>
      </c>
      <c r="E1107" s="313"/>
      <c r="F1107" s="313">
        <v>1162136</v>
      </c>
      <c r="G1107" s="313"/>
      <c r="H1107" s="313">
        <v>61120</v>
      </c>
      <c r="I1107" s="313"/>
      <c r="J1107" s="313">
        <v>0</v>
      </c>
      <c r="K1107" s="313">
        <v>0</v>
      </c>
      <c r="L1107" s="313">
        <v>0</v>
      </c>
      <c r="M1107" s="313"/>
      <c r="N1107" s="313"/>
      <c r="O1107" s="313"/>
      <c r="P1107" s="313"/>
      <c r="Q1107" s="313"/>
      <c r="R1107" s="313"/>
      <c r="S1107" s="313"/>
      <c r="T1107" s="313"/>
      <c r="U1107" s="319"/>
      <c r="V1107" s="319"/>
      <c r="W1107" s="319"/>
      <c r="X1107" s="330"/>
      <c r="Y1107" s="319"/>
    </row>
    <row r="1108" spans="1:25" x14ac:dyDescent="0.2">
      <c r="A1108" s="45"/>
      <c r="B1108" s="45"/>
      <c r="C1108" s="311"/>
      <c r="D1108" s="313"/>
      <c r="E1108" s="313"/>
      <c r="F1108" s="313"/>
      <c r="G1108" s="313"/>
      <c r="H1108" s="313"/>
      <c r="I1108" s="313"/>
      <c r="J1108" s="313"/>
      <c r="K1108" s="313"/>
      <c r="L1108" s="313"/>
      <c r="M1108" s="313"/>
      <c r="N1108" s="313"/>
      <c r="O1108" s="313"/>
      <c r="P1108" s="313"/>
      <c r="Q1108" s="313"/>
      <c r="R1108" s="313"/>
      <c r="S1108" s="313"/>
      <c r="T1108" s="313"/>
      <c r="U1108" s="319"/>
      <c r="V1108" s="319"/>
      <c r="W1108" s="319"/>
      <c r="X1108" s="330"/>
    </row>
    <row r="1109" spans="1:25" x14ac:dyDescent="0.2">
      <c r="A1109" s="45"/>
      <c r="B1109" s="423" t="s">
        <v>344</v>
      </c>
      <c r="C1109" s="311"/>
      <c r="D1109" s="313"/>
      <c r="E1109" s="313"/>
      <c r="F1109" s="313"/>
      <c r="G1109" s="313"/>
      <c r="H1109" s="313"/>
      <c r="I1109" s="313"/>
      <c r="J1109" s="313"/>
      <c r="K1109" s="313"/>
      <c r="L1109" s="313"/>
      <c r="M1109" s="313"/>
      <c r="N1109" s="313"/>
      <c r="O1109" s="313"/>
      <c r="P1109" s="313"/>
      <c r="Q1109" s="313"/>
      <c r="R1109" s="313"/>
      <c r="S1109" s="313"/>
      <c r="T1109" s="313"/>
      <c r="U1109" s="319"/>
      <c r="V1109" s="319"/>
      <c r="W1109" s="319"/>
      <c r="X1109" s="330"/>
    </row>
    <row r="1110" spans="1:25" x14ac:dyDescent="0.2">
      <c r="A1110" s="45"/>
      <c r="B1110" s="45"/>
      <c r="C1110" s="311"/>
      <c r="D1110" s="313"/>
      <c r="E1110" s="313"/>
      <c r="F1110" s="313"/>
      <c r="G1110" s="313"/>
      <c r="H1110" s="313"/>
      <c r="I1110" s="313"/>
      <c r="J1110" s="313"/>
      <c r="K1110" s="313"/>
      <c r="L1110" s="313"/>
      <c r="M1110" s="313"/>
      <c r="N1110" s="313"/>
      <c r="O1110" s="313"/>
      <c r="P1110" s="313"/>
      <c r="Q1110" s="313"/>
      <c r="R1110" s="313"/>
      <c r="S1110" s="313"/>
      <c r="T1110" s="313"/>
      <c r="U1110" s="319"/>
      <c r="V1110" s="319"/>
      <c r="W1110" s="319"/>
      <c r="X1110" s="330"/>
    </row>
    <row r="1111" spans="1:25" x14ac:dyDescent="0.2">
      <c r="A1111" s="45"/>
      <c r="B1111" s="423" t="s">
        <v>267</v>
      </c>
      <c r="C1111" s="311"/>
      <c r="D1111" s="313"/>
      <c r="E1111" s="313"/>
      <c r="F1111" s="313"/>
      <c r="G1111" s="313"/>
      <c r="H1111" s="313"/>
      <c r="I1111" s="313"/>
      <c r="J1111" s="313"/>
      <c r="K1111" s="313"/>
      <c r="L1111" s="313"/>
      <c r="M1111" s="313"/>
      <c r="N1111" s="313"/>
      <c r="O1111" s="313"/>
      <c r="P1111" s="313"/>
      <c r="Q1111" s="313"/>
      <c r="R1111" s="313"/>
      <c r="S1111" s="313"/>
      <c r="T1111" s="313"/>
      <c r="U1111" s="319"/>
      <c r="V1111" s="319"/>
      <c r="W1111" s="319"/>
      <c r="X1111" s="330"/>
    </row>
    <row r="1112" spans="1:25" x14ac:dyDescent="0.2">
      <c r="A1112" s="312">
        <v>17</v>
      </c>
      <c r="B1112" s="423" t="s">
        <v>268</v>
      </c>
      <c r="C1112" s="424" t="s">
        <v>1348</v>
      </c>
      <c r="D1112" s="313">
        <v>9336254</v>
      </c>
      <c r="E1112" s="313"/>
      <c r="F1112" s="313">
        <v>8726372</v>
      </c>
      <c r="G1112" s="313"/>
      <c r="H1112" s="313">
        <v>486703</v>
      </c>
      <c r="I1112" s="313"/>
      <c r="J1112" s="313">
        <v>123179</v>
      </c>
      <c r="K1112" s="313">
        <v>64452</v>
      </c>
      <c r="L1112" s="313">
        <v>58727</v>
      </c>
      <c r="M1112" s="313"/>
      <c r="N1112" s="313"/>
      <c r="O1112" s="313">
        <v>9336254</v>
      </c>
      <c r="P1112" s="313">
        <v>924</v>
      </c>
      <c r="Q1112" s="313"/>
      <c r="R1112" s="313">
        <v>9336254</v>
      </c>
      <c r="S1112" s="313" t="s">
        <v>2565</v>
      </c>
      <c r="T1112" s="313"/>
      <c r="U1112" s="319"/>
      <c r="V1112" s="319"/>
      <c r="W1112" s="319"/>
      <c r="X1112" s="330"/>
    </row>
    <row r="1113" spans="1:25" x14ac:dyDescent="0.2">
      <c r="A1113" s="312">
        <v>18</v>
      </c>
      <c r="B1113" s="423" t="s">
        <v>269</v>
      </c>
      <c r="C1113" s="311"/>
      <c r="D1113" s="313">
        <v>9336254</v>
      </c>
      <c r="E1113" s="313"/>
      <c r="F1113" s="313">
        <v>8726372</v>
      </c>
      <c r="G1113" s="313"/>
      <c r="H1113" s="313">
        <v>486703</v>
      </c>
      <c r="I1113" s="313"/>
      <c r="J1113" s="313">
        <v>123179</v>
      </c>
      <c r="K1113" s="313">
        <v>64452</v>
      </c>
      <c r="L1113" s="313">
        <v>58727</v>
      </c>
      <c r="M1113" s="313"/>
      <c r="N1113" s="313"/>
      <c r="O1113" s="313"/>
      <c r="P1113" s="313"/>
      <c r="Q1113" s="313"/>
      <c r="R1113" s="313"/>
      <c r="S1113" s="313"/>
      <c r="T1113" s="313"/>
      <c r="U1113" s="319"/>
      <c r="V1113" s="319"/>
      <c r="W1113" s="319"/>
      <c r="X1113" s="330"/>
      <c r="Y1113" s="319"/>
    </row>
    <row r="1114" spans="1:25" x14ac:dyDescent="0.2">
      <c r="A1114" s="45"/>
      <c r="B1114" s="45"/>
      <c r="C1114" s="311"/>
      <c r="D1114" s="313"/>
      <c r="E1114" s="313"/>
      <c r="F1114" s="313"/>
      <c r="G1114" s="313"/>
      <c r="H1114" s="313"/>
      <c r="I1114" s="313"/>
      <c r="J1114" s="313"/>
      <c r="K1114" s="313"/>
      <c r="L1114" s="313"/>
      <c r="M1114" s="313"/>
      <c r="N1114" s="313"/>
      <c r="O1114" s="313"/>
      <c r="P1114" s="313"/>
      <c r="Q1114" s="313"/>
      <c r="R1114" s="313"/>
      <c r="S1114" s="313"/>
      <c r="T1114" s="313"/>
      <c r="U1114" s="319"/>
      <c r="V1114" s="319"/>
      <c r="W1114" s="319"/>
      <c r="X1114" s="330"/>
    </row>
    <row r="1115" spans="1:25" x14ac:dyDescent="0.2">
      <c r="A1115" s="45"/>
      <c r="B1115" s="423" t="s">
        <v>270</v>
      </c>
      <c r="C1115" s="311"/>
      <c r="D1115" s="313"/>
      <c r="E1115" s="313"/>
      <c r="F1115" s="313"/>
      <c r="G1115" s="313"/>
      <c r="H1115" s="313"/>
      <c r="I1115" s="313"/>
      <c r="J1115" s="313"/>
      <c r="K1115" s="313"/>
      <c r="L1115" s="313"/>
      <c r="M1115" s="313"/>
      <c r="N1115" s="313"/>
      <c r="O1115" s="313"/>
      <c r="P1115" s="313"/>
      <c r="Q1115" s="313"/>
      <c r="R1115" s="313"/>
      <c r="S1115" s="313"/>
      <c r="T1115" s="313"/>
      <c r="U1115" s="319"/>
      <c r="V1115" s="319"/>
      <c r="W1115" s="319"/>
      <c r="X1115" s="330"/>
    </row>
    <row r="1116" spans="1:25" x14ac:dyDescent="0.2">
      <c r="A1116" s="312">
        <v>19</v>
      </c>
      <c r="B1116" s="423" t="s">
        <v>271</v>
      </c>
      <c r="C1116" s="424" t="s">
        <v>1427</v>
      </c>
      <c r="D1116" s="313">
        <v>35051944</v>
      </c>
      <c r="E1116" s="313"/>
      <c r="F1116" s="313">
        <v>32982894</v>
      </c>
      <c r="G1116" s="313"/>
      <c r="H1116" s="313">
        <v>1667662</v>
      </c>
      <c r="I1116" s="313"/>
      <c r="J1116" s="313">
        <v>401388</v>
      </c>
      <c r="K1116" s="313">
        <v>209288</v>
      </c>
      <c r="L1116" s="313">
        <v>192100</v>
      </c>
      <c r="M1116" s="313"/>
      <c r="N1116" s="313"/>
      <c r="O1116" s="313">
        <v>35051944</v>
      </c>
      <c r="P1116" s="313">
        <v>920</v>
      </c>
      <c r="Q1116" s="313"/>
      <c r="R1116" s="313">
        <v>35051944</v>
      </c>
      <c r="S1116" s="313" t="s">
        <v>2565</v>
      </c>
      <c r="T1116" s="313"/>
      <c r="U1116" s="319"/>
      <c r="V1116" s="319"/>
      <c r="W1116" s="319"/>
      <c r="X1116" s="330"/>
    </row>
    <row r="1117" spans="1:25" x14ac:dyDescent="0.2">
      <c r="A1117" s="312">
        <v>20</v>
      </c>
      <c r="B1117" s="423" t="s">
        <v>272</v>
      </c>
      <c r="C1117" s="424" t="s">
        <v>1427</v>
      </c>
      <c r="D1117" s="313">
        <v>10953868</v>
      </c>
      <c r="E1117" s="313"/>
      <c r="F1117" s="313">
        <v>10307282</v>
      </c>
      <c r="G1117" s="313"/>
      <c r="H1117" s="313">
        <v>521151</v>
      </c>
      <c r="I1117" s="313"/>
      <c r="J1117" s="313">
        <v>125435</v>
      </c>
      <c r="K1117" s="313">
        <v>65403</v>
      </c>
      <c r="L1117" s="313">
        <v>60032</v>
      </c>
      <c r="M1117" s="313"/>
      <c r="N1117" s="313"/>
      <c r="O1117" s="313">
        <v>10953868</v>
      </c>
      <c r="P1117" s="313">
        <v>921</v>
      </c>
      <c r="Q1117" s="313"/>
      <c r="R1117" s="313">
        <v>10953868</v>
      </c>
      <c r="S1117" s="313" t="s">
        <v>2565</v>
      </c>
      <c r="T1117" s="313"/>
      <c r="U1117" s="319"/>
      <c r="V1117" s="319"/>
      <c r="W1117" s="319"/>
      <c r="X1117" s="330"/>
      <c r="Y1117" s="319"/>
    </row>
    <row r="1118" spans="1:25" x14ac:dyDescent="0.2">
      <c r="A1118" s="312">
        <v>21</v>
      </c>
      <c r="B1118" s="423" t="s">
        <v>273</v>
      </c>
      <c r="C1118" s="424" t="s">
        <v>1427</v>
      </c>
      <c r="D1118" s="313">
        <v>-6601177</v>
      </c>
      <c r="E1118" s="313"/>
      <c r="F1118" s="313">
        <v>-6211522</v>
      </c>
      <c r="G1118" s="313"/>
      <c r="H1118" s="313">
        <v>-314063</v>
      </c>
      <c r="I1118" s="313"/>
      <c r="J1118" s="313">
        <v>-75592</v>
      </c>
      <c r="K1118" s="313">
        <v>-39414</v>
      </c>
      <c r="L1118" s="313">
        <v>-36177</v>
      </c>
      <c r="M1118" s="313"/>
      <c r="N1118" s="313"/>
      <c r="O1118" s="313">
        <v>-6601177</v>
      </c>
      <c r="P1118" s="313">
        <v>922</v>
      </c>
      <c r="Q1118" s="313"/>
      <c r="R1118" s="313">
        <v>-6601177</v>
      </c>
      <c r="S1118" s="313" t="s">
        <v>2565</v>
      </c>
      <c r="T1118" s="313"/>
      <c r="U1118" s="319"/>
      <c r="V1118" s="319"/>
      <c r="W1118" s="319"/>
      <c r="X1118" s="330"/>
      <c r="Y1118" s="319"/>
    </row>
    <row r="1119" spans="1:25" x14ac:dyDescent="0.2">
      <c r="A1119" s="312">
        <v>22</v>
      </c>
      <c r="B1119" s="423" t="s">
        <v>274</v>
      </c>
      <c r="C1119" s="424" t="s">
        <v>1427</v>
      </c>
      <c r="D1119" s="313">
        <v>22671063</v>
      </c>
      <c r="E1119" s="313"/>
      <c r="F1119" s="313">
        <v>21332833</v>
      </c>
      <c r="G1119" s="313"/>
      <c r="H1119" s="313">
        <v>1078619</v>
      </c>
      <c r="I1119" s="313"/>
      <c r="J1119" s="313">
        <v>259612</v>
      </c>
      <c r="K1119" s="313">
        <v>135365</v>
      </c>
      <c r="L1119" s="313">
        <v>124247</v>
      </c>
      <c r="M1119" s="313"/>
      <c r="N1119" s="313"/>
      <c r="O1119" s="313">
        <v>22671063</v>
      </c>
      <c r="P1119" s="313">
        <v>923</v>
      </c>
      <c r="Q1119" s="313"/>
      <c r="R1119" s="313">
        <v>22671063</v>
      </c>
      <c r="S1119" s="313" t="s">
        <v>2565</v>
      </c>
      <c r="T1119" s="313"/>
      <c r="U1119" s="319"/>
      <c r="V1119" s="319"/>
      <c r="W1119" s="319"/>
      <c r="X1119" s="330"/>
      <c r="Y1119" s="319"/>
    </row>
    <row r="1120" spans="1:25" x14ac:dyDescent="0.2">
      <c r="A1120" s="312">
        <v>23</v>
      </c>
      <c r="B1120" s="423" t="s">
        <v>275</v>
      </c>
      <c r="C1120" s="424" t="s">
        <v>1427</v>
      </c>
      <c r="D1120" s="313">
        <v>5077359</v>
      </c>
      <c r="E1120" s="313"/>
      <c r="F1120" s="313">
        <v>4777652</v>
      </c>
      <c r="G1120" s="313"/>
      <c r="H1120" s="313">
        <v>241565</v>
      </c>
      <c r="I1120" s="313"/>
      <c r="J1120" s="313">
        <v>58142</v>
      </c>
      <c r="K1120" s="313">
        <v>30316</v>
      </c>
      <c r="L1120" s="313">
        <v>27826</v>
      </c>
      <c r="M1120" s="313"/>
      <c r="N1120" s="313"/>
      <c r="O1120" s="313">
        <v>5077359</v>
      </c>
      <c r="P1120" s="313">
        <v>925</v>
      </c>
      <c r="Q1120" s="313"/>
      <c r="R1120" s="313">
        <v>5077359</v>
      </c>
      <c r="S1120" s="313" t="s">
        <v>2565</v>
      </c>
      <c r="T1120" s="313"/>
      <c r="U1120" s="319"/>
      <c r="V1120" s="319"/>
      <c r="W1120" s="319"/>
      <c r="X1120" s="330"/>
      <c r="Y1120" s="354"/>
    </row>
    <row r="1121" spans="1:32" x14ac:dyDescent="0.2">
      <c r="A1121" s="312">
        <v>24</v>
      </c>
      <c r="B1121" s="423" t="s">
        <v>276</v>
      </c>
      <c r="C1121" s="424" t="s">
        <v>1427</v>
      </c>
      <c r="D1121" s="313">
        <v>33447777</v>
      </c>
      <c r="E1121" s="313"/>
      <c r="F1121" s="313">
        <v>31473418</v>
      </c>
      <c r="G1121" s="313"/>
      <c r="H1121" s="313">
        <v>1591341</v>
      </c>
      <c r="I1121" s="313"/>
      <c r="J1121" s="313">
        <v>383018</v>
      </c>
      <c r="K1121" s="313">
        <v>199710</v>
      </c>
      <c r="L1121" s="313">
        <v>183308</v>
      </c>
      <c r="M1121" s="313"/>
      <c r="N1121" s="313"/>
      <c r="O1121" s="313">
        <v>33447777</v>
      </c>
      <c r="P1121" s="313">
        <v>926</v>
      </c>
      <c r="Q1121" s="313"/>
      <c r="R1121" s="313">
        <v>33659765</v>
      </c>
      <c r="S1121" s="313" t="s">
        <v>2565</v>
      </c>
      <c r="T1121" s="313"/>
      <c r="U1121" s="319" t="s">
        <v>2286</v>
      </c>
      <c r="V1121" s="319" t="s">
        <v>2287</v>
      </c>
      <c r="W1121" s="319" t="s">
        <v>2309</v>
      </c>
      <c r="X1121" s="330" t="s">
        <v>1254</v>
      </c>
      <c r="Y1121" s="331" t="s">
        <v>62</v>
      </c>
      <c r="Z1121" s="319" t="s">
        <v>2058</v>
      </c>
      <c r="AA1121" s="53" t="s">
        <v>2287</v>
      </c>
      <c r="AB1121" s="53" t="s">
        <v>2309</v>
      </c>
      <c r="AC1121" s="53" t="s">
        <v>1254</v>
      </c>
      <c r="AD1121" s="53" t="s">
        <v>62</v>
      </c>
      <c r="AE1121" s="53" t="s">
        <v>2058</v>
      </c>
      <c r="AF1121" s="53" t="s">
        <v>439</v>
      </c>
    </row>
    <row r="1122" spans="1:32" x14ac:dyDescent="0.2">
      <c r="A1122" s="312">
        <v>25</v>
      </c>
      <c r="B1122" s="423" t="s">
        <v>2205</v>
      </c>
      <c r="C1122" s="424" t="s">
        <v>2065</v>
      </c>
      <c r="D1122" s="313">
        <v>0</v>
      </c>
      <c r="E1122" s="313"/>
      <c r="F1122" s="313">
        <v>0</v>
      </c>
      <c r="G1122" s="313"/>
      <c r="H1122" s="313">
        <v>0</v>
      </c>
      <c r="I1122" s="313"/>
      <c r="J1122" s="313">
        <v>0</v>
      </c>
      <c r="K1122" s="313">
        <v>0</v>
      </c>
      <c r="L1122" s="313">
        <v>0</v>
      </c>
      <c r="M1122" s="313"/>
      <c r="N1122" s="313"/>
      <c r="O1122" s="313">
        <v>0</v>
      </c>
      <c r="P1122" s="313"/>
      <c r="Q1122" s="313"/>
      <c r="R1122" s="313"/>
      <c r="S1122" s="313">
        <v>0</v>
      </c>
      <c r="T1122" s="313" t="s">
        <v>2235</v>
      </c>
      <c r="U1122" s="319"/>
      <c r="V1122" s="495">
        <v>170006</v>
      </c>
      <c r="W1122" s="319">
        <v>0</v>
      </c>
      <c r="X1122" s="330">
        <v>41982</v>
      </c>
      <c r="Y1122" s="497">
        <v>211988</v>
      </c>
      <c r="Z1122" s="498">
        <v>21890</v>
      </c>
      <c r="AA1122" s="326">
        <v>170006.27363436497</v>
      </c>
      <c r="AB1122" s="59">
        <v>0</v>
      </c>
      <c r="AC1122" s="59">
        <v>41981.726365635048</v>
      </c>
      <c r="AD1122" s="59">
        <v>211988.00000000003</v>
      </c>
      <c r="AE1122" s="53">
        <v>21889.768764126271</v>
      </c>
      <c r="AF1122" s="53">
        <v>20091.95760150878</v>
      </c>
    </row>
    <row r="1123" spans="1:32" x14ac:dyDescent="0.2">
      <c r="A1123" s="312">
        <v>26</v>
      </c>
      <c r="B1123" s="423" t="s">
        <v>2206</v>
      </c>
      <c r="C1123" s="424" t="s">
        <v>2065</v>
      </c>
      <c r="D1123" s="313">
        <v>170006</v>
      </c>
      <c r="E1123" s="313"/>
      <c r="F1123" s="313">
        <v>0</v>
      </c>
      <c r="G1123" s="313"/>
      <c r="H1123" s="313">
        <v>170006</v>
      </c>
      <c r="I1123" s="313"/>
      <c r="J1123" s="313">
        <v>0</v>
      </c>
      <c r="K1123" s="313">
        <v>0</v>
      </c>
      <c r="L1123" s="313">
        <v>0</v>
      </c>
      <c r="M1123" s="313"/>
      <c r="N1123" s="313"/>
      <c r="O1123" s="313">
        <v>170006</v>
      </c>
      <c r="P1123" s="313"/>
      <c r="Q1123" s="313"/>
      <c r="R1123" s="313"/>
      <c r="S1123" s="313">
        <v>0</v>
      </c>
      <c r="T1123" s="313" t="s">
        <v>2236</v>
      </c>
      <c r="U1123" s="499">
        <v>0.94096999999999997</v>
      </c>
      <c r="V1123" s="499">
        <v>4.7579999999999997E-2</v>
      </c>
      <c r="W1123" s="499">
        <v>0</v>
      </c>
      <c r="X1123" s="499">
        <v>1.145E-2</v>
      </c>
      <c r="Y1123" s="326"/>
      <c r="Z1123" s="500">
        <v>0.52141000000000004</v>
      </c>
      <c r="AA1123" s="59">
        <v>4.7576975215123322E-2</v>
      </c>
      <c r="AB1123" s="59">
        <v>0</v>
      </c>
      <c r="AC1123" s="59">
        <v>1.1451235035014841E-2</v>
      </c>
      <c r="AD1123" s="59"/>
      <c r="AE1123" s="59">
        <v>0.52141182983948375</v>
      </c>
      <c r="AF1123" s="59">
        <v>0.4785881701605163</v>
      </c>
    </row>
    <row r="1124" spans="1:32" x14ac:dyDescent="0.2">
      <c r="A1124" s="312">
        <v>27</v>
      </c>
      <c r="B1124" s="423" t="s">
        <v>2207</v>
      </c>
      <c r="C1124" s="424" t="s">
        <v>2065</v>
      </c>
      <c r="D1124" s="313">
        <v>0</v>
      </c>
      <c r="E1124" s="313"/>
      <c r="F1124" s="313">
        <v>0</v>
      </c>
      <c r="G1124" s="313"/>
      <c r="H1124" s="313">
        <v>0</v>
      </c>
      <c r="I1124" s="313"/>
      <c r="J1124" s="313">
        <v>0</v>
      </c>
      <c r="K1124" s="313">
        <v>0</v>
      </c>
      <c r="L1124" s="313">
        <v>0</v>
      </c>
      <c r="M1124" s="313"/>
      <c r="N1124" s="313"/>
      <c r="O1124" s="313"/>
      <c r="P1124" s="313"/>
      <c r="Q1124" s="313"/>
      <c r="R1124" s="313"/>
      <c r="S1124" s="313">
        <v>0</v>
      </c>
      <c r="T1124" s="313">
        <v>184095229</v>
      </c>
      <c r="U1124" s="495">
        <v>173228434</v>
      </c>
      <c r="V1124" s="495">
        <v>8758678</v>
      </c>
      <c r="W1124" s="319">
        <v>0</v>
      </c>
      <c r="X1124" s="490">
        <v>2108117</v>
      </c>
      <c r="Y1124" s="360"/>
      <c r="Z1124" s="334">
        <v>1099197</v>
      </c>
      <c r="AA1124" s="334">
        <v>8758694.1473554522</v>
      </c>
      <c r="AB1124" s="334">
        <v>0</v>
      </c>
      <c r="AC1124" s="334">
        <v>2108117.7361038802</v>
      </c>
      <c r="AE1124" s="334">
        <v>1099197.5262989942</v>
      </c>
      <c r="AF1124" s="334">
        <v>1008920.2098048863</v>
      </c>
    </row>
    <row r="1125" spans="1:32" x14ac:dyDescent="0.2">
      <c r="A1125" s="312">
        <v>28</v>
      </c>
      <c r="B1125" s="423" t="s">
        <v>2208</v>
      </c>
      <c r="C1125" s="424" t="s">
        <v>2065</v>
      </c>
      <c r="D1125" s="313">
        <v>41982</v>
      </c>
      <c r="E1125" s="313"/>
      <c r="F1125" s="313">
        <v>0</v>
      </c>
      <c r="G1125" s="313"/>
      <c r="H1125" s="313">
        <v>0</v>
      </c>
      <c r="I1125" s="313"/>
      <c r="J1125" s="313">
        <v>41982</v>
      </c>
      <c r="K1125" s="313">
        <v>21890</v>
      </c>
      <c r="L1125" s="313">
        <v>20092</v>
      </c>
      <c r="M1125" s="313"/>
      <c r="N1125" s="313"/>
      <c r="O1125" s="313">
        <v>41982</v>
      </c>
      <c r="P1125" s="313"/>
      <c r="Q1125" s="313"/>
      <c r="R1125" s="313"/>
      <c r="S1125" s="313">
        <v>0</v>
      </c>
      <c r="T1125" s="313"/>
      <c r="U1125" s="319"/>
      <c r="V1125" s="319"/>
      <c r="W1125" s="319"/>
      <c r="Y1125" s="326"/>
      <c r="Z1125" s="326"/>
      <c r="AA1125" s="326"/>
      <c r="AB1125" s="326"/>
      <c r="AE1125" s="326"/>
      <c r="AF1125" s="326"/>
    </row>
    <row r="1126" spans="1:32" x14ac:dyDescent="0.2">
      <c r="A1126" s="312">
        <v>29</v>
      </c>
      <c r="B1126" s="423" t="s">
        <v>2209</v>
      </c>
      <c r="C1126" s="424" t="s">
        <v>2141</v>
      </c>
      <c r="D1126" s="313">
        <v>2965</v>
      </c>
      <c r="E1126" s="313"/>
      <c r="F1126" s="313">
        <v>2822</v>
      </c>
      <c r="G1126" s="313"/>
      <c r="H1126" s="313">
        <v>143</v>
      </c>
      <c r="I1126" s="313"/>
      <c r="J1126" s="313">
        <v>0</v>
      </c>
      <c r="K1126" s="313">
        <v>0</v>
      </c>
      <c r="L1126" s="313">
        <v>0</v>
      </c>
      <c r="M1126" s="313"/>
      <c r="N1126" s="313"/>
      <c r="O1126" s="313">
        <v>2965</v>
      </c>
      <c r="P1126" s="313">
        <v>930.1</v>
      </c>
      <c r="Q1126" s="313"/>
      <c r="R1126" s="313">
        <v>2965</v>
      </c>
      <c r="S1126" s="313"/>
      <c r="T1126" s="313"/>
      <c r="U1126" s="319"/>
      <c r="V1126" s="319"/>
      <c r="W1126" s="319"/>
    </row>
    <row r="1127" spans="1:32" x14ac:dyDescent="0.2">
      <c r="A1127" s="312">
        <v>30</v>
      </c>
      <c r="B1127" s="423" t="s">
        <v>2210</v>
      </c>
      <c r="C1127" s="424" t="s">
        <v>1427</v>
      </c>
      <c r="D1127" s="313">
        <v>3522245</v>
      </c>
      <c r="E1127" s="313"/>
      <c r="F1127" s="313">
        <v>3314333</v>
      </c>
      <c r="G1127" s="313"/>
      <c r="H1127" s="313">
        <v>167577</v>
      </c>
      <c r="I1127" s="313"/>
      <c r="J1127" s="313">
        <v>40334</v>
      </c>
      <c r="K1127" s="313">
        <v>21031</v>
      </c>
      <c r="L1127" s="313">
        <v>19303</v>
      </c>
      <c r="M1127" s="313"/>
      <c r="N1127" s="313"/>
      <c r="O1127" s="313">
        <v>3522245</v>
      </c>
      <c r="P1127" s="313">
        <v>930.2</v>
      </c>
      <c r="Q1127" s="313"/>
      <c r="R1127" s="313">
        <v>3522245</v>
      </c>
      <c r="S1127" s="313" t="s">
        <v>2565</v>
      </c>
      <c r="T1127" s="313" t="s">
        <v>2237</v>
      </c>
      <c r="U1127" s="361"/>
      <c r="V1127" s="361"/>
      <c r="W1127" s="319"/>
      <c r="X1127" s="330"/>
      <c r="Y1127" s="326"/>
      <c r="Z1127" s="326"/>
      <c r="AA1127" s="326"/>
      <c r="AB1127" s="59"/>
      <c r="AC1127" s="59"/>
      <c r="AD1127" s="59"/>
    </row>
    <row r="1128" spans="1:32" x14ac:dyDescent="0.2">
      <c r="A1128" s="312">
        <v>31</v>
      </c>
      <c r="B1128" s="423" t="s">
        <v>278</v>
      </c>
      <c r="C1128" s="424" t="s">
        <v>1427</v>
      </c>
      <c r="D1128" s="313">
        <v>3272215</v>
      </c>
      <c r="E1128" s="313"/>
      <c r="F1128" s="313">
        <v>3079062</v>
      </c>
      <c r="G1128" s="313"/>
      <c r="H1128" s="313">
        <v>155682</v>
      </c>
      <c r="I1128" s="313"/>
      <c r="J1128" s="313">
        <v>37471</v>
      </c>
      <c r="K1128" s="313">
        <v>19538</v>
      </c>
      <c r="L1128" s="313">
        <v>17933</v>
      </c>
      <c r="M1128" s="313"/>
      <c r="N1128" s="313"/>
      <c r="O1128" s="313">
        <v>3272215</v>
      </c>
      <c r="P1128" s="313">
        <v>931</v>
      </c>
      <c r="Q1128" s="313"/>
      <c r="R1128" s="313">
        <v>3272215</v>
      </c>
      <c r="S1128" s="313" t="s">
        <v>2565</v>
      </c>
      <c r="T1128" s="313" t="s">
        <v>2238</v>
      </c>
      <c r="U1128" s="361">
        <v>0</v>
      </c>
      <c r="V1128" s="361" t="s">
        <v>2310</v>
      </c>
      <c r="W1128" s="319"/>
      <c r="X1128" s="330"/>
      <c r="Y1128" s="319"/>
      <c r="AA1128" s="326" t="s">
        <v>2310</v>
      </c>
      <c r="AB1128" s="59"/>
      <c r="AC1128" s="59"/>
      <c r="AD1128" s="59"/>
    </row>
    <row r="1129" spans="1:32" x14ac:dyDescent="0.2">
      <c r="A1129" s="312">
        <v>32</v>
      </c>
      <c r="B1129" s="423" t="s">
        <v>279</v>
      </c>
      <c r="C1129" s="424" t="s">
        <v>1427</v>
      </c>
      <c r="D1129" s="313">
        <v>1777230</v>
      </c>
      <c r="E1129" s="313"/>
      <c r="F1129" s="313">
        <v>1672323</v>
      </c>
      <c r="G1129" s="313"/>
      <c r="H1129" s="313">
        <v>84555</v>
      </c>
      <c r="I1129" s="313"/>
      <c r="J1129" s="313">
        <v>20351</v>
      </c>
      <c r="K1129" s="313">
        <v>10611</v>
      </c>
      <c r="L1129" s="313">
        <v>9740</v>
      </c>
      <c r="M1129" s="313"/>
      <c r="N1129" s="313"/>
      <c r="O1129" s="313">
        <v>1777230</v>
      </c>
      <c r="P1129" s="313">
        <v>935</v>
      </c>
      <c r="Q1129" s="313"/>
      <c r="R1129" s="313">
        <v>1777230</v>
      </c>
      <c r="S1129" s="313" t="s">
        <v>2565</v>
      </c>
      <c r="T1129" s="313"/>
      <c r="U1129" s="319"/>
      <c r="V1129" s="319"/>
      <c r="W1129" s="319"/>
      <c r="X1129" s="330"/>
    </row>
    <row r="1130" spans="1:32" x14ac:dyDescent="0.2">
      <c r="A1130" s="312">
        <v>33</v>
      </c>
      <c r="B1130" s="423" t="s">
        <v>280</v>
      </c>
      <c r="C1130" s="45"/>
      <c r="D1130" s="313">
        <v>109387477</v>
      </c>
      <c r="E1130" s="313"/>
      <c r="F1130" s="313">
        <v>102731097</v>
      </c>
      <c r="G1130" s="313"/>
      <c r="H1130" s="313">
        <v>5364238</v>
      </c>
      <c r="I1130" s="313"/>
      <c r="J1130" s="313">
        <v>1292142</v>
      </c>
      <c r="K1130" s="313">
        <v>673738</v>
      </c>
      <c r="L1130" s="313">
        <v>618404</v>
      </c>
      <c r="M1130" s="313"/>
      <c r="N1130" s="313"/>
      <c r="O1130" s="313"/>
      <c r="P1130" s="313"/>
      <c r="Q1130" s="313"/>
      <c r="R1130" s="313"/>
      <c r="S1130" s="313"/>
      <c r="T1130" s="313"/>
      <c r="U1130" s="361"/>
      <c r="V1130" s="361"/>
      <c r="W1130" s="319"/>
      <c r="X1130" s="330"/>
      <c r="Y1130" s="319"/>
      <c r="AE1130" s="317"/>
    </row>
    <row r="1131" spans="1:32" x14ac:dyDescent="0.2">
      <c r="A1131" s="45"/>
      <c r="B1131" s="45"/>
      <c r="C1131" s="45"/>
      <c r="D1131" s="313"/>
      <c r="E1131" s="313"/>
      <c r="F1131" s="313"/>
      <c r="G1131" s="313"/>
      <c r="H1131" s="313"/>
      <c r="I1131" s="313"/>
      <c r="J1131" s="313"/>
      <c r="K1131" s="313"/>
      <c r="L1131" s="313"/>
      <c r="M1131" s="313"/>
      <c r="N1131" s="313"/>
      <c r="O1131" s="313"/>
      <c r="P1131" s="313"/>
      <c r="Q1131" s="313"/>
      <c r="R1131" s="313"/>
      <c r="S1131" s="313"/>
      <c r="T1131" s="313"/>
      <c r="U1131" s="319"/>
      <c r="V1131" s="319"/>
      <c r="W1131" s="319"/>
      <c r="Y1131" s="333"/>
    </row>
    <row r="1132" spans="1:32" x14ac:dyDescent="0.2">
      <c r="A1132" s="45"/>
      <c r="B1132" s="423" t="s">
        <v>281</v>
      </c>
      <c r="C1132" s="45"/>
      <c r="D1132" s="313"/>
      <c r="E1132" s="313"/>
      <c r="F1132" s="313"/>
      <c r="G1132" s="313"/>
      <c r="H1132" s="313"/>
      <c r="I1132" s="313"/>
      <c r="J1132" s="313"/>
      <c r="K1132" s="313"/>
      <c r="L1132" s="313"/>
      <c r="M1132" s="313"/>
      <c r="N1132" s="313"/>
      <c r="O1132" s="313"/>
      <c r="P1132" s="313"/>
      <c r="Q1132" s="313"/>
      <c r="R1132" s="313"/>
      <c r="S1132" s="313"/>
      <c r="T1132" s="313"/>
      <c r="U1132" s="319"/>
      <c r="V1132" s="319"/>
      <c r="W1132" s="319"/>
      <c r="AE1132" s="317"/>
    </row>
    <row r="1133" spans="1:32" x14ac:dyDescent="0.2">
      <c r="A1133" s="312">
        <v>34</v>
      </c>
      <c r="B1133" s="423" t="s">
        <v>2211</v>
      </c>
      <c r="C1133" s="424" t="s">
        <v>2065</v>
      </c>
      <c r="D1133" s="313">
        <v>434570</v>
      </c>
      <c r="E1133" s="313"/>
      <c r="F1133" s="313">
        <v>434570</v>
      </c>
      <c r="G1133" s="313"/>
      <c r="H1133" s="313">
        <v>0</v>
      </c>
      <c r="I1133" s="313"/>
      <c r="J1133" s="313">
        <v>0</v>
      </c>
      <c r="K1133" s="313">
        <v>0</v>
      </c>
      <c r="L1133" s="313">
        <v>0</v>
      </c>
      <c r="M1133" s="313"/>
      <c r="N1133" s="313"/>
      <c r="O1133" s="313">
        <v>434570</v>
      </c>
      <c r="P1133" s="313">
        <v>0</v>
      </c>
      <c r="Q1133" s="313"/>
      <c r="R1133" s="313"/>
      <c r="S1133" s="313"/>
      <c r="T1133" s="313"/>
      <c r="U1133" s="319"/>
      <c r="V1133" s="319"/>
      <c r="W1133" s="319"/>
    </row>
    <row r="1134" spans="1:32" x14ac:dyDescent="0.2">
      <c r="A1134" s="312">
        <v>35</v>
      </c>
      <c r="B1134" s="423" t="s">
        <v>283</v>
      </c>
      <c r="C1134" s="424" t="s">
        <v>2065</v>
      </c>
      <c r="D1134" s="313">
        <v>30000</v>
      </c>
      <c r="E1134" s="313"/>
      <c r="F1134" s="313">
        <v>0</v>
      </c>
      <c r="G1134" s="313"/>
      <c r="H1134" s="313">
        <v>30000</v>
      </c>
      <c r="I1134" s="313"/>
      <c r="J1134" s="313">
        <v>0</v>
      </c>
      <c r="K1134" s="313">
        <v>0</v>
      </c>
      <c r="L1134" s="313">
        <v>0</v>
      </c>
      <c r="M1134" s="313"/>
      <c r="N1134" s="313"/>
      <c r="O1134" s="313">
        <v>30000</v>
      </c>
      <c r="P1134" s="313"/>
      <c r="Q1134" s="313"/>
      <c r="R1134" s="313"/>
      <c r="S1134" s="313"/>
      <c r="T1134" s="313"/>
      <c r="U1134" s="319"/>
      <c r="V1134" s="319"/>
      <c r="W1134" s="319"/>
      <c r="X1134" s="319"/>
      <c r="Y1134" s="319"/>
      <c r="AE1134" s="335"/>
    </row>
    <row r="1135" spans="1:32" x14ac:dyDescent="0.2">
      <c r="A1135" s="312">
        <v>36</v>
      </c>
      <c r="B1135" s="423" t="s">
        <v>282</v>
      </c>
      <c r="C1135" s="424" t="s">
        <v>53</v>
      </c>
      <c r="D1135" s="313">
        <v>0</v>
      </c>
      <c r="E1135" s="313"/>
      <c r="F1135" s="313">
        <v>0</v>
      </c>
      <c r="G1135" s="313"/>
      <c r="H1135" s="313">
        <v>0</v>
      </c>
      <c r="I1135" s="313"/>
      <c r="J1135" s="313">
        <v>0</v>
      </c>
      <c r="K1135" s="313">
        <v>0</v>
      </c>
      <c r="L1135" s="313">
        <v>0</v>
      </c>
      <c r="M1135" s="313"/>
      <c r="N1135" s="313"/>
      <c r="O1135" s="313">
        <v>0</v>
      </c>
      <c r="P1135" s="313"/>
      <c r="Q1135" s="313"/>
      <c r="R1135" s="313"/>
      <c r="S1135" s="313"/>
      <c r="T1135" s="313" t="s">
        <v>1773</v>
      </c>
      <c r="U1135" s="319" t="s">
        <v>1774</v>
      </c>
      <c r="V1135" s="319" t="s">
        <v>1775</v>
      </c>
      <c r="W1135" s="319" t="s">
        <v>1776</v>
      </c>
      <c r="X1135" s="319" t="s">
        <v>1254</v>
      </c>
      <c r="Y1135" s="319" t="s">
        <v>62</v>
      </c>
      <c r="AA1135" s="53" t="s">
        <v>1775</v>
      </c>
      <c r="AB1135" s="53" t="s">
        <v>1776</v>
      </c>
      <c r="AC1135" s="53" t="s">
        <v>1254</v>
      </c>
      <c r="AD1135" s="53" t="s">
        <v>62</v>
      </c>
      <c r="AE1135" s="335"/>
    </row>
    <row r="1136" spans="1:32" x14ac:dyDescent="0.2">
      <c r="A1136" s="312">
        <v>37</v>
      </c>
      <c r="B1136" s="423" t="s">
        <v>284</v>
      </c>
      <c r="C1136" s="424" t="s">
        <v>1378</v>
      </c>
      <c r="D1136" s="313">
        <v>442476</v>
      </c>
      <c r="E1136" s="313"/>
      <c r="F1136" s="313">
        <v>416735</v>
      </c>
      <c r="G1136" s="313"/>
      <c r="H1136" s="313">
        <v>16736</v>
      </c>
      <c r="I1136" s="313"/>
      <c r="J1136" s="313">
        <v>9005</v>
      </c>
      <c r="K1136" s="313">
        <v>4622</v>
      </c>
      <c r="L1136" s="313">
        <v>4383</v>
      </c>
      <c r="M1136" s="313"/>
      <c r="N1136" s="313"/>
      <c r="O1136" s="313">
        <v>442476</v>
      </c>
      <c r="P1136" s="313">
        <v>928</v>
      </c>
      <c r="Q1136" s="313"/>
      <c r="R1136" s="313">
        <v>442476</v>
      </c>
      <c r="S1136" s="313" t="s">
        <v>2565</v>
      </c>
      <c r="T1136" s="313">
        <v>907046</v>
      </c>
      <c r="U1136" s="495">
        <v>434570</v>
      </c>
      <c r="V1136" s="495">
        <v>30000</v>
      </c>
      <c r="W1136" s="319">
        <v>0</v>
      </c>
      <c r="X1136" s="319">
        <v>0</v>
      </c>
      <c r="Y1136" s="497">
        <v>464570</v>
      </c>
      <c r="Z1136" s="326"/>
      <c r="AA1136" s="326">
        <v>30000</v>
      </c>
      <c r="AB1136" s="59">
        <v>0</v>
      </c>
      <c r="AC1136" s="59">
        <v>0</v>
      </c>
      <c r="AD1136" s="59">
        <v>464570</v>
      </c>
      <c r="AE1136" s="335"/>
    </row>
    <row r="1137" spans="1:34" x14ac:dyDescent="0.2">
      <c r="A1137" s="312">
        <v>38</v>
      </c>
      <c r="B1137" s="423" t="s">
        <v>285</v>
      </c>
      <c r="C1137" s="45"/>
      <c r="D1137" s="313">
        <v>907046</v>
      </c>
      <c r="E1137" s="313"/>
      <c r="F1137" s="313">
        <v>851305</v>
      </c>
      <c r="G1137" s="313"/>
      <c r="H1137" s="313">
        <v>46736</v>
      </c>
      <c r="I1137" s="313"/>
      <c r="J1137" s="313">
        <v>9005</v>
      </c>
      <c r="K1137" s="313">
        <v>4622</v>
      </c>
      <c r="L1137" s="313">
        <v>4383</v>
      </c>
      <c r="M1137" s="313"/>
      <c r="N1137" s="313"/>
      <c r="O1137" s="313"/>
      <c r="P1137" s="313"/>
      <c r="Q1137" s="313"/>
      <c r="R1137" s="313"/>
      <c r="S1137" s="313"/>
      <c r="T1137" s="313" t="s">
        <v>2311</v>
      </c>
      <c r="U1137" s="495">
        <v>422128</v>
      </c>
      <c r="V1137" s="319"/>
      <c r="W1137" s="319"/>
      <c r="X1137" s="330"/>
      <c r="Y1137" s="326"/>
      <c r="Z1137" s="326"/>
      <c r="AA1137" s="59"/>
      <c r="AB1137" s="59"/>
      <c r="AC1137" s="59"/>
      <c r="AD1137" s="59"/>
    </row>
    <row r="1138" spans="1:34" x14ac:dyDescent="0.2">
      <c r="A1138" s="45"/>
      <c r="B1138" s="45"/>
      <c r="C1138" s="45"/>
      <c r="D1138" s="313"/>
      <c r="E1138" s="313"/>
      <c r="F1138" s="313"/>
      <c r="G1138" s="313"/>
      <c r="H1138" s="313"/>
      <c r="I1138" s="313"/>
      <c r="J1138" s="313"/>
      <c r="K1138" s="313"/>
      <c r="L1138" s="313"/>
      <c r="M1138" s="313"/>
      <c r="N1138" s="313"/>
      <c r="O1138" s="313"/>
      <c r="P1138" s="313"/>
      <c r="Q1138" s="313"/>
      <c r="R1138" s="313"/>
      <c r="S1138" s="313"/>
      <c r="T1138" s="313" t="s">
        <v>2312</v>
      </c>
      <c r="U1138" s="495">
        <v>12442</v>
      </c>
      <c r="V1138" s="319"/>
      <c r="W1138" s="319"/>
      <c r="Y1138" s="316"/>
      <c r="Z1138" s="326"/>
      <c r="AC1138" s="59"/>
    </row>
    <row r="1139" spans="1:34" x14ac:dyDescent="0.2">
      <c r="A1139" s="312">
        <v>39</v>
      </c>
      <c r="B1139" s="423" t="s">
        <v>286</v>
      </c>
      <c r="C1139" s="424" t="s">
        <v>877</v>
      </c>
      <c r="D1139" s="313">
        <v>0</v>
      </c>
      <c r="E1139" s="313"/>
      <c r="F1139" s="313">
        <v>0</v>
      </c>
      <c r="G1139" s="313"/>
      <c r="H1139" s="313">
        <v>0</v>
      </c>
      <c r="I1139" s="313"/>
      <c r="J1139" s="313">
        <v>0</v>
      </c>
      <c r="K1139" s="313">
        <v>0</v>
      </c>
      <c r="L1139" s="313">
        <v>0</v>
      </c>
      <c r="M1139" s="313"/>
      <c r="N1139" s="313"/>
      <c r="O1139" s="313">
        <v>0</v>
      </c>
      <c r="P1139" s="313">
        <v>927</v>
      </c>
      <c r="Q1139" s="313"/>
      <c r="R1139" s="313">
        <v>0</v>
      </c>
      <c r="S1139" s="313" t="s">
        <v>2565</v>
      </c>
      <c r="T1139" s="313"/>
      <c r="U1139" s="319"/>
      <c r="V1139" s="319"/>
      <c r="W1139" s="319"/>
      <c r="Y1139" s="316"/>
      <c r="Z1139" s="59"/>
      <c r="AE1139" s="317"/>
    </row>
    <row r="1140" spans="1:34" x14ac:dyDescent="0.2">
      <c r="A1140" s="312">
        <v>40</v>
      </c>
      <c r="B1140" s="423" t="s">
        <v>277</v>
      </c>
      <c r="C1140" s="424" t="s">
        <v>877</v>
      </c>
      <c r="D1140" s="313">
        <v>0</v>
      </c>
      <c r="E1140" s="313"/>
      <c r="F1140" s="313">
        <v>0</v>
      </c>
      <c r="G1140" s="313"/>
      <c r="H1140" s="313">
        <v>0</v>
      </c>
      <c r="I1140" s="313"/>
      <c r="J1140" s="313">
        <v>0</v>
      </c>
      <c r="K1140" s="313">
        <v>0</v>
      </c>
      <c r="L1140" s="313">
        <v>0</v>
      </c>
      <c r="M1140" s="313"/>
      <c r="N1140" s="313"/>
      <c r="O1140" s="313">
        <v>0</v>
      </c>
      <c r="P1140" s="313">
        <v>929</v>
      </c>
      <c r="Q1140" s="313"/>
      <c r="R1140" s="313">
        <v>0</v>
      </c>
      <c r="S1140" s="313" t="s">
        <v>2565</v>
      </c>
      <c r="T1140" s="313"/>
      <c r="U1140" s="495">
        <v>434570</v>
      </c>
      <c r="V1140" s="319"/>
      <c r="W1140" s="319"/>
      <c r="X1140" s="330"/>
      <c r="Y1140" s="316"/>
      <c r="Z1140" s="59"/>
    </row>
    <row r="1141" spans="1:34" x14ac:dyDescent="0.2">
      <c r="A1141" s="45"/>
      <c r="B1141" s="45"/>
      <c r="C1141" s="45"/>
      <c r="D1141" s="313"/>
      <c r="E1141" s="313"/>
      <c r="F1141" s="313"/>
      <c r="G1141" s="313"/>
      <c r="H1141" s="313"/>
      <c r="I1141" s="313"/>
      <c r="J1141" s="313"/>
      <c r="K1141" s="313"/>
      <c r="L1141" s="313"/>
      <c r="M1141" s="313"/>
      <c r="N1141" s="313"/>
      <c r="O1141" s="313"/>
      <c r="P1141" s="313"/>
      <c r="Q1141" s="313"/>
      <c r="R1141" s="313"/>
      <c r="S1141" s="313"/>
      <c r="T1141" s="313"/>
      <c r="U1141" s="319"/>
      <c r="V1141" s="319"/>
      <c r="W1141" s="319"/>
      <c r="X1141" s="330"/>
      <c r="Z1141" s="336"/>
      <c r="AE1141" s="316"/>
      <c r="AH1141" s="316"/>
    </row>
    <row r="1142" spans="1:34" x14ac:dyDescent="0.2">
      <c r="A1142" s="312">
        <v>41</v>
      </c>
      <c r="B1142" s="423" t="s">
        <v>287</v>
      </c>
      <c r="C1142" s="311"/>
      <c r="D1142" s="313">
        <v>119630777</v>
      </c>
      <c r="E1142" s="313"/>
      <c r="F1142" s="313">
        <v>112308775</v>
      </c>
      <c r="G1142" s="313"/>
      <c r="H1142" s="313">
        <v>5897677</v>
      </c>
      <c r="I1142" s="313"/>
      <c r="J1142" s="313">
        <v>1424325</v>
      </c>
      <c r="K1142" s="313">
        <v>742812</v>
      </c>
      <c r="L1142" s="313">
        <v>681513</v>
      </c>
      <c r="M1142" s="313"/>
      <c r="N1142" s="313"/>
      <c r="O1142" s="313"/>
      <c r="P1142" s="313"/>
      <c r="Q1142" s="313"/>
      <c r="R1142" s="313"/>
      <c r="S1142" s="313"/>
      <c r="T1142" s="313"/>
      <c r="U1142" s="319"/>
      <c r="V1142" s="319"/>
      <c r="W1142" s="337"/>
      <c r="Z1142" s="348"/>
      <c r="AA1142" s="317"/>
      <c r="AE1142" s="316"/>
      <c r="AF1142" s="316"/>
      <c r="AH1142" s="316"/>
    </row>
    <row r="1143" spans="1:34" x14ac:dyDescent="0.2">
      <c r="A1143" s="45"/>
      <c r="B1143" s="45"/>
      <c r="C1143" s="311"/>
      <c r="D1143" s="313"/>
      <c r="E1143" s="313"/>
      <c r="F1143" s="313"/>
      <c r="G1143" s="313"/>
      <c r="H1143" s="313"/>
      <c r="I1143" s="313"/>
      <c r="J1143" s="313"/>
      <c r="K1143" s="313"/>
      <c r="L1143" s="313"/>
      <c r="M1143" s="313"/>
      <c r="N1143" s="313"/>
      <c r="O1143" s="313"/>
      <c r="P1143" s="313"/>
      <c r="Q1143" s="313"/>
      <c r="R1143" s="313"/>
      <c r="S1143" s="313"/>
      <c r="T1143" s="313"/>
      <c r="U1143" s="319" t="s">
        <v>2313</v>
      </c>
      <c r="V1143" s="495">
        <v>935841768</v>
      </c>
      <c r="W1143" s="326">
        <v>0</v>
      </c>
      <c r="X1143" s="59"/>
      <c r="Y1143" s="59"/>
      <c r="Z1143" s="59"/>
      <c r="AA1143" s="53">
        <v>935841767.74844038</v>
      </c>
      <c r="AB1143" s="53">
        <v>-1.6689300537109375E-6</v>
      </c>
    </row>
    <row r="1144" spans="1:34" x14ac:dyDescent="0.2">
      <c r="A1144" s="312">
        <v>42</v>
      </c>
      <c r="B1144" s="423" t="s">
        <v>262</v>
      </c>
      <c r="C1144" s="311"/>
      <c r="D1144" s="313">
        <v>935841768</v>
      </c>
      <c r="E1144" s="313"/>
      <c r="F1144" s="313">
        <v>879083724</v>
      </c>
      <c r="G1144" s="313"/>
      <c r="H1144" s="313">
        <v>42365201</v>
      </c>
      <c r="I1144" s="313"/>
      <c r="J1144" s="313">
        <v>14392842</v>
      </c>
      <c r="K1144" s="313">
        <v>7409946</v>
      </c>
      <c r="L1144" s="313">
        <v>6982896</v>
      </c>
      <c r="M1144" s="313"/>
      <c r="N1144" s="313"/>
      <c r="O1144" s="313"/>
      <c r="P1144" s="313"/>
      <c r="Q1144" s="313"/>
      <c r="R1144" s="313"/>
      <c r="S1144" s="313"/>
      <c r="T1144" s="313"/>
      <c r="V1144" s="319"/>
      <c r="W1144" s="326"/>
      <c r="X1144" s="59"/>
      <c r="Y1144" s="59"/>
      <c r="Z1144" s="59"/>
      <c r="AA1144" s="326"/>
      <c r="AB1144" s="329"/>
    </row>
    <row r="1145" spans="1:34" x14ac:dyDescent="0.2">
      <c r="A1145" s="45"/>
      <c r="B1145" s="45" t="s">
        <v>263</v>
      </c>
      <c r="C1145" s="311"/>
      <c r="D1145" s="313">
        <v>777407797</v>
      </c>
      <c r="E1145" s="313"/>
      <c r="F1145" s="313">
        <v>730737983</v>
      </c>
      <c r="G1145" s="313"/>
      <c r="H1145" s="313">
        <v>34450299</v>
      </c>
      <c r="I1145" s="313"/>
      <c r="J1145" s="313">
        <v>12219515</v>
      </c>
      <c r="K1145" s="313"/>
      <c r="L1145" s="313"/>
      <c r="M1145" s="313"/>
      <c r="N1145" s="313"/>
      <c r="O1145" s="313"/>
      <c r="P1145" s="313"/>
      <c r="Q1145" s="313"/>
      <c r="R1145" s="313"/>
      <c r="S1145" s="313"/>
      <c r="T1145" s="313"/>
      <c r="V1145" s="319"/>
      <c r="W1145" s="319"/>
    </row>
    <row r="1146" spans="1:34" x14ac:dyDescent="0.2">
      <c r="A1146" s="45"/>
      <c r="B1146" s="45" t="s">
        <v>264</v>
      </c>
      <c r="C1146" s="311"/>
      <c r="D1146" s="313">
        <v>158433971</v>
      </c>
      <c r="E1146" s="313"/>
      <c r="F1146" s="313">
        <v>148345742</v>
      </c>
      <c r="G1146" s="313"/>
      <c r="H1146" s="313">
        <v>7914902</v>
      </c>
      <c r="I1146" s="313"/>
      <c r="J1146" s="313">
        <v>2173327</v>
      </c>
      <c r="K1146" s="313"/>
      <c r="L1146" s="313"/>
      <c r="M1146" s="313"/>
      <c r="N1146" s="313"/>
      <c r="O1146" s="313"/>
      <c r="P1146" s="313"/>
      <c r="Q1146" s="313"/>
      <c r="R1146" s="313"/>
      <c r="S1146" s="313"/>
      <c r="T1146" s="313"/>
      <c r="W1146" s="319"/>
    </row>
    <row r="1147" spans="1:34" x14ac:dyDescent="0.2">
      <c r="A1147" s="45"/>
      <c r="B1147" s="45" t="s">
        <v>265</v>
      </c>
      <c r="C1147" s="311"/>
      <c r="D1147" s="313">
        <v>320586648</v>
      </c>
      <c r="E1147" s="313"/>
      <c r="F1147" s="313">
        <v>300510510</v>
      </c>
      <c r="G1147" s="313"/>
      <c r="H1147" s="313">
        <v>17134567</v>
      </c>
      <c r="I1147" s="313"/>
      <c r="J1147" s="313">
        <v>2941571</v>
      </c>
      <c r="K1147" s="313"/>
      <c r="L1147" s="313"/>
      <c r="M1147" s="313"/>
      <c r="N1147" s="313"/>
      <c r="O1147" s="313"/>
      <c r="P1147" s="313"/>
      <c r="Q1147" s="313"/>
      <c r="R1147" s="313"/>
      <c r="S1147" s="313"/>
      <c r="T1147" s="313"/>
      <c r="W1147" s="319"/>
    </row>
    <row r="1148" spans="1:34" x14ac:dyDescent="0.2">
      <c r="A1148" s="45"/>
      <c r="B1148" s="425" t="s">
        <v>1171</v>
      </c>
      <c r="C1148" s="311"/>
      <c r="D1148" s="313"/>
      <c r="E1148" s="313"/>
      <c r="F1148" s="313"/>
      <c r="G1148" s="313"/>
      <c r="H1148" s="313"/>
      <c r="I1148" s="313"/>
      <c r="J1148" s="313"/>
      <c r="K1148" s="313"/>
      <c r="L1148" s="313"/>
      <c r="M1148" s="313"/>
      <c r="N1148" s="313"/>
      <c r="O1148" s="313"/>
      <c r="P1148" s="313"/>
      <c r="Q1148" s="313"/>
      <c r="R1148" s="313"/>
      <c r="S1148" s="313"/>
      <c r="T1148" s="313"/>
      <c r="W1148" s="319"/>
    </row>
    <row r="1149" spans="1:34" x14ac:dyDescent="0.2">
      <c r="A1149" s="45"/>
      <c r="B1149" s="45"/>
      <c r="C1149" s="311"/>
      <c r="D1149" s="313"/>
      <c r="E1149" s="313"/>
      <c r="F1149" s="313"/>
      <c r="G1149" s="313"/>
      <c r="H1149" s="313"/>
      <c r="I1149" s="313"/>
      <c r="J1149" s="313"/>
      <c r="K1149" s="313"/>
      <c r="L1149" s="313"/>
      <c r="M1149" s="313"/>
      <c r="N1149" s="313"/>
      <c r="O1149" s="313"/>
      <c r="P1149" s="313"/>
      <c r="Q1149" s="313"/>
      <c r="R1149" s="313"/>
      <c r="S1149" s="313"/>
      <c r="T1149" s="313"/>
      <c r="W1149" s="319"/>
    </row>
    <row r="1150" spans="1:34" x14ac:dyDescent="0.2">
      <c r="A1150" s="45"/>
      <c r="B1150" s="423" t="s">
        <v>1172</v>
      </c>
      <c r="C1150" s="311"/>
      <c r="D1150" s="313"/>
      <c r="E1150" s="313"/>
      <c r="F1150" s="313"/>
      <c r="G1150" s="313"/>
      <c r="H1150" s="313"/>
      <c r="I1150" s="313"/>
      <c r="J1150" s="313"/>
      <c r="K1150" s="313"/>
      <c r="L1150" s="313"/>
      <c r="M1150" s="313"/>
      <c r="N1150" s="313"/>
      <c r="O1150" s="313"/>
      <c r="P1150" s="313"/>
      <c r="Q1150" s="313"/>
      <c r="R1150" s="313"/>
      <c r="S1150" s="313"/>
      <c r="T1150" s="313"/>
      <c r="W1150" s="319"/>
    </row>
    <row r="1151" spans="1:34" x14ac:dyDescent="0.2">
      <c r="A1151" s="45"/>
      <c r="B1151" s="45"/>
      <c r="C1151" s="311"/>
      <c r="D1151" s="313"/>
      <c r="E1151" s="313"/>
      <c r="F1151" s="313"/>
      <c r="G1151" s="313"/>
      <c r="H1151" s="313"/>
      <c r="I1151" s="313"/>
      <c r="J1151" s="313"/>
      <c r="K1151" s="313"/>
      <c r="L1151" s="313"/>
      <c r="M1151" s="313"/>
      <c r="N1151" s="313"/>
      <c r="O1151" s="313"/>
      <c r="P1151" s="313"/>
      <c r="Q1151" s="313"/>
      <c r="R1151" s="313"/>
      <c r="S1151" s="313"/>
      <c r="T1151" s="313"/>
      <c r="W1151" s="319"/>
    </row>
    <row r="1152" spans="1:34" x14ac:dyDescent="0.2">
      <c r="A1152" s="45"/>
      <c r="B1152" s="423" t="s">
        <v>7</v>
      </c>
      <c r="C1152" s="45"/>
      <c r="D1152" s="313"/>
      <c r="E1152" s="313"/>
      <c r="F1152" s="313"/>
      <c r="G1152" s="313"/>
      <c r="H1152" s="313"/>
      <c r="I1152" s="313"/>
      <c r="J1152" s="313"/>
      <c r="K1152" s="313"/>
      <c r="L1152" s="313"/>
      <c r="M1152" s="313"/>
      <c r="N1152" s="313"/>
      <c r="O1152" s="313"/>
      <c r="P1152" s="313"/>
      <c r="Q1152" s="313"/>
      <c r="R1152" s="313"/>
      <c r="S1152" s="313"/>
      <c r="T1152" s="313"/>
      <c r="W1152" s="319"/>
    </row>
    <row r="1153" spans="1:25" x14ac:dyDescent="0.2">
      <c r="A1153" s="45"/>
      <c r="B1153" s="423" t="s">
        <v>8</v>
      </c>
      <c r="C1153" s="45"/>
      <c r="D1153" s="313"/>
      <c r="E1153" s="313"/>
      <c r="F1153" s="313"/>
      <c r="G1153" s="313"/>
      <c r="H1153" s="313"/>
      <c r="I1153" s="313"/>
      <c r="J1153" s="313"/>
      <c r="K1153" s="313"/>
      <c r="L1153" s="313"/>
      <c r="M1153" s="313"/>
      <c r="N1153" s="313"/>
      <c r="O1153" s="313"/>
      <c r="P1153" s="313"/>
      <c r="Q1153" s="313"/>
      <c r="R1153" s="313"/>
      <c r="S1153" s="313"/>
      <c r="T1153" s="313"/>
      <c r="W1153" s="319"/>
    </row>
    <row r="1154" spans="1:25" x14ac:dyDescent="0.2">
      <c r="A1154" s="312">
        <v>1</v>
      </c>
      <c r="B1154" s="423" t="s">
        <v>9</v>
      </c>
      <c r="C1154" s="424" t="s">
        <v>1429</v>
      </c>
      <c r="D1154" s="313">
        <v>269575373</v>
      </c>
      <c r="E1154" s="313"/>
      <c r="F1154" s="313">
        <v>252892159</v>
      </c>
      <c r="G1154" s="313"/>
      <c r="H1154" s="313">
        <v>11452943</v>
      </c>
      <c r="I1154" s="313"/>
      <c r="J1154" s="313">
        <v>5230271</v>
      </c>
      <c r="K1154" s="313">
        <v>2653086</v>
      </c>
      <c r="L1154" s="313">
        <v>2577185</v>
      </c>
      <c r="M1154" s="313"/>
      <c r="N1154" s="313"/>
      <c r="O1154" s="313">
        <v>269575373</v>
      </c>
      <c r="P1154" s="313"/>
      <c r="Q1154" s="313"/>
      <c r="R1154" s="313"/>
      <c r="S1154" s="313"/>
      <c r="T1154" s="313"/>
      <c r="V1154" s="338"/>
      <c r="W1154" s="319"/>
    </row>
    <row r="1155" spans="1:25" x14ac:dyDescent="0.2">
      <c r="A1155" s="312">
        <v>2</v>
      </c>
      <c r="B1155" s="423" t="s">
        <v>11</v>
      </c>
      <c r="C1155" s="424" t="s">
        <v>1272</v>
      </c>
      <c r="D1155" s="313">
        <v>287079</v>
      </c>
      <c r="E1155" s="313"/>
      <c r="F1155" s="313">
        <v>147666</v>
      </c>
      <c r="G1155" s="313"/>
      <c r="H1155" s="313">
        <v>95706</v>
      </c>
      <c r="I1155" s="313"/>
      <c r="J1155" s="313">
        <v>43707</v>
      </c>
      <c r="K1155" s="313">
        <v>22171</v>
      </c>
      <c r="L1155" s="313">
        <v>21536</v>
      </c>
      <c r="M1155" s="313"/>
      <c r="N1155" s="313"/>
      <c r="O1155" s="313">
        <v>287079</v>
      </c>
      <c r="P1155" s="313"/>
      <c r="Q1155" s="313" t="s">
        <v>1173</v>
      </c>
      <c r="R1155" s="313"/>
      <c r="S1155" s="313"/>
      <c r="T1155" s="313"/>
      <c r="U1155" s="319"/>
      <c r="W1155" s="319"/>
      <c r="X1155" s="319"/>
      <c r="Y1155" s="319"/>
    </row>
    <row r="1156" spans="1:25" x14ac:dyDescent="0.2">
      <c r="A1156" s="312">
        <v>3</v>
      </c>
      <c r="B1156" s="423" t="s">
        <v>12</v>
      </c>
      <c r="C1156" s="424" t="s">
        <v>1278</v>
      </c>
      <c r="D1156" s="313">
        <v>188563</v>
      </c>
      <c r="E1156" s="313"/>
      <c r="F1156" s="313">
        <v>145498</v>
      </c>
      <c r="G1156" s="313"/>
      <c r="H1156" s="313">
        <v>0</v>
      </c>
      <c r="I1156" s="313"/>
      <c r="J1156" s="313">
        <v>43065</v>
      </c>
      <c r="K1156" s="313">
        <v>21845</v>
      </c>
      <c r="L1156" s="313">
        <v>21220</v>
      </c>
      <c r="M1156" s="313"/>
      <c r="N1156" s="313"/>
      <c r="O1156" s="313">
        <v>188563</v>
      </c>
      <c r="P1156" s="313"/>
      <c r="Q1156" s="313" t="s">
        <v>1173</v>
      </c>
      <c r="R1156" s="313"/>
      <c r="S1156" s="313"/>
      <c r="T1156" s="313"/>
      <c r="U1156" s="319"/>
      <c r="V1156" s="319"/>
      <c r="W1156" s="319"/>
      <c r="X1156" s="319"/>
      <c r="Y1156" s="319"/>
    </row>
    <row r="1157" spans="1:25" x14ac:dyDescent="0.2">
      <c r="A1157" s="312">
        <v>4</v>
      </c>
      <c r="B1157" s="423" t="s">
        <v>13</v>
      </c>
      <c r="C1157" s="45"/>
      <c r="D1157" s="313">
        <v>270051015</v>
      </c>
      <c r="E1157" s="313"/>
      <c r="F1157" s="313">
        <v>253185323</v>
      </c>
      <c r="G1157" s="313"/>
      <c r="H1157" s="313">
        <v>11548650</v>
      </c>
      <c r="I1157" s="313"/>
      <c r="J1157" s="313">
        <v>5317043</v>
      </c>
      <c r="K1157" s="313">
        <v>2697102</v>
      </c>
      <c r="L1157" s="313">
        <v>2619941</v>
      </c>
      <c r="M1157" s="313"/>
      <c r="N1157" s="313"/>
      <c r="O1157" s="313">
        <v>270051015</v>
      </c>
      <c r="P1157" s="313" t="s">
        <v>2508</v>
      </c>
      <c r="Q1157" s="313" t="s">
        <v>1174</v>
      </c>
      <c r="R1157" s="313"/>
      <c r="S1157" s="313" t="s">
        <v>2286</v>
      </c>
      <c r="T1157" s="313"/>
      <c r="U1157" s="319"/>
      <c r="V1157" s="319"/>
      <c r="W1157" s="319"/>
      <c r="Y1157" s="319"/>
    </row>
    <row r="1158" spans="1:25" x14ac:dyDescent="0.2">
      <c r="A1158" s="312"/>
      <c r="B1158" s="423"/>
      <c r="C1158" s="45"/>
      <c r="D1158" s="313"/>
      <c r="E1158" s="313"/>
      <c r="F1158" s="313"/>
      <c r="G1158" s="313"/>
      <c r="H1158" s="313"/>
      <c r="I1158" s="313"/>
      <c r="J1158" s="313"/>
      <c r="K1158" s="313"/>
      <c r="L1158" s="313"/>
      <c r="M1158" s="313"/>
      <c r="N1158" s="313"/>
      <c r="O1158" s="313"/>
      <c r="P1158" s="313"/>
      <c r="Q1158" s="313"/>
      <c r="R1158" s="313"/>
      <c r="S1158" s="313"/>
      <c r="T1158" s="313"/>
      <c r="V1158" s="316"/>
      <c r="W1158" s="319"/>
    </row>
    <row r="1159" spans="1:25" x14ac:dyDescent="0.2">
      <c r="A1159" s="45"/>
      <c r="B1159" s="423" t="s">
        <v>14</v>
      </c>
      <c r="C1159" s="45"/>
      <c r="D1159" s="313"/>
      <c r="E1159" s="313"/>
      <c r="F1159" s="313"/>
      <c r="G1159" s="313"/>
      <c r="H1159" s="313"/>
      <c r="I1159" s="313"/>
      <c r="J1159" s="313"/>
      <c r="K1159" s="313"/>
      <c r="L1159" s="313"/>
      <c r="M1159" s="313"/>
      <c r="N1159" s="313"/>
      <c r="O1159" s="313"/>
      <c r="P1159" s="313"/>
      <c r="Q1159" s="313"/>
      <c r="R1159" s="313"/>
      <c r="S1159" s="313"/>
      <c r="T1159" s="313"/>
      <c r="V1159" s="316"/>
      <c r="W1159" s="319"/>
    </row>
    <row r="1160" spans="1:25" x14ac:dyDescent="0.2">
      <c r="A1160" s="312">
        <v>5</v>
      </c>
      <c r="B1160" s="423" t="s">
        <v>9</v>
      </c>
      <c r="C1160" s="424" t="s">
        <v>1433</v>
      </c>
      <c r="D1160" s="313">
        <v>1534883</v>
      </c>
      <c r="E1160" s="313"/>
      <c r="F1160" s="313">
        <v>1439894</v>
      </c>
      <c r="G1160" s="313"/>
      <c r="H1160" s="313">
        <v>65210</v>
      </c>
      <c r="I1160" s="313"/>
      <c r="J1160" s="313">
        <v>29780</v>
      </c>
      <c r="K1160" s="313">
        <v>15106</v>
      </c>
      <c r="L1160" s="313">
        <v>14674</v>
      </c>
      <c r="M1160" s="313"/>
      <c r="N1160" s="313"/>
      <c r="O1160" s="313">
        <v>1534883</v>
      </c>
      <c r="P1160" s="313"/>
      <c r="Q1160" s="313"/>
      <c r="R1160" s="313"/>
      <c r="S1160" s="313"/>
      <c r="T1160" s="313"/>
      <c r="W1160" s="319"/>
    </row>
    <row r="1161" spans="1:25" x14ac:dyDescent="0.2">
      <c r="A1161" s="312">
        <v>6</v>
      </c>
      <c r="B1161" s="423" t="s">
        <v>11</v>
      </c>
      <c r="C1161" s="424" t="s">
        <v>1272</v>
      </c>
      <c r="D1161" s="313">
        <v>12</v>
      </c>
      <c r="E1161" s="313"/>
      <c r="F1161" s="313">
        <v>6</v>
      </c>
      <c r="G1161" s="313"/>
      <c r="H1161" s="313">
        <v>4</v>
      </c>
      <c r="I1161" s="313"/>
      <c r="J1161" s="313">
        <v>2</v>
      </c>
      <c r="K1161" s="313">
        <v>1</v>
      </c>
      <c r="L1161" s="313">
        <v>1</v>
      </c>
      <c r="M1161" s="313"/>
      <c r="N1161" s="313"/>
      <c r="O1161" s="313">
        <v>12</v>
      </c>
      <c r="P1161" s="313"/>
      <c r="Q1161" s="313" t="s">
        <v>1173</v>
      </c>
      <c r="R1161" s="313"/>
      <c r="S1161" s="313"/>
      <c r="T1161" s="313"/>
      <c r="U1161" s="319"/>
      <c r="V1161" s="319"/>
      <c r="W1161" s="319"/>
      <c r="X1161" s="319"/>
    </row>
    <row r="1162" spans="1:25" x14ac:dyDescent="0.2">
      <c r="A1162" s="312">
        <v>7</v>
      </c>
      <c r="B1162" s="423" t="s">
        <v>12</v>
      </c>
      <c r="C1162" s="424" t="s">
        <v>1278</v>
      </c>
      <c r="D1162" s="313">
        <v>736</v>
      </c>
      <c r="E1162" s="313"/>
      <c r="F1162" s="313">
        <v>568</v>
      </c>
      <c r="G1162" s="313"/>
      <c r="H1162" s="313">
        <v>0</v>
      </c>
      <c r="I1162" s="313"/>
      <c r="J1162" s="313">
        <v>168</v>
      </c>
      <c r="K1162" s="313">
        <v>85</v>
      </c>
      <c r="L1162" s="313">
        <v>83</v>
      </c>
      <c r="M1162" s="313"/>
      <c r="N1162" s="313"/>
      <c r="O1162" s="313">
        <v>736</v>
      </c>
      <c r="P1162" s="313"/>
      <c r="Q1162" s="313" t="s">
        <v>1173</v>
      </c>
      <c r="R1162" s="313"/>
      <c r="S1162" s="313"/>
      <c r="T1162" s="313"/>
      <c r="U1162" s="319"/>
      <c r="V1162" s="319"/>
      <c r="W1162" s="319"/>
      <c r="X1162" s="319"/>
      <c r="Y1162" s="319"/>
    </row>
    <row r="1163" spans="1:25" x14ac:dyDescent="0.2">
      <c r="A1163" s="312">
        <v>8</v>
      </c>
      <c r="B1163" s="423" t="s">
        <v>15</v>
      </c>
      <c r="C1163" s="45"/>
      <c r="D1163" s="313">
        <v>1535631</v>
      </c>
      <c r="E1163" s="313"/>
      <c r="F1163" s="313">
        <v>1440468</v>
      </c>
      <c r="G1163" s="313"/>
      <c r="H1163" s="313">
        <v>65214</v>
      </c>
      <c r="I1163" s="313"/>
      <c r="J1163" s="313">
        <v>29950</v>
      </c>
      <c r="K1163" s="313">
        <v>15192</v>
      </c>
      <c r="L1163" s="313">
        <v>14757</v>
      </c>
      <c r="M1163" s="313"/>
      <c r="N1163" s="313"/>
      <c r="O1163" s="313">
        <v>1535631</v>
      </c>
      <c r="P1163" s="313" t="s">
        <v>2509</v>
      </c>
      <c r="Q1163" s="313" t="s">
        <v>1174</v>
      </c>
      <c r="R1163" s="313"/>
      <c r="S1163" s="313" t="s">
        <v>2286</v>
      </c>
      <c r="T1163" s="313"/>
      <c r="U1163" s="319"/>
      <c r="V1163" s="319"/>
      <c r="W1163" s="319"/>
    </row>
    <row r="1164" spans="1:25" x14ac:dyDescent="0.2">
      <c r="A1164" s="312"/>
      <c r="B1164" s="423"/>
      <c r="C1164" s="45"/>
      <c r="D1164" s="313"/>
      <c r="E1164" s="313"/>
      <c r="F1164" s="313"/>
      <c r="G1164" s="313"/>
      <c r="H1164" s="313"/>
      <c r="I1164" s="313"/>
      <c r="J1164" s="313"/>
      <c r="K1164" s="313"/>
      <c r="L1164" s="313"/>
      <c r="M1164" s="313"/>
      <c r="N1164" s="313"/>
      <c r="O1164" s="313"/>
      <c r="P1164" s="313"/>
      <c r="Q1164" s="313"/>
      <c r="R1164" s="313"/>
      <c r="S1164" s="313"/>
      <c r="T1164" s="313"/>
      <c r="V1164" s="316"/>
      <c r="W1164" s="319"/>
    </row>
    <row r="1165" spans="1:25" x14ac:dyDescent="0.2">
      <c r="A1165" s="45"/>
      <c r="B1165" s="423" t="s">
        <v>16</v>
      </c>
      <c r="C1165" s="45"/>
      <c r="D1165" s="313"/>
      <c r="E1165" s="313"/>
      <c r="F1165" s="313"/>
      <c r="G1165" s="313"/>
      <c r="H1165" s="313"/>
      <c r="I1165" s="313"/>
      <c r="J1165" s="313"/>
      <c r="K1165" s="313"/>
      <c r="L1165" s="313"/>
      <c r="M1165" s="313"/>
      <c r="N1165" s="313"/>
      <c r="O1165" s="313"/>
      <c r="P1165" s="313"/>
      <c r="Q1165" s="313"/>
      <c r="R1165" s="313"/>
      <c r="S1165" s="313"/>
      <c r="T1165" s="313"/>
      <c r="V1165" s="316"/>
      <c r="W1165" s="319"/>
    </row>
    <row r="1166" spans="1:25" x14ac:dyDescent="0.2">
      <c r="A1166" s="312">
        <v>9</v>
      </c>
      <c r="B1166" s="423" t="s">
        <v>9</v>
      </c>
      <c r="C1166" s="424" t="s">
        <v>1435</v>
      </c>
      <c r="D1166" s="313">
        <v>31558650</v>
      </c>
      <c r="E1166" s="313"/>
      <c r="F1166" s="313">
        <v>29611195</v>
      </c>
      <c r="G1166" s="313"/>
      <c r="H1166" s="313">
        <v>1336918</v>
      </c>
      <c r="I1166" s="313"/>
      <c r="J1166" s="313">
        <v>610537</v>
      </c>
      <c r="K1166" s="313">
        <v>309699</v>
      </c>
      <c r="L1166" s="313">
        <v>300838</v>
      </c>
      <c r="M1166" s="313"/>
      <c r="N1166" s="313"/>
      <c r="O1166" s="313">
        <v>31558650</v>
      </c>
      <c r="P1166" s="313"/>
      <c r="Q1166" s="313"/>
      <c r="R1166" s="313"/>
      <c r="S1166" s="313"/>
      <c r="T1166" s="313"/>
      <c r="W1166" s="319"/>
    </row>
    <row r="1167" spans="1:25" x14ac:dyDescent="0.2">
      <c r="A1167" s="312">
        <v>10</v>
      </c>
      <c r="B1167" s="423" t="s">
        <v>11</v>
      </c>
      <c r="C1167" s="424" t="s">
        <v>1272</v>
      </c>
      <c r="D1167" s="313">
        <v>44</v>
      </c>
      <c r="E1167" s="313"/>
      <c r="F1167" s="313">
        <v>23</v>
      </c>
      <c r="G1167" s="313"/>
      <c r="H1167" s="313">
        <v>15</v>
      </c>
      <c r="I1167" s="313"/>
      <c r="J1167" s="313">
        <v>7</v>
      </c>
      <c r="K1167" s="313">
        <v>3</v>
      </c>
      <c r="L1167" s="313">
        <v>3</v>
      </c>
      <c r="M1167" s="313"/>
      <c r="N1167" s="313"/>
      <c r="O1167" s="313">
        <v>44</v>
      </c>
      <c r="P1167" s="313"/>
      <c r="Q1167" s="313" t="s">
        <v>1173</v>
      </c>
      <c r="R1167" s="313"/>
      <c r="S1167" s="313"/>
      <c r="T1167" s="313"/>
      <c r="U1167" s="319"/>
      <c r="V1167" s="319"/>
      <c r="W1167" s="319"/>
      <c r="X1167" s="319"/>
      <c r="Y1167" s="319"/>
    </row>
    <row r="1168" spans="1:25" x14ac:dyDescent="0.2">
      <c r="A1168" s="312">
        <v>11</v>
      </c>
      <c r="B1168" s="423" t="s">
        <v>12</v>
      </c>
      <c r="C1168" s="424" t="s">
        <v>1278</v>
      </c>
      <c r="D1168" s="313">
        <v>40387</v>
      </c>
      <c r="E1168" s="313"/>
      <c r="F1168" s="313">
        <v>31163</v>
      </c>
      <c r="G1168" s="313"/>
      <c r="H1168" s="313">
        <v>0</v>
      </c>
      <c r="I1168" s="313"/>
      <c r="J1168" s="313">
        <v>9224</v>
      </c>
      <c r="K1168" s="313">
        <v>4679</v>
      </c>
      <c r="L1168" s="313">
        <v>4545</v>
      </c>
      <c r="M1168" s="313"/>
      <c r="N1168" s="313"/>
      <c r="O1168" s="313">
        <v>40387</v>
      </c>
      <c r="P1168" s="313"/>
      <c r="Q1168" s="313" t="s">
        <v>1173</v>
      </c>
      <c r="R1168" s="313"/>
      <c r="S1168" s="313"/>
      <c r="T1168" s="313"/>
      <c r="U1168" s="319"/>
      <c r="V1168" s="319"/>
      <c r="W1168" s="319"/>
      <c r="X1168" s="319"/>
      <c r="Y1168" s="319"/>
    </row>
    <row r="1169" spans="1:28" x14ac:dyDescent="0.2">
      <c r="A1169" s="312">
        <v>12</v>
      </c>
      <c r="B1169" s="423" t="s">
        <v>17</v>
      </c>
      <c r="C1169" s="45"/>
      <c r="D1169" s="313">
        <v>31599081</v>
      </c>
      <c r="E1169" s="313"/>
      <c r="F1169" s="313">
        <v>29642381</v>
      </c>
      <c r="G1169" s="313"/>
      <c r="H1169" s="313">
        <v>1336933</v>
      </c>
      <c r="I1169" s="313"/>
      <c r="J1169" s="313">
        <v>619767</v>
      </c>
      <c r="K1169" s="313">
        <v>314381</v>
      </c>
      <c r="L1169" s="313">
        <v>305387</v>
      </c>
      <c r="M1169" s="313"/>
      <c r="N1169" s="313"/>
      <c r="O1169" s="313">
        <v>31599081</v>
      </c>
      <c r="P1169" s="313" t="s">
        <v>1297</v>
      </c>
      <c r="Q1169" s="313" t="s">
        <v>1174</v>
      </c>
      <c r="R1169" s="313"/>
      <c r="S1169" s="313" t="s">
        <v>2286</v>
      </c>
      <c r="T1169" s="313"/>
      <c r="U1169" s="319"/>
      <c r="V1169" s="319"/>
      <c r="W1169" s="319"/>
    </row>
    <row r="1170" spans="1:28" x14ac:dyDescent="0.2">
      <c r="A1170" s="312"/>
      <c r="B1170" s="423"/>
      <c r="C1170" s="45"/>
      <c r="D1170" s="313"/>
      <c r="E1170" s="313"/>
      <c r="F1170" s="313"/>
      <c r="G1170" s="313"/>
      <c r="H1170" s="313"/>
      <c r="I1170" s="313"/>
      <c r="J1170" s="313"/>
      <c r="K1170" s="313"/>
      <c r="L1170" s="313"/>
      <c r="M1170" s="313"/>
      <c r="N1170" s="313"/>
      <c r="O1170" s="313"/>
      <c r="P1170" s="313"/>
      <c r="Q1170" s="313"/>
      <c r="R1170" s="313"/>
      <c r="S1170" s="313"/>
      <c r="T1170" s="313"/>
      <c r="V1170" s="316"/>
      <c r="W1170" s="319"/>
    </row>
    <row r="1171" spans="1:28" x14ac:dyDescent="0.2">
      <c r="A1171" s="312">
        <v>13</v>
      </c>
      <c r="B1171" s="423" t="s">
        <v>18</v>
      </c>
      <c r="C1171" s="45"/>
      <c r="D1171" s="313">
        <v>303185727</v>
      </c>
      <c r="E1171" s="313"/>
      <c r="F1171" s="313">
        <v>284268171</v>
      </c>
      <c r="G1171" s="313"/>
      <c r="H1171" s="313">
        <v>12950796</v>
      </c>
      <c r="I1171" s="313"/>
      <c r="J1171" s="313">
        <v>5966760</v>
      </c>
      <c r="K1171" s="313">
        <v>3026675</v>
      </c>
      <c r="L1171" s="313">
        <v>2940085</v>
      </c>
      <c r="M1171" s="313"/>
      <c r="N1171" s="313"/>
      <c r="O1171" s="313"/>
      <c r="P1171" s="313"/>
      <c r="Q1171" s="313"/>
      <c r="R1171" s="313"/>
      <c r="S1171" s="313"/>
      <c r="T1171" s="313"/>
      <c r="V1171" s="316"/>
      <c r="W1171" s="319"/>
    </row>
    <row r="1172" spans="1:28" x14ac:dyDescent="0.2">
      <c r="A1172" s="45"/>
      <c r="B1172" s="45"/>
      <c r="C1172" s="45"/>
      <c r="D1172" s="313"/>
      <c r="E1172" s="313"/>
      <c r="F1172" s="313"/>
      <c r="G1172" s="313"/>
      <c r="H1172" s="313"/>
      <c r="I1172" s="313"/>
      <c r="J1172" s="313"/>
      <c r="K1172" s="313"/>
      <c r="L1172" s="313"/>
      <c r="M1172" s="313"/>
      <c r="N1172" s="313"/>
      <c r="O1172" s="313"/>
      <c r="P1172" s="313"/>
      <c r="Q1172" s="313"/>
      <c r="R1172" s="313"/>
      <c r="S1172" s="313"/>
      <c r="T1172" s="313"/>
      <c r="W1172" s="319"/>
    </row>
    <row r="1173" spans="1:28" x14ac:dyDescent="0.2">
      <c r="A1173" s="45"/>
      <c r="B1173" s="423" t="s">
        <v>19</v>
      </c>
      <c r="C1173" s="45"/>
      <c r="D1173" s="313"/>
      <c r="E1173" s="313"/>
      <c r="F1173" s="313"/>
      <c r="G1173" s="313"/>
      <c r="H1173" s="313"/>
      <c r="I1173" s="313"/>
      <c r="J1173" s="313"/>
      <c r="K1173" s="313"/>
      <c r="L1173" s="313"/>
      <c r="M1173" s="313"/>
      <c r="N1173" s="313"/>
      <c r="O1173" s="313"/>
      <c r="P1173" s="313"/>
      <c r="Q1173" s="313"/>
      <c r="R1173" s="313"/>
      <c r="S1173" s="313"/>
      <c r="T1173" s="313"/>
      <c r="W1173" s="319"/>
    </row>
    <row r="1174" spans="1:28" x14ac:dyDescent="0.2">
      <c r="A1174" s="312">
        <v>14</v>
      </c>
      <c r="B1174" s="423" t="s">
        <v>1068</v>
      </c>
      <c r="C1174" s="424" t="s">
        <v>2143</v>
      </c>
      <c r="D1174" s="313">
        <v>31568609</v>
      </c>
      <c r="E1174" s="313"/>
      <c r="F1174" s="313">
        <v>30191755</v>
      </c>
      <c r="G1174" s="313"/>
      <c r="H1174" s="313">
        <v>1376854</v>
      </c>
      <c r="I1174" s="313"/>
      <c r="J1174" s="313">
        <v>0</v>
      </c>
      <c r="K1174" s="313">
        <v>0</v>
      </c>
      <c r="L1174" s="313">
        <v>0</v>
      </c>
      <c r="M1174" s="313"/>
      <c r="N1174" s="313"/>
      <c r="O1174" s="313">
        <v>31568609</v>
      </c>
      <c r="P1174" s="313"/>
      <c r="Q1174" s="313" t="s">
        <v>1175</v>
      </c>
      <c r="R1174" s="313"/>
      <c r="S1174" s="313"/>
      <c r="T1174" s="313"/>
      <c r="W1174" s="319"/>
    </row>
    <row r="1175" spans="1:28" x14ac:dyDescent="0.2">
      <c r="A1175" s="312">
        <v>15</v>
      </c>
      <c r="B1175" s="423" t="s">
        <v>1071</v>
      </c>
      <c r="C1175" s="424" t="s">
        <v>1345</v>
      </c>
      <c r="D1175" s="313">
        <v>2398816</v>
      </c>
      <c r="E1175" s="313"/>
      <c r="F1175" s="313">
        <v>192228</v>
      </c>
      <c r="G1175" s="313"/>
      <c r="H1175" s="313">
        <v>2206588</v>
      </c>
      <c r="I1175" s="313"/>
      <c r="J1175" s="313">
        <v>0</v>
      </c>
      <c r="K1175" s="313">
        <v>0</v>
      </c>
      <c r="L1175" s="313">
        <v>0</v>
      </c>
      <c r="M1175" s="313"/>
      <c r="N1175" s="313"/>
      <c r="O1175" s="313">
        <v>2398816</v>
      </c>
      <c r="P1175" s="313" t="s">
        <v>1259</v>
      </c>
      <c r="Q1175" s="313" t="s">
        <v>1174</v>
      </c>
      <c r="R1175" s="313"/>
      <c r="S1175" s="313" t="s">
        <v>2287</v>
      </c>
      <c r="T1175" s="313"/>
      <c r="U1175" s="319"/>
      <c r="V1175" s="316"/>
      <c r="W1175" s="319"/>
      <c r="X1175" s="319"/>
      <c r="Y1175" s="319"/>
      <c r="Z1175" s="319"/>
      <c r="AA1175" s="319"/>
    </row>
    <row r="1176" spans="1:28" x14ac:dyDescent="0.2">
      <c r="A1176" s="312">
        <v>17</v>
      </c>
      <c r="B1176" s="423" t="s">
        <v>1059</v>
      </c>
      <c r="C1176" s="424" t="s">
        <v>1272</v>
      </c>
      <c r="D1176" s="313">
        <v>29637</v>
      </c>
      <c r="E1176" s="313"/>
      <c r="F1176" s="313">
        <v>15244</v>
      </c>
      <c r="G1176" s="313"/>
      <c r="H1176" s="313">
        <v>9880</v>
      </c>
      <c r="I1176" s="313"/>
      <c r="J1176" s="313">
        <v>4512</v>
      </c>
      <c r="K1176" s="313">
        <v>2289</v>
      </c>
      <c r="L1176" s="313">
        <v>2223</v>
      </c>
      <c r="M1176" s="313"/>
      <c r="N1176" s="313"/>
      <c r="O1176" s="313">
        <v>29637</v>
      </c>
      <c r="P1176" s="313"/>
      <c r="Q1176" s="313" t="s">
        <v>1173</v>
      </c>
      <c r="R1176" s="313"/>
      <c r="S1176" s="313"/>
      <c r="T1176" s="313"/>
      <c r="U1176" s="319"/>
      <c r="V1176" s="316"/>
      <c r="W1176" s="319"/>
    </row>
    <row r="1177" spans="1:28" x14ac:dyDescent="0.2">
      <c r="A1177" s="312">
        <v>18</v>
      </c>
      <c r="B1177" s="423" t="s">
        <v>1060</v>
      </c>
      <c r="C1177" s="424" t="s">
        <v>1278</v>
      </c>
      <c r="D1177" s="313">
        <v>7035</v>
      </c>
      <c r="E1177" s="313"/>
      <c r="F1177" s="313">
        <v>5428</v>
      </c>
      <c r="G1177" s="313"/>
      <c r="H1177" s="313">
        <v>0</v>
      </c>
      <c r="I1177" s="313"/>
      <c r="J1177" s="313">
        <v>1607</v>
      </c>
      <c r="K1177" s="313">
        <v>815</v>
      </c>
      <c r="L1177" s="313">
        <v>792</v>
      </c>
      <c r="M1177" s="313"/>
      <c r="N1177" s="313"/>
      <c r="O1177" s="313">
        <v>7035</v>
      </c>
      <c r="P1177" s="313"/>
      <c r="Q1177" s="313" t="s">
        <v>1173</v>
      </c>
      <c r="R1177" s="313"/>
      <c r="S1177" s="313"/>
      <c r="T1177" s="313"/>
      <c r="U1177" s="319"/>
      <c r="V1177" s="319"/>
      <c r="W1177" s="319"/>
      <c r="X1177" s="319"/>
      <c r="Y1177" s="319"/>
    </row>
    <row r="1178" spans="1:28" x14ac:dyDescent="0.2">
      <c r="A1178" s="312">
        <v>19</v>
      </c>
      <c r="B1178" s="423" t="s">
        <v>20</v>
      </c>
      <c r="C1178" s="45"/>
      <c r="D1178" s="313">
        <v>34004097</v>
      </c>
      <c r="E1178" s="313"/>
      <c r="F1178" s="313">
        <v>30404656</v>
      </c>
      <c r="G1178" s="313"/>
      <c r="H1178" s="313">
        <v>3593322</v>
      </c>
      <c r="I1178" s="313"/>
      <c r="J1178" s="313">
        <v>6119</v>
      </c>
      <c r="K1178" s="313">
        <v>3104</v>
      </c>
      <c r="L1178" s="313">
        <v>3015</v>
      </c>
      <c r="M1178" s="313"/>
      <c r="N1178" s="313"/>
      <c r="O1178" s="313">
        <v>34004097</v>
      </c>
      <c r="P1178" s="313" t="s">
        <v>1259</v>
      </c>
      <c r="Q1178" s="313" t="s">
        <v>1174</v>
      </c>
      <c r="R1178" s="313"/>
      <c r="S1178" s="313"/>
      <c r="T1178" s="313"/>
      <c r="U1178" s="319"/>
      <c r="V1178" s="319"/>
      <c r="W1178" s="319"/>
    </row>
    <row r="1179" spans="1:28" x14ac:dyDescent="0.2">
      <c r="A1179" s="45"/>
      <c r="B1179" s="45"/>
      <c r="C1179" s="45"/>
      <c r="D1179" s="313"/>
      <c r="E1179" s="313"/>
      <c r="F1179" s="313"/>
      <c r="G1179" s="313"/>
      <c r="H1179" s="313"/>
      <c r="I1179" s="313"/>
      <c r="J1179" s="313"/>
      <c r="K1179" s="313"/>
      <c r="L1179" s="313"/>
      <c r="M1179" s="313"/>
      <c r="N1179" s="313"/>
      <c r="O1179" s="313"/>
      <c r="P1179" s="313"/>
      <c r="Q1179" s="313"/>
      <c r="R1179" s="313"/>
      <c r="S1179" s="313"/>
      <c r="T1179" s="313"/>
      <c r="V1179" s="316"/>
      <c r="W1179" s="319"/>
    </row>
    <row r="1180" spans="1:28" x14ac:dyDescent="0.2">
      <c r="A1180" s="45"/>
      <c r="B1180" s="423" t="s">
        <v>808</v>
      </c>
      <c r="C1180" s="45"/>
      <c r="D1180" s="313"/>
      <c r="E1180" s="313"/>
      <c r="F1180" s="313"/>
      <c r="G1180" s="313"/>
      <c r="H1180" s="313"/>
      <c r="I1180" s="313"/>
      <c r="J1180" s="313"/>
      <c r="K1180" s="313"/>
      <c r="L1180" s="313"/>
      <c r="M1180" s="313"/>
      <c r="N1180" s="313"/>
      <c r="O1180" s="313"/>
      <c r="P1180" s="313"/>
      <c r="Q1180" s="313"/>
      <c r="R1180" s="313"/>
      <c r="S1180" s="313"/>
      <c r="T1180" s="313"/>
      <c r="W1180" s="319"/>
    </row>
    <row r="1181" spans="1:28" x14ac:dyDescent="0.2">
      <c r="A1181" s="312">
        <v>20</v>
      </c>
      <c r="B1181" s="426" t="s">
        <v>2066</v>
      </c>
      <c r="C1181" s="424" t="s">
        <v>928</v>
      </c>
      <c r="D1181" s="313">
        <v>40214485</v>
      </c>
      <c r="E1181" s="313"/>
      <c r="F1181" s="313">
        <v>40149605</v>
      </c>
      <c r="G1181" s="313"/>
      <c r="H1181" s="313">
        <v>0</v>
      </c>
      <c r="I1181" s="313"/>
      <c r="J1181" s="313">
        <v>64880</v>
      </c>
      <c r="K1181" s="313">
        <v>64386</v>
      </c>
      <c r="L1181" s="313">
        <v>494</v>
      </c>
      <c r="M1181" s="313"/>
      <c r="N1181" s="313"/>
      <c r="O1181" s="313">
        <v>40214485</v>
      </c>
      <c r="P1181" s="313" t="s">
        <v>2510</v>
      </c>
      <c r="Q1181" s="313" t="s">
        <v>1174</v>
      </c>
      <c r="R1181" s="313"/>
      <c r="S1181" s="313" t="s">
        <v>2286</v>
      </c>
      <c r="T1181" s="313"/>
      <c r="W1181" s="319"/>
    </row>
    <row r="1182" spans="1:28" x14ac:dyDescent="0.2">
      <c r="A1182" s="312">
        <v>21</v>
      </c>
      <c r="B1182" s="426" t="s">
        <v>2067</v>
      </c>
      <c r="C1182" s="424" t="s">
        <v>28</v>
      </c>
      <c r="D1182" s="313">
        <v>1886418</v>
      </c>
      <c r="E1182" s="313"/>
      <c r="F1182" s="313">
        <v>0</v>
      </c>
      <c r="G1182" s="313"/>
      <c r="H1182" s="313">
        <v>1886418</v>
      </c>
      <c r="I1182" s="313"/>
      <c r="J1182" s="313">
        <v>0</v>
      </c>
      <c r="K1182" s="313">
        <v>0</v>
      </c>
      <c r="L1182" s="313">
        <v>0</v>
      </c>
      <c r="M1182" s="313"/>
      <c r="N1182" s="313"/>
      <c r="O1182" s="313">
        <v>1886418</v>
      </c>
      <c r="P1182" s="313" t="s">
        <v>2510</v>
      </c>
      <c r="Q1182" s="313" t="s">
        <v>1174</v>
      </c>
      <c r="R1182" s="313"/>
      <c r="S1182" s="313" t="s">
        <v>2287</v>
      </c>
      <c r="T1182" s="313"/>
      <c r="U1182" s="319"/>
      <c r="V1182" s="316"/>
      <c r="W1182" s="319"/>
    </row>
    <row r="1183" spans="1:28" x14ac:dyDescent="0.2">
      <c r="A1183" s="312">
        <v>22</v>
      </c>
      <c r="B1183" s="426" t="s">
        <v>2068</v>
      </c>
      <c r="C1183" s="424" t="s">
        <v>30</v>
      </c>
      <c r="D1183" s="313">
        <v>1631</v>
      </c>
      <c r="E1183" s="313"/>
      <c r="F1183" s="313">
        <v>1631</v>
      </c>
      <c r="G1183" s="313"/>
      <c r="H1183" s="313">
        <v>0</v>
      </c>
      <c r="I1183" s="313"/>
      <c r="J1183" s="313">
        <v>0</v>
      </c>
      <c r="K1183" s="313">
        <v>0</v>
      </c>
      <c r="L1183" s="313">
        <v>0</v>
      </c>
      <c r="M1183" s="313"/>
      <c r="N1183" s="313"/>
      <c r="O1183" s="313">
        <v>1631</v>
      </c>
      <c r="P1183" s="313" t="s">
        <v>2510</v>
      </c>
      <c r="Q1183" s="313" t="s">
        <v>1174</v>
      </c>
      <c r="R1183" s="313"/>
      <c r="S1183" s="313" t="s">
        <v>2309</v>
      </c>
      <c r="T1183" s="313"/>
      <c r="U1183" s="319"/>
      <c r="V1183" s="316"/>
      <c r="W1183" s="319"/>
      <c r="Y1183" s="119"/>
      <c r="Z1183" s="119"/>
      <c r="AA1183" s="119"/>
      <c r="AB1183" s="119"/>
    </row>
    <row r="1184" spans="1:28" x14ac:dyDescent="0.2">
      <c r="A1184" s="312">
        <v>23</v>
      </c>
      <c r="B1184" s="423" t="s">
        <v>21</v>
      </c>
      <c r="C1184" s="311"/>
      <c r="D1184" s="313">
        <v>42102534</v>
      </c>
      <c r="E1184" s="313"/>
      <c r="F1184" s="313">
        <v>40151236</v>
      </c>
      <c r="G1184" s="313"/>
      <c r="H1184" s="313">
        <v>1886418</v>
      </c>
      <c r="I1184" s="313"/>
      <c r="J1184" s="313">
        <v>64880</v>
      </c>
      <c r="K1184" s="313">
        <v>64386</v>
      </c>
      <c r="L1184" s="313">
        <v>494</v>
      </c>
      <c r="M1184" s="313"/>
      <c r="N1184" s="313"/>
      <c r="O1184" s="313">
        <v>42102534</v>
      </c>
      <c r="P1184" s="313"/>
      <c r="Q1184" s="313" t="s">
        <v>1174</v>
      </c>
      <c r="R1184" s="313"/>
      <c r="S1184" s="313"/>
      <c r="T1184" s="313"/>
      <c r="U1184" s="319"/>
      <c r="V1184" s="316"/>
      <c r="W1184" s="319"/>
      <c r="X1184" s="319"/>
      <c r="Y1184" s="119"/>
      <c r="Z1184" s="119"/>
      <c r="AA1184" s="119"/>
      <c r="AB1184" s="119"/>
    </row>
    <row r="1185" spans="1:33" x14ac:dyDescent="0.2">
      <c r="A1185" s="45"/>
      <c r="B1185" s="45"/>
      <c r="C1185" s="311"/>
      <c r="D1185" s="313"/>
      <c r="E1185" s="313"/>
      <c r="F1185" s="313"/>
      <c r="G1185" s="313"/>
      <c r="H1185" s="313"/>
      <c r="I1185" s="313"/>
      <c r="J1185" s="313"/>
      <c r="K1185" s="313"/>
      <c r="L1185" s="313"/>
      <c r="M1185" s="313"/>
      <c r="N1185" s="313"/>
      <c r="O1185" s="313"/>
      <c r="P1185" s="313"/>
      <c r="Q1185" s="313"/>
      <c r="R1185" s="313"/>
      <c r="S1185" s="313"/>
      <c r="T1185" s="313"/>
      <c r="V1185" s="316"/>
      <c r="W1185" s="319"/>
      <c r="Y1185" s="119"/>
      <c r="Z1185" s="362"/>
      <c r="AA1185" s="119"/>
      <c r="AB1185" s="119"/>
    </row>
    <row r="1186" spans="1:33" x14ac:dyDescent="0.2">
      <c r="A1186" s="312">
        <v>24</v>
      </c>
      <c r="B1186" s="423" t="s">
        <v>22</v>
      </c>
      <c r="C1186" s="424" t="s">
        <v>1447</v>
      </c>
      <c r="D1186" s="313">
        <v>14649926</v>
      </c>
      <c r="E1186" s="313"/>
      <c r="F1186" s="313">
        <v>13809821</v>
      </c>
      <c r="G1186" s="313"/>
      <c r="H1186" s="313">
        <v>677128</v>
      </c>
      <c r="I1186" s="313"/>
      <c r="J1186" s="313">
        <v>162977</v>
      </c>
      <c r="K1186" s="313">
        <v>84978</v>
      </c>
      <c r="L1186" s="313">
        <v>77999</v>
      </c>
      <c r="M1186" s="313"/>
      <c r="N1186" s="313"/>
      <c r="O1186" s="313">
        <v>14649926</v>
      </c>
      <c r="P1186" s="313" t="s">
        <v>2511</v>
      </c>
      <c r="Q1186" s="313" t="s">
        <v>1174</v>
      </c>
      <c r="R1186" s="313"/>
      <c r="S1186" s="313"/>
      <c r="T1186" s="313"/>
      <c r="W1186" s="319"/>
      <c r="Y1186" s="119"/>
      <c r="Z1186" s="362"/>
      <c r="AA1186" s="119"/>
      <c r="AB1186" s="119"/>
    </row>
    <row r="1187" spans="1:33" x14ac:dyDescent="0.2">
      <c r="A1187" s="45"/>
      <c r="B1187" s="45"/>
      <c r="C1187" s="45"/>
      <c r="D1187" s="313"/>
      <c r="E1187" s="313"/>
      <c r="F1187" s="313"/>
      <c r="G1187" s="313"/>
      <c r="H1187" s="313"/>
      <c r="I1187" s="313"/>
      <c r="J1187" s="313"/>
      <c r="K1187" s="313"/>
      <c r="L1187" s="313"/>
      <c r="M1187" s="313"/>
      <c r="N1187" s="313"/>
      <c r="O1187" s="313"/>
      <c r="P1187" s="313"/>
      <c r="Q1187" s="313"/>
      <c r="R1187" s="313"/>
      <c r="S1187" s="313"/>
      <c r="T1187" s="313"/>
      <c r="U1187" s="319"/>
      <c r="V1187" s="316"/>
      <c r="W1187" s="319"/>
      <c r="X1187" s="319"/>
      <c r="Y1187" s="119"/>
      <c r="Z1187" s="362"/>
      <c r="AA1187" s="119"/>
      <c r="AB1187" s="119"/>
    </row>
    <row r="1188" spans="1:33" x14ac:dyDescent="0.2">
      <c r="A1188" s="312">
        <v>25</v>
      </c>
      <c r="B1188" s="426" t="s">
        <v>24</v>
      </c>
      <c r="C1188" s="427" t="s">
        <v>1917</v>
      </c>
      <c r="D1188" s="313">
        <v>21922140</v>
      </c>
      <c r="E1188" s="313"/>
      <c r="F1188" s="313">
        <v>20490079</v>
      </c>
      <c r="G1188" s="313"/>
      <c r="H1188" s="313">
        <v>1142825</v>
      </c>
      <c r="I1188" s="313"/>
      <c r="J1188" s="313">
        <v>289236</v>
      </c>
      <c r="K1188" s="313">
        <v>151340</v>
      </c>
      <c r="L1188" s="313">
        <v>137896</v>
      </c>
      <c r="M1188" s="313"/>
      <c r="N1188" s="313"/>
      <c r="O1188" s="313">
        <v>21922140</v>
      </c>
      <c r="P1188" s="313" t="s">
        <v>2512</v>
      </c>
      <c r="Q1188" s="313" t="s">
        <v>1174</v>
      </c>
      <c r="R1188" s="313"/>
      <c r="S1188" s="313">
        <v>303</v>
      </c>
      <c r="T1188" s="313"/>
      <c r="W1188" s="319"/>
      <c r="Y1188" s="119"/>
      <c r="Z1188" s="362"/>
      <c r="AA1188" s="119"/>
      <c r="AB1188" s="119"/>
    </row>
    <row r="1189" spans="1:33" x14ac:dyDescent="0.2">
      <c r="A1189" s="45"/>
      <c r="B1189" s="45"/>
      <c r="C1189" s="45"/>
      <c r="D1189" s="313"/>
      <c r="E1189" s="313"/>
      <c r="F1189" s="313"/>
      <c r="G1189" s="313"/>
      <c r="H1189" s="313"/>
      <c r="I1189" s="313"/>
      <c r="J1189" s="313"/>
      <c r="K1189" s="313"/>
      <c r="L1189" s="313"/>
      <c r="M1189" s="313"/>
      <c r="N1189" s="313"/>
      <c r="O1189" s="313"/>
      <c r="P1189" s="313"/>
      <c r="Q1189" s="313"/>
      <c r="R1189" s="313"/>
      <c r="S1189" s="313"/>
      <c r="T1189" s="313"/>
      <c r="U1189" s="319"/>
      <c r="V1189" s="316"/>
      <c r="W1189" s="319"/>
      <c r="X1189" s="319"/>
      <c r="Y1189" s="119"/>
      <c r="Z1189" s="119"/>
      <c r="AA1189" s="119"/>
      <c r="AB1189" s="119"/>
    </row>
    <row r="1190" spans="1:33" x14ac:dyDescent="0.2">
      <c r="A1190" s="312">
        <v>26</v>
      </c>
      <c r="B1190" s="426" t="s">
        <v>23</v>
      </c>
      <c r="C1190" s="427" t="s">
        <v>1916</v>
      </c>
      <c r="D1190" s="313">
        <v>5241</v>
      </c>
      <c r="E1190" s="313"/>
      <c r="F1190" s="313">
        <v>5241</v>
      </c>
      <c r="G1190" s="313"/>
      <c r="H1190" s="313">
        <v>0</v>
      </c>
      <c r="I1190" s="313"/>
      <c r="J1190" s="313">
        <v>0</v>
      </c>
      <c r="K1190" s="313">
        <v>0</v>
      </c>
      <c r="L1190" s="313">
        <v>0</v>
      </c>
      <c r="M1190" s="313"/>
      <c r="N1190" s="313"/>
      <c r="O1190" s="313">
        <v>5241</v>
      </c>
      <c r="P1190" s="313" t="s">
        <v>2512</v>
      </c>
      <c r="Q1190" s="313" t="s">
        <v>1174</v>
      </c>
      <c r="R1190" s="313"/>
      <c r="S1190" s="313">
        <v>302</v>
      </c>
      <c r="T1190" s="313"/>
      <c r="W1190" s="319"/>
      <c r="Y1190" s="119"/>
      <c r="Z1190" s="119"/>
      <c r="AA1190" s="119"/>
      <c r="AB1190" s="119"/>
    </row>
    <row r="1191" spans="1:33" x14ac:dyDescent="0.2">
      <c r="A1191" s="45"/>
      <c r="B1191" s="45"/>
      <c r="C1191" s="311"/>
      <c r="D1191" s="313"/>
      <c r="E1191" s="313"/>
      <c r="F1191" s="313"/>
      <c r="G1191" s="313"/>
      <c r="H1191" s="313"/>
      <c r="I1191" s="313"/>
      <c r="J1191" s="313"/>
      <c r="K1191" s="313"/>
      <c r="L1191" s="313"/>
      <c r="M1191" s="313"/>
      <c r="N1191" s="313"/>
      <c r="O1191" s="313"/>
      <c r="P1191" s="313"/>
      <c r="Q1191" s="313"/>
      <c r="R1191" s="313"/>
      <c r="S1191" s="313"/>
      <c r="T1191" s="313" t="s">
        <v>2314</v>
      </c>
      <c r="U1191" s="319"/>
      <c r="V1191" s="316"/>
      <c r="W1191" s="319"/>
      <c r="X1191" s="319"/>
      <c r="Y1191" s="319"/>
    </row>
    <row r="1192" spans="1:33" x14ac:dyDescent="0.2">
      <c r="A1192" s="312">
        <v>27</v>
      </c>
      <c r="B1192" s="423" t="s">
        <v>799</v>
      </c>
      <c r="C1192" s="311"/>
      <c r="D1192" s="313">
        <v>415869665</v>
      </c>
      <c r="E1192" s="313"/>
      <c r="F1192" s="313">
        <v>389129204</v>
      </c>
      <c r="G1192" s="313"/>
      <c r="H1192" s="313">
        <v>20250490</v>
      </c>
      <c r="I1192" s="313"/>
      <c r="J1192" s="313">
        <v>6489972</v>
      </c>
      <c r="K1192" s="313">
        <v>3330483</v>
      </c>
      <c r="L1192" s="313">
        <v>3159489</v>
      </c>
      <c r="M1192" s="313"/>
      <c r="N1192" s="313"/>
      <c r="O1192" s="313"/>
      <c r="P1192" s="313"/>
      <c r="Q1192" s="313"/>
      <c r="R1192" s="313"/>
      <c r="S1192" s="313"/>
      <c r="T1192" s="313">
        <v>415869665</v>
      </c>
      <c r="U1192" s="319"/>
      <c r="V1192" s="490">
        <v>415869665</v>
      </c>
      <c r="W1192" s="319">
        <v>0</v>
      </c>
      <c r="Y1192" s="59"/>
      <c r="Z1192" s="59"/>
      <c r="AA1192" s="59">
        <v>415869665.36114562</v>
      </c>
      <c r="AB1192" s="59">
        <v>0</v>
      </c>
    </row>
    <row r="1193" spans="1:33" x14ac:dyDescent="0.2">
      <c r="A1193" s="312"/>
      <c r="B1193" s="423"/>
      <c r="C1193" s="311"/>
      <c r="D1193" s="313"/>
      <c r="E1193" s="313"/>
      <c r="F1193" s="313"/>
      <c r="G1193" s="313"/>
      <c r="H1193" s="313"/>
      <c r="I1193" s="313"/>
      <c r="J1193" s="313"/>
      <c r="K1193" s="313"/>
      <c r="L1193" s="313"/>
      <c r="M1193" s="313"/>
      <c r="N1193" s="313"/>
      <c r="O1193" s="313"/>
      <c r="P1193" s="313"/>
      <c r="Q1193" s="313"/>
      <c r="R1193" s="313"/>
      <c r="S1193" s="313"/>
      <c r="T1193" s="313"/>
      <c r="U1193" s="319"/>
      <c r="W1193" s="319"/>
      <c r="Y1193" s="116"/>
      <c r="Z1193" s="59"/>
      <c r="AA1193" s="59"/>
      <c r="AB1193" s="329"/>
      <c r="AC1193" s="316"/>
    </row>
    <row r="1194" spans="1:33" x14ac:dyDescent="0.2">
      <c r="A1194" s="312"/>
      <c r="B1194" s="423"/>
      <c r="C1194" s="311"/>
      <c r="D1194" s="313"/>
      <c r="E1194" s="313"/>
      <c r="F1194" s="313"/>
      <c r="G1194" s="313"/>
      <c r="H1194" s="313"/>
      <c r="I1194" s="313"/>
      <c r="J1194" s="313"/>
      <c r="K1194" s="313"/>
      <c r="L1194" s="313"/>
      <c r="M1194" s="313"/>
      <c r="N1194" s="313"/>
      <c r="O1194" s="313"/>
      <c r="P1194" s="313"/>
      <c r="Q1194" s="313"/>
      <c r="R1194" s="313"/>
      <c r="S1194" s="313"/>
      <c r="T1194" s="313"/>
      <c r="U1194" s="319"/>
      <c r="W1194" s="319"/>
    </row>
    <row r="1195" spans="1:33" x14ac:dyDescent="0.2">
      <c r="A1195" s="312"/>
      <c r="B1195" s="435" t="s">
        <v>2212</v>
      </c>
      <c r="C1195" s="311"/>
      <c r="D1195" s="313"/>
      <c r="E1195" s="313"/>
      <c r="F1195" s="313"/>
      <c r="G1195" s="313"/>
      <c r="H1195" s="313"/>
      <c r="I1195" s="313"/>
      <c r="J1195" s="313"/>
      <c r="K1195" s="313"/>
      <c r="L1195" s="313"/>
      <c r="M1195" s="313"/>
      <c r="N1195" s="313"/>
      <c r="O1195" s="313"/>
      <c r="P1195" s="313"/>
      <c r="Q1195" s="313"/>
      <c r="R1195" s="313"/>
      <c r="S1195" s="313"/>
      <c r="T1195" s="313"/>
      <c r="U1195" s="319"/>
      <c r="W1195" s="319"/>
    </row>
    <row r="1196" spans="1:33" x14ac:dyDescent="0.2">
      <c r="A1196" s="312"/>
      <c r="B1196" s="435"/>
      <c r="C1196" s="311"/>
      <c r="D1196" s="313"/>
      <c r="E1196" s="313"/>
      <c r="F1196" s="313"/>
      <c r="G1196" s="313"/>
      <c r="H1196" s="313"/>
      <c r="I1196" s="313"/>
      <c r="J1196" s="313"/>
      <c r="K1196" s="313"/>
      <c r="L1196" s="313"/>
      <c r="M1196" s="313"/>
      <c r="N1196" s="313"/>
      <c r="O1196" s="313"/>
      <c r="P1196" s="313"/>
      <c r="Q1196" s="313"/>
      <c r="R1196" s="313"/>
      <c r="S1196" s="313"/>
      <c r="T1196" s="313"/>
      <c r="U1196" s="319"/>
      <c r="W1196" s="319"/>
    </row>
    <row r="1197" spans="1:33" x14ac:dyDescent="0.2">
      <c r="A1197" s="312"/>
      <c r="B1197" s="423" t="s">
        <v>2213</v>
      </c>
      <c r="C1197" s="311"/>
      <c r="D1197" s="313"/>
      <c r="E1197" s="313"/>
      <c r="F1197" s="313"/>
      <c r="G1197" s="313"/>
      <c r="H1197" s="313"/>
      <c r="I1197" s="313"/>
      <c r="J1197" s="313"/>
      <c r="K1197" s="313"/>
      <c r="L1197" s="313"/>
      <c r="M1197" s="313"/>
      <c r="N1197" s="313"/>
      <c r="O1197" s="313"/>
      <c r="P1197" s="313"/>
      <c r="Q1197" s="313"/>
      <c r="R1197" s="313"/>
      <c r="S1197" s="313"/>
      <c r="T1197" s="313"/>
      <c r="U1197" s="319"/>
      <c r="W1197" s="319"/>
      <c r="AB1197" s="339"/>
    </row>
    <row r="1198" spans="1:33" x14ac:dyDescent="0.2">
      <c r="A1198" s="312"/>
      <c r="B1198" s="423"/>
      <c r="C1198" s="311"/>
      <c r="D1198" s="313"/>
      <c r="E1198" s="313"/>
      <c r="F1198" s="313"/>
      <c r="G1198" s="313"/>
      <c r="H1198" s="313"/>
      <c r="I1198" s="313"/>
      <c r="J1198" s="313"/>
      <c r="K1198" s="313"/>
      <c r="L1198" s="313"/>
      <c r="M1198" s="313"/>
      <c r="N1198" s="313"/>
      <c r="O1198" s="313"/>
      <c r="P1198" s="313"/>
      <c r="Q1198" s="313"/>
      <c r="R1198" s="313"/>
      <c r="S1198" s="313"/>
      <c r="T1198" s="313"/>
      <c r="U1198" s="319"/>
      <c r="W1198" s="319"/>
    </row>
    <row r="1199" spans="1:33" x14ac:dyDescent="0.2">
      <c r="A1199" s="45"/>
      <c r="B1199" s="423" t="s">
        <v>7</v>
      </c>
      <c r="C1199" s="311"/>
      <c r="D1199" s="313"/>
      <c r="E1199" s="313"/>
      <c r="F1199" s="313"/>
      <c r="G1199" s="313"/>
      <c r="H1199" s="313"/>
      <c r="I1199" s="313"/>
      <c r="J1199" s="313"/>
      <c r="K1199" s="313"/>
      <c r="L1199" s="313"/>
      <c r="M1199" s="313"/>
      <c r="N1199" s="313"/>
      <c r="O1199" s="313"/>
      <c r="P1199" s="313"/>
      <c r="Q1199" s="313"/>
      <c r="R1199" s="313"/>
      <c r="S1199" s="313"/>
      <c r="T1199" s="313" t="s">
        <v>2239</v>
      </c>
      <c r="U1199" s="319" t="s">
        <v>2286</v>
      </c>
      <c r="V1199" s="53" t="s">
        <v>2287</v>
      </c>
      <c r="W1199" s="319" t="s">
        <v>2309</v>
      </c>
      <c r="X1199" s="53" t="s">
        <v>1254</v>
      </c>
      <c r="Y1199" s="53" t="s">
        <v>62</v>
      </c>
      <c r="Z1199" s="53" t="s">
        <v>2058</v>
      </c>
      <c r="AA1199" s="53" t="s">
        <v>2287</v>
      </c>
      <c r="AB1199" s="53" t="s">
        <v>2309</v>
      </c>
      <c r="AC1199" s="53" t="s">
        <v>1254</v>
      </c>
      <c r="AD1199" s="53" t="s">
        <v>62</v>
      </c>
      <c r="AE1199" s="53" t="s">
        <v>2058</v>
      </c>
      <c r="AF1199" s="53" t="s">
        <v>439</v>
      </c>
    </row>
    <row r="1200" spans="1:33" x14ac:dyDescent="0.2">
      <c r="A1200" s="45">
        <v>1</v>
      </c>
      <c r="B1200" s="423" t="s">
        <v>8</v>
      </c>
      <c r="C1200" s="424" t="s">
        <v>2065</v>
      </c>
      <c r="D1200" s="313">
        <v>15097734</v>
      </c>
      <c r="E1200" s="313"/>
      <c r="F1200" s="313">
        <v>14409914</v>
      </c>
      <c r="G1200" s="313"/>
      <c r="H1200" s="313">
        <v>573177</v>
      </c>
      <c r="I1200" s="313"/>
      <c r="J1200" s="313">
        <v>114644</v>
      </c>
      <c r="K1200" s="313">
        <v>58510</v>
      </c>
      <c r="L1200" s="313">
        <v>56133</v>
      </c>
      <c r="M1200" s="313"/>
      <c r="N1200" s="313"/>
      <c r="O1200" s="313">
        <v>0</v>
      </c>
      <c r="P1200" s="313"/>
      <c r="Q1200" s="313" t="s">
        <v>2240</v>
      </c>
      <c r="R1200" s="313"/>
      <c r="S1200" s="313">
        <v>0</v>
      </c>
      <c r="T1200" s="313">
        <v>15097734</v>
      </c>
      <c r="U1200" s="495">
        <v>14409914</v>
      </c>
      <c r="V1200" s="490">
        <v>573177</v>
      </c>
      <c r="W1200" s="319">
        <v>0</v>
      </c>
      <c r="X1200" s="490">
        <v>114644</v>
      </c>
      <c r="Y1200" s="497">
        <v>15097734</v>
      </c>
      <c r="Z1200" s="498">
        <v>58510</v>
      </c>
      <c r="AA1200" s="326">
        <v>573176.75</v>
      </c>
      <c r="AB1200" s="59">
        <v>0</v>
      </c>
      <c r="AC1200" s="59">
        <v>114643.74380373658</v>
      </c>
      <c r="AD1200" s="59">
        <v>15097734.217080034</v>
      </c>
      <c r="AE1200" s="53">
        <v>58510.406531572</v>
      </c>
      <c r="AF1200" s="53">
        <v>56133.337272164572</v>
      </c>
      <c r="AG1200" s="53" t="s">
        <v>2226</v>
      </c>
    </row>
    <row r="1201" spans="1:30" x14ac:dyDescent="0.2">
      <c r="A1201" s="45">
        <v>2</v>
      </c>
      <c r="B1201" s="423" t="s">
        <v>14</v>
      </c>
      <c r="C1201" s="424" t="s">
        <v>1433</v>
      </c>
      <c r="D1201" s="313">
        <v>0</v>
      </c>
      <c r="E1201" s="313"/>
      <c r="F1201" s="313">
        <v>0</v>
      </c>
      <c r="G1201" s="313"/>
      <c r="H1201" s="313">
        <v>0</v>
      </c>
      <c r="I1201" s="313"/>
      <c r="J1201" s="313">
        <v>0</v>
      </c>
      <c r="K1201" s="313">
        <v>0</v>
      </c>
      <c r="L1201" s="313">
        <v>0</v>
      </c>
      <c r="M1201" s="313"/>
      <c r="N1201" s="313"/>
      <c r="O1201" s="313">
        <v>0</v>
      </c>
      <c r="P1201" s="313"/>
      <c r="Q1201" s="313"/>
      <c r="R1201" s="313"/>
      <c r="S1201" s="313"/>
      <c r="T1201" s="313"/>
      <c r="U1201" s="319"/>
      <c r="W1201" s="319"/>
      <c r="X1201" s="281"/>
      <c r="Y1201" s="326"/>
      <c r="Z1201" s="326"/>
      <c r="AA1201" s="59"/>
      <c r="AB1201" s="59"/>
      <c r="AC1201" s="59"/>
      <c r="AD1201" s="59"/>
    </row>
    <row r="1202" spans="1:30" x14ac:dyDescent="0.2">
      <c r="A1202" s="45">
        <v>3</v>
      </c>
      <c r="B1202" s="423" t="s">
        <v>16</v>
      </c>
      <c r="C1202" s="424" t="s">
        <v>1435</v>
      </c>
      <c r="D1202" s="313">
        <v>0</v>
      </c>
      <c r="E1202" s="313"/>
      <c r="F1202" s="313">
        <v>0</v>
      </c>
      <c r="G1202" s="313"/>
      <c r="H1202" s="313">
        <v>0</v>
      </c>
      <c r="I1202" s="313"/>
      <c r="J1202" s="313">
        <v>0</v>
      </c>
      <c r="K1202" s="313">
        <v>0</v>
      </c>
      <c r="L1202" s="313">
        <v>0</v>
      </c>
      <c r="M1202" s="313"/>
      <c r="N1202" s="313"/>
      <c r="O1202" s="313">
        <v>0</v>
      </c>
      <c r="P1202" s="313"/>
      <c r="Q1202" s="313"/>
      <c r="R1202" s="313"/>
      <c r="S1202" s="313"/>
      <c r="T1202" s="313"/>
      <c r="U1202" s="319"/>
      <c r="W1202" s="319"/>
    </row>
    <row r="1203" spans="1:30" x14ac:dyDescent="0.2">
      <c r="A1203" s="45"/>
      <c r="B1203" s="423"/>
      <c r="C1203" s="424"/>
      <c r="D1203" s="313"/>
      <c r="E1203" s="313"/>
      <c r="F1203" s="313"/>
      <c r="G1203" s="313"/>
      <c r="H1203" s="313"/>
      <c r="I1203" s="313"/>
      <c r="J1203" s="313"/>
      <c r="K1203" s="313"/>
      <c r="L1203" s="313"/>
      <c r="M1203" s="313"/>
      <c r="N1203" s="313"/>
      <c r="O1203" s="313"/>
      <c r="P1203" s="313"/>
      <c r="Q1203" s="313"/>
      <c r="R1203" s="313"/>
      <c r="S1203" s="313"/>
      <c r="T1203" s="313"/>
      <c r="U1203" s="319"/>
      <c r="W1203" s="319"/>
    </row>
    <row r="1204" spans="1:30" x14ac:dyDescent="0.2">
      <c r="A1204" s="45">
        <v>4</v>
      </c>
      <c r="B1204" s="423" t="s">
        <v>18</v>
      </c>
      <c r="C1204" s="45"/>
      <c r="D1204" s="313">
        <v>15097734</v>
      </c>
      <c r="E1204" s="313"/>
      <c r="F1204" s="313">
        <v>14409914</v>
      </c>
      <c r="G1204" s="313"/>
      <c r="H1204" s="313">
        <v>573177</v>
      </c>
      <c r="I1204" s="313"/>
      <c r="J1204" s="313">
        <v>114644</v>
      </c>
      <c r="K1204" s="313">
        <v>58510</v>
      </c>
      <c r="L1204" s="313">
        <v>56133</v>
      </c>
      <c r="M1204" s="313"/>
      <c r="N1204" s="313"/>
      <c r="O1204" s="313"/>
      <c r="P1204" s="313"/>
      <c r="Q1204" s="313"/>
      <c r="R1204" s="313"/>
      <c r="S1204" s="313"/>
      <c r="T1204" s="313"/>
      <c r="U1204" s="319"/>
      <c r="W1204" s="319"/>
    </row>
    <row r="1205" spans="1:30" x14ac:dyDescent="0.2">
      <c r="A1205" s="45"/>
      <c r="B1205" s="423"/>
      <c r="C1205" s="45"/>
      <c r="D1205" s="313"/>
      <c r="E1205" s="313"/>
      <c r="F1205" s="313"/>
      <c r="G1205" s="313"/>
      <c r="H1205" s="313"/>
      <c r="I1205" s="313"/>
      <c r="J1205" s="313"/>
      <c r="K1205" s="313"/>
      <c r="L1205" s="313"/>
      <c r="M1205" s="313"/>
      <c r="N1205" s="313"/>
      <c r="O1205" s="313"/>
      <c r="P1205" s="313"/>
      <c r="Q1205" s="313"/>
      <c r="R1205" s="313"/>
      <c r="S1205" s="313"/>
      <c r="T1205" s="313"/>
      <c r="U1205" s="319"/>
      <c r="W1205" s="319"/>
    </row>
    <row r="1206" spans="1:30" x14ac:dyDescent="0.2">
      <c r="A1206" s="45"/>
      <c r="B1206" s="423" t="s">
        <v>19</v>
      </c>
      <c r="C1206" s="45"/>
      <c r="D1206" s="313"/>
      <c r="E1206" s="313"/>
      <c r="F1206" s="313"/>
      <c r="G1206" s="313"/>
      <c r="H1206" s="313"/>
      <c r="I1206" s="313"/>
      <c r="J1206" s="313"/>
      <c r="K1206" s="313"/>
      <c r="L1206" s="313"/>
      <c r="M1206" s="313"/>
      <c r="N1206" s="313"/>
      <c r="O1206" s="313"/>
      <c r="P1206" s="313"/>
      <c r="Q1206" s="313"/>
      <c r="R1206" s="313"/>
      <c r="S1206" s="313"/>
      <c r="T1206" s="313"/>
      <c r="U1206" s="319"/>
      <c r="W1206" s="319"/>
    </row>
    <row r="1207" spans="1:30" x14ac:dyDescent="0.2">
      <c r="A1207" s="45">
        <v>5</v>
      </c>
      <c r="B1207" s="423" t="s">
        <v>1068</v>
      </c>
      <c r="C1207" s="424" t="s">
        <v>2143</v>
      </c>
      <c r="D1207" s="313">
        <v>0</v>
      </c>
      <c r="E1207" s="313"/>
      <c r="F1207" s="313">
        <v>0</v>
      </c>
      <c r="G1207" s="313"/>
      <c r="H1207" s="313">
        <v>0</v>
      </c>
      <c r="I1207" s="313"/>
      <c r="J1207" s="313">
        <v>0</v>
      </c>
      <c r="K1207" s="313">
        <v>0</v>
      </c>
      <c r="L1207" s="313">
        <v>0</v>
      </c>
      <c r="M1207" s="313"/>
      <c r="N1207" s="313"/>
      <c r="O1207" s="313">
        <v>0</v>
      </c>
      <c r="P1207" s="313"/>
      <c r="Q1207" s="313" t="s">
        <v>2240</v>
      </c>
      <c r="R1207" s="313"/>
      <c r="S1207" s="313"/>
      <c r="T1207" s="313"/>
      <c r="U1207" s="319"/>
      <c r="W1207" s="319"/>
    </row>
    <row r="1208" spans="1:30" x14ac:dyDescent="0.2">
      <c r="A1208" s="45">
        <v>6</v>
      </c>
      <c r="B1208" s="423" t="s">
        <v>1071</v>
      </c>
      <c r="C1208" s="424" t="s">
        <v>1345</v>
      </c>
      <c r="D1208" s="313">
        <v>0</v>
      </c>
      <c r="E1208" s="313"/>
      <c r="F1208" s="313">
        <v>0</v>
      </c>
      <c r="G1208" s="313"/>
      <c r="H1208" s="313">
        <v>0</v>
      </c>
      <c r="I1208" s="313"/>
      <c r="J1208" s="313">
        <v>0</v>
      </c>
      <c r="K1208" s="313">
        <v>0</v>
      </c>
      <c r="L1208" s="313">
        <v>0</v>
      </c>
      <c r="M1208" s="313"/>
      <c r="N1208" s="313"/>
      <c r="O1208" s="313"/>
      <c r="P1208" s="313"/>
      <c r="Q1208" s="313"/>
      <c r="R1208" s="313"/>
      <c r="S1208" s="313"/>
      <c r="T1208" s="313"/>
      <c r="U1208" s="319"/>
      <c r="W1208" s="319"/>
      <c r="Y1208" s="319"/>
      <c r="Z1208" s="319"/>
    </row>
    <row r="1209" spans="1:30" x14ac:dyDescent="0.2">
      <c r="A1209" s="45"/>
      <c r="B1209" s="423"/>
      <c r="C1209" s="311"/>
      <c r="D1209" s="313"/>
      <c r="E1209" s="313"/>
      <c r="F1209" s="313"/>
      <c r="G1209" s="313"/>
      <c r="H1209" s="313"/>
      <c r="I1209" s="313"/>
      <c r="J1209" s="313"/>
      <c r="K1209" s="313"/>
      <c r="L1209" s="313"/>
      <c r="M1209" s="313"/>
      <c r="N1209" s="313"/>
      <c r="O1209" s="313"/>
      <c r="P1209" s="313"/>
      <c r="Q1209" s="313"/>
      <c r="R1209" s="313"/>
      <c r="S1209" s="313"/>
      <c r="T1209" s="313"/>
      <c r="U1209" s="319"/>
      <c r="W1209" s="319"/>
    </row>
    <row r="1210" spans="1:30" x14ac:dyDescent="0.2">
      <c r="A1210" s="45">
        <v>7</v>
      </c>
      <c r="B1210" s="423" t="s">
        <v>20</v>
      </c>
      <c r="C1210" s="311"/>
      <c r="D1210" s="313">
        <v>0</v>
      </c>
      <c r="E1210" s="313"/>
      <c r="F1210" s="313">
        <v>0</v>
      </c>
      <c r="G1210" s="313"/>
      <c r="H1210" s="313">
        <v>0</v>
      </c>
      <c r="I1210" s="313"/>
      <c r="J1210" s="313">
        <v>0</v>
      </c>
      <c r="K1210" s="313">
        <v>0</v>
      </c>
      <c r="L1210" s="313">
        <v>0</v>
      </c>
      <c r="M1210" s="313"/>
      <c r="N1210" s="313"/>
      <c r="O1210" s="313"/>
      <c r="P1210" s="313"/>
      <c r="Q1210" s="313"/>
      <c r="R1210" s="313"/>
      <c r="S1210" s="313"/>
      <c r="T1210" s="313"/>
      <c r="U1210" s="319"/>
      <c r="W1210" s="319"/>
    </row>
    <row r="1211" spans="1:30" x14ac:dyDescent="0.2">
      <c r="A1211" s="45"/>
      <c r="B1211" s="423"/>
      <c r="C1211" s="311"/>
      <c r="D1211" s="313"/>
      <c r="E1211" s="313"/>
      <c r="F1211" s="313"/>
      <c r="G1211" s="313"/>
      <c r="H1211" s="313"/>
      <c r="I1211" s="313"/>
      <c r="J1211" s="313"/>
      <c r="K1211" s="313"/>
      <c r="L1211" s="313"/>
      <c r="M1211" s="313"/>
      <c r="N1211" s="313"/>
      <c r="O1211" s="313"/>
      <c r="P1211" s="313"/>
      <c r="Q1211" s="313"/>
      <c r="R1211" s="313"/>
      <c r="S1211" s="313"/>
      <c r="T1211" s="313"/>
      <c r="U1211" s="319"/>
      <c r="W1211" s="319"/>
    </row>
    <row r="1212" spans="1:30" x14ac:dyDescent="0.2">
      <c r="A1212" s="45"/>
      <c r="B1212" s="423" t="s">
        <v>808</v>
      </c>
      <c r="C1212" s="45"/>
      <c r="D1212" s="313"/>
      <c r="E1212" s="313"/>
      <c r="F1212" s="313"/>
      <c r="G1212" s="313"/>
      <c r="H1212" s="313"/>
      <c r="I1212" s="313"/>
      <c r="J1212" s="313"/>
      <c r="K1212" s="313"/>
      <c r="L1212" s="313"/>
      <c r="M1212" s="313"/>
      <c r="N1212" s="313"/>
      <c r="O1212" s="313"/>
      <c r="P1212" s="313"/>
      <c r="Q1212" s="313"/>
      <c r="R1212" s="313"/>
      <c r="S1212" s="313"/>
      <c r="T1212" s="313"/>
      <c r="U1212" s="319"/>
      <c r="W1212" s="319"/>
    </row>
    <row r="1213" spans="1:30" x14ac:dyDescent="0.2">
      <c r="A1213" s="45">
        <v>8</v>
      </c>
      <c r="B1213" s="423" t="s">
        <v>800</v>
      </c>
      <c r="C1213" s="424" t="s">
        <v>928</v>
      </c>
      <c r="D1213" s="313">
        <v>0</v>
      </c>
      <c r="E1213" s="313"/>
      <c r="F1213" s="313">
        <v>0</v>
      </c>
      <c r="G1213" s="313"/>
      <c r="H1213" s="313">
        <v>0</v>
      </c>
      <c r="I1213" s="313"/>
      <c r="J1213" s="313">
        <v>0</v>
      </c>
      <c r="K1213" s="313">
        <v>0</v>
      </c>
      <c r="L1213" s="313">
        <v>0</v>
      </c>
      <c r="M1213" s="313"/>
      <c r="N1213" s="313"/>
      <c r="O1213" s="313">
        <v>0</v>
      </c>
      <c r="P1213" s="313"/>
      <c r="Q1213" s="313" t="s">
        <v>2240</v>
      </c>
      <c r="R1213" s="313"/>
      <c r="S1213" s="313"/>
      <c r="T1213" s="313"/>
      <c r="U1213" s="319"/>
      <c r="W1213" s="319"/>
    </row>
    <row r="1214" spans="1:30" x14ac:dyDescent="0.2">
      <c r="A1214" s="45">
        <v>9</v>
      </c>
      <c r="B1214" s="423" t="s">
        <v>801</v>
      </c>
      <c r="C1214" s="424" t="s">
        <v>28</v>
      </c>
      <c r="D1214" s="313">
        <v>0</v>
      </c>
      <c r="E1214" s="313"/>
      <c r="F1214" s="313">
        <v>0</v>
      </c>
      <c r="G1214" s="313"/>
      <c r="H1214" s="313">
        <v>0</v>
      </c>
      <c r="I1214" s="313"/>
      <c r="J1214" s="313">
        <v>0</v>
      </c>
      <c r="K1214" s="313">
        <v>0</v>
      </c>
      <c r="L1214" s="313">
        <v>0</v>
      </c>
      <c r="M1214" s="313"/>
      <c r="N1214" s="313"/>
      <c r="O1214" s="313"/>
      <c r="P1214" s="313"/>
      <c r="Q1214" s="313"/>
      <c r="R1214" s="313"/>
      <c r="S1214" s="313"/>
      <c r="T1214" s="313"/>
      <c r="U1214" s="319"/>
      <c r="W1214" s="319"/>
      <c r="Y1214" s="319"/>
      <c r="Z1214" s="319"/>
    </row>
    <row r="1215" spans="1:30" x14ac:dyDescent="0.2">
      <c r="A1215" s="45"/>
      <c r="B1215" s="423"/>
      <c r="C1215" s="311"/>
      <c r="D1215" s="313"/>
      <c r="E1215" s="313"/>
      <c r="F1215" s="313"/>
      <c r="G1215" s="313"/>
      <c r="H1215" s="313"/>
      <c r="I1215" s="313"/>
      <c r="J1215" s="313"/>
      <c r="K1215" s="313"/>
      <c r="L1215" s="313"/>
      <c r="M1215" s="313"/>
      <c r="N1215" s="313"/>
      <c r="O1215" s="313"/>
      <c r="P1215" s="313"/>
      <c r="Q1215" s="313"/>
      <c r="R1215" s="313"/>
      <c r="S1215" s="313"/>
      <c r="T1215" s="313"/>
      <c r="U1215" s="319"/>
      <c r="W1215" s="319"/>
    </row>
    <row r="1216" spans="1:30" x14ac:dyDescent="0.2">
      <c r="A1216" s="45">
        <v>10</v>
      </c>
      <c r="B1216" s="423" t="s">
        <v>21</v>
      </c>
      <c r="C1216" s="311"/>
      <c r="D1216" s="313">
        <v>0</v>
      </c>
      <c r="E1216" s="313"/>
      <c r="F1216" s="313">
        <v>0</v>
      </c>
      <c r="G1216" s="313"/>
      <c r="H1216" s="313">
        <v>0</v>
      </c>
      <c r="I1216" s="313"/>
      <c r="J1216" s="313">
        <v>0</v>
      </c>
      <c r="K1216" s="313">
        <v>0</v>
      </c>
      <c r="L1216" s="313">
        <v>0</v>
      </c>
      <c r="M1216" s="313"/>
      <c r="N1216" s="313"/>
      <c r="O1216" s="313"/>
      <c r="P1216" s="313"/>
      <c r="Q1216" s="313"/>
      <c r="R1216" s="313"/>
      <c r="S1216" s="313"/>
      <c r="T1216" s="313"/>
      <c r="U1216" s="319"/>
      <c r="W1216" s="319"/>
    </row>
    <row r="1217" spans="1:23" x14ac:dyDescent="0.2">
      <c r="A1217" s="45"/>
      <c r="B1217" s="423"/>
      <c r="C1217" s="311"/>
      <c r="D1217" s="313"/>
      <c r="E1217" s="313"/>
      <c r="F1217" s="313"/>
      <c r="G1217" s="313"/>
      <c r="H1217" s="313"/>
      <c r="I1217" s="313"/>
      <c r="J1217" s="313"/>
      <c r="K1217" s="313"/>
      <c r="L1217" s="313"/>
      <c r="M1217" s="313"/>
      <c r="N1217" s="313"/>
      <c r="O1217" s="313"/>
      <c r="P1217" s="313"/>
      <c r="Q1217" s="313"/>
      <c r="R1217" s="313"/>
      <c r="S1217" s="313"/>
      <c r="T1217" s="313"/>
      <c r="U1217" s="319"/>
      <c r="W1217" s="319"/>
    </row>
    <row r="1218" spans="1:23" x14ac:dyDescent="0.2">
      <c r="A1218" s="45">
        <v>11</v>
      </c>
      <c r="B1218" s="423" t="s">
        <v>2214</v>
      </c>
      <c r="C1218" s="311"/>
      <c r="D1218" s="313">
        <v>15097734</v>
      </c>
      <c r="E1218" s="313"/>
      <c r="F1218" s="313">
        <v>14409914</v>
      </c>
      <c r="G1218" s="313"/>
      <c r="H1218" s="313">
        <v>573177</v>
      </c>
      <c r="I1218" s="313"/>
      <c r="J1218" s="313">
        <v>114644</v>
      </c>
      <c r="K1218" s="313">
        <v>58510</v>
      </c>
      <c r="L1218" s="313">
        <v>56133</v>
      </c>
      <c r="M1218" s="313"/>
      <c r="N1218" s="313"/>
      <c r="O1218" s="313"/>
      <c r="P1218" s="313"/>
      <c r="Q1218" s="313"/>
      <c r="R1218" s="313"/>
      <c r="S1218" s="313"/>
      <c r="T1218" s="313"/>
      <c r="U1218" s="319"/>
      <c r="W1218" s="319"/>
    </row>
    <row r="1219" spans="1:23" x14ac:dyDescent="0.2">
      <c r="A1219" s="45"/>
      <c r="B1219" s="423"/>
      <c r="C1219" s="311"/>
      <c r="D1219" s="313"/>
      <c r="E1219" s="313"/>
      <c r="F1219" s="313"/>
      <c r="G1219" s="313"/>
      <c r="H1219" s="313"/>
      <c r="I1219" s="313"/>
      <c r="J1219" s="313"/>
      <c r="K1219" s="313"/>
      <c r="L1219" s="313"/>
      <c r="M1219" s="313"/>
      <c r="N1219" s="313"/>
      <c r="O1219" s="313"/>
      <c r="P1219" s="313"/>
      <c r="Q1219" s="313"/>
      <c r="R1219" s="313"/>
      <c r="S1219" s="313"/>
      <c r="T1219" s="313"/>
      <c r="U1219" s="319"/>
      <c r="W1219" s="319"/>
    </row>
    <row r="1220" spans="1:23" x14ac:dyDescent="0.2">
      <c r="A1220" s="312"/>
      <c r="B1220" s="423" t="s">
        <v>802</v>
      </c>
      <c r="C1220" s="311"/>
      <c r="D1220" s="313"/>
      <c r="E1220" s="313"/>
      <c r="F1220" s="313"/>
      <c r="G1220" s="313"/>
      <c r="H1220" s="313"/>
      <c r="I1220" s="313"/>
      <c r="J1220" s="313"/>
      <c r="K1220" s="313"/>
      <c r="L1220" s="313"/>
      <c r="M1220" s="313"/>
      <c r="N1220" s="313"/>
      <c r="O1220" s="313"/>
      <c r="P1220" s="313"/>
      <c r="Q1220" s="313"/>
      <c r="R1220" s="313"/>
      <c r="S1220" s="313"/>
      <c r="T1220" s="313"/>
      <c r="U1220" s="319"/>
      <c r="W1220" s="319"/>
    </row>
    <row r="1221" spans="1:23" x14ac:dyDescent="0.2">
      <c r="A1221" s="312"/>
      <c r="B1221" s="423"/>
      <c r="C1221" s="311"/>
      <c r="D1221" s="313"/>
      <c r="E1221" s="313"/>
      <c r="F1221" s="313"/>
      <c r="G1221" s="313"/>
      <c r="H1221" s="313"/>
      <c r="I1221" s="313"/>
      <c r="J1221" s="313"/>
      <c r="K1221" s="313"/>
      <c r="L1221" s="313"/>
      <c r="M1221" s="313"/>
      <c r="N1221" s="313"/>
      <c r="O1221" s="313"/>
      <c r="P1221" s="313"/>
      <c r="Q1221" s="313"/>
      <c r="R1221" s="313"/>
      <c r="S1221" s="313"/>
      <c r="T1221" s="313"/>
      <c r="U1221" s="319"/>
      <c r="W1221" s="319"/>
    </row>
    <row r="1222" spans="1:23" x14ac:dyDescent="0.2">
      <c r="A1222" s="45"/>
      <c r="B1222" s="423" t="s">
        <v>7</v>
      </c>
      <c r="C1222" s="311"/>
      <c r="D1222" s="313"/>
      <c r="E1222" s="313"/>
      <c r="F1222" s="313"/>
      <c r="G1222" s="313"/>
      <c r="H1222" s="313"/>
      <c r="I1222" s="313"/>
      <c r="J1222" s="313"/>
      <c r="K1222" s="313"/>
      <c r="L1222" s="313"/>
      <c r="M1222" s="313"/>
      <c r="N1222" s="313"/>
      <c r="O1222" s="313"/>
      <c r="P1222" s="313"/>
      <c r="Q1222" s="313"/>
      <c r="R1222" s="313"/>
      <c r="S1222" s="313"/>
      <c r="T1222" s="313"/>
      <c r="U1222" s="319"/>
      <c r="W1222" s="319"/>
    </row>
    <row r="1223" spans="1:23" x14ac:dyDescent="0.2">
      <c r="A1223" s="45">
        <v>12</v>
      </c>
      <c r="B1223" s="423" t="s">
        <v>8</v>
      </c>
      <c r="C1223" s="424" t="s">
        <v>1429</v>
      </c>
      <c r="D1223" s="313">
        <v>0</v>
      </c>
      <c r="E1223" s="313"/>
      <c r="F1223" s="313">
        <v>0</v>
      </c>
      <c r="G1223" s="313"/>
      <c r="H1223" s="313">
        <v>0</v>
      </c>
      <c r="I1223" s="313"/>
      <c r="J1223" s="313">
        <v>0</v>
      </c>
      <c r="K1223" s="313">
        <v>0</v>
      </c>
      <c r="L1223" s="313">
        <v>0</v>
      </c>
      <c r="M1223" s="313"/>
      <c r="N1223" s="313"/>
      <c r="O1223" s="313">
        <v>0</v>
      </c>
      <c r="P1223" s="313"/>
      <c r="Q1223" s="313" t="s">
        <v>2241</v>
      </c>
      <c r="R1223" s="313"/>
      <c r="S1223" s="313"/>
      <c r="T1223" s="313"/>
      <c r="U1223" s="319"/>
      <c r="W1223" s="319"/>
    </row>
    <row r="1224" spans="1:23" x14ac:dyDescent="0.2">
      <c r="A1224" s="45">
        <v>13</v>
      </c>
      <c r="B1224" s="423" t="s">
        <v>14</v>
      </c>
      <c r="C1224" s="424" t="s">
        <v>1433</v>
      </c>
      <c r="D1224" s="313">
        <v>0</v>
      </c>
      <c r="E1224" s="313"/>
      <c r="F1224" s="313">
        <v>0</v>
      </c>
      <c r="G1224" s="313"/>
      <c r="H1224" s="313">
        <v>0</v>
      </c>
      <c r="I1224" s="313"/>
      <c r="J1224" s="313">
        <v>0</v>
      </c>
      <c r="K1224" s="313">
        <v>0</v>
      </c>
      <c r="L1224" s="313">
        <v>0</v>
      </c>
      <c r="M1224" s="313"/>
      <c r="N1224" s="313"/>
      <c r="O1224" s="313">
        <v>0</v>
      </c>
      <c r="P1224" s="313"/>
      <c r="Q1224" s="313"/>
      <c r="R1224" s="313"/>
      <c r="S1224" s="313"/>
      <c r="T1224" s="313"/>
      <c r="U1224" s="319"/>
      <c r="V1224" s="316"/>
      <c r="W1224" s="319"/>
    </row>
    <row r="1225" spans="1:23" x14ac:dyDescent="0.2">
      <c r="A1225" s="45">
        <v>14</v>
      </c>
      <c r="B1225" s="423" t="s">
        <v>16</v>
      </c>
      <c r="C1225" s="424" t="s">
        <v>1435</v>
      </c>
      <c r="D1225" s="313">
        <v>0</v>
      </c>
      <c r="E1225" s="313"/>
      <c r="F1225" s="313">
        <v>0</v>
      </c>
      <c r="G1225" s="313"/>
      <c r="H1225" s="313">
        <v>0</v>
      </c>
      <c r="I1225" s="313"/>
      <c r="J1225" s="313">
        <v>0</v>
      </c>
      <c r="K1225" s="313">
        <v>0</v>
      </c>
      <c r="L1225" s="313">
        <v>0</v>
      </c>
      <c r="M1225" s="313"/>
      <c r="N1225" s="313"/>
      <c r="O1225" s="313">
        <v>0</v>
      </c>
      <c r="P1225" s="313"/>
      <c r="Q1225" s="313"/>
      <c r="R1225" s="313"/>
      <c r="S1225" s="313"/>
      <c r="T1225" s="313"/>
      <c r="U1225" s="319"/>
      <c r="W1225" s="319"/>
    </row>
    <row r="1226" spans="1:23" x14ac:dyDescent="0.2">
      <c r="A1226" s="45"/>
      <c r="B1226" s="423"/>
      <c r="C1226" s="424"/>
      <c r="D1226" s="313"/>
      <c r="E1226" s="313"/>
      <c r="F1226" s="313"/>
      <c r="G1226" s="313"/>
      <c r="H1226" s="313"/>
      <c r="I1226" s="313"/>
      <c r="J1226" s="313"/>
      <c r="K1226" s="313"/>
      <c r="L1226" s="313"/>
      <c r="M1226" s="313"/>
      <c r="N1226" s="313"/>
      <c r="O1226" s="313"/>
      <c r="P1226" s="313"/>
      <c r="Q1226" s="313"/>
      <c r="R1226" s="313"/>
      <c r="S1226" s="313"/>
      <c r="T1226" s="313"/>
      <c r="U1226" s="319"/>
      <c r="W1226" s="319"/>
    </row>
    <row r="1227" spans="1:23" x14ac:dyDescent="0.2">
      <c r="A1227" s="45">
        <v>15</v>
      </c>
      <c r="B1227" s="423" t="s">
        <v>18</v>
      </c>
      <c r="C1227" s="45"/>
      <c r="D1227" s="313">
        <v>0</v>
      </c>
      <c r="E1227" s="313"/>
      <c r="F1227" s="313">
        <v>0</v>
      </c>
      <c r="G1227" s="313"/>
      <c r="H1227" s="313">
        <v>0</v>
      </c>
      <c r="I1227" s="313"/>
      <c r="J1227" s="313">
        <v>0</v>
      </c>
      <c r="K1227" s="313">
        <v>0</v>
      </c>
      <c r="L1227" s="313">
        <v>0</v>
      </c>
      <c r="M1227" s="313"/>
      <c r="N1227" s="313"/>
      <c r="O1227" s="313"/>
      <c r="P1227" s="313"/>
      <c r="Q1227" s="313"/>
      <c r="R1227" s="313"/>
      <c r="S1227" s="313"/>
      <c r="T1227" s="313"/>
      <c r="U1227" s="319"/>
      <c r="W1227" s="319"/>
    </row>
    <row r="1228" spans="1:23" x14ac:dyDescent="0.2">
      <c r="A1228" s="45"/>
      <c r="B1228" s="423"/>
      <c r="C1228" s="45"/>
      <c r="D1228" s="313"/>
      <c r="E1228" s="313"/>
      <c r="F1228" s="313"/>
      <c r="G1228" s="313"/>
      <c r="H1228" s="313"/>
      <c r="I1228" s="313"/>
      <c r="J1228" s="313"/>
      <c r="K1228" s="313"/>
      <c r="L1228" s="313"/>
      <c r="M1228" s="313"/>
      <c r="N1228" s="313"/>
      <c r="O1228" s="313"/>
      <c r="P1228" s="313"/>
      <c r="Q1228" s="313"/>
      <c r="R1228" s="313"/>
      <c r="S1228" s="313"/>
      <c r="T1228" s="313"/>
      <c r="U1228" s="319"/>
      <c r="W1228" s="319"/>
    </row>
    <row r="1229" spans="1:23" x14ac:dyDescent="0.2">
      <c r="A1229" s="45"/>
      <c r="B1229" s="423" t="s">
        <v>19</v>
      </c>
      <c r="C1229" s="45"/>
      <c r="D1229" s="313"/>
      <c r="E1229" s="313"/>
      <c r="F1229" s="313"/>
      <c r="G1229" s="313"/>
      <c r="H1229" s="313"/>
      <c r="I1229" s="313"/>
      <c r="J1229" s="313"/>
      <c r="K1229" s="313"/>
      <c r="L1229" s="313"/>
      <c r="M1229" s="313"/>
      <c r="N1229" s="313"/>
      <c r="O1229" s="313"/>
      <c r="P1229" s="313"/>
      <c r="Q1229" s="313"/>
      <c r="R1229" s="313"/>
      <c r="S1229" s="313"/>
      <c r="T1229" s="313"/>
      <c r="U1229" s="319"/>
      <c r="W1229" s="319"/>
    </row>
    <row r="1230" spans="1:23" x14ac:dyDescent="0.2">
      <c r="A1230" s="45">
        <v>16</v>
      </c>
      <c r="B1230" s="423" t="s">
        <v>1068</v>
      </c>
      <c r="C1230" s="424" t="s">
        <v>2143</v>
      </c>
      <c r="D1230" s="313">
        <v>0</v>
      </c>
      <c r="E1230" s="313"/>
      <c r="F1230" s="313">
        <v>0</v>
      </c>
      <c r="G1230" s="313"/>
      <c r="H1230" s="313">
        <v>0</v>
      </c>
      <c r="I1230" s="313"/>
      <c r="J1230" s="313">
        <v>0</v>
      </c>
      <c r="K1230" s="313">
        <v>0</v>
      </c>
      <c r="L1230" s="313">
        <v>0</v>
      </c>
      <c r="M1230" s="313"/>
      <c r="N1230" s="313"/>
      <c r="O1230" s="313">
        <v>0</v>
      </c>
      <c r="P1230" s="313"/>
      <c r="Q1230" s="313" t="s">
        <v>2241</v>
      </c>
      <c r="R1230" s="313"/>
      <c r="S1230" s="313"/>
      <c r="T1230" s="313"/>
      <c r="U1230" s="319"/>
      <c r="W1230" s="319"/>
    </row>
    <row r="1231" spans="1:23" x14ac:dyDescent="0.2">
      <c r="A1231" s="45">
        <v>17</v>
      </c>
      <c r="B1231" s="423" t="s">
        <v>1071</v>
      </c>
      <c r="C1231" s="424" t="s">
        <v>1345</v>
      </c>
      <c r="D1231" s="313">
        <v>0</v>
      </c>
      <c r="E1231" s="313"/>
      <c r="F1231" s="313">
        <v>0</v>
      </c>
      <c r="G1231" s="313"/>
      <c r="H1231" s="313">
        <v>0</v>
      </c>
      <c r="I1231" s="313"/>
      <c r="J1231" s="313">
        <v>0</v>
      </c>
      <c r="K1231" s="313">
        <v>0</v>
      </c>
      <c r="L1231" s="313">
        <v>0</v>
      </c>
      <c r="M1231" s="313"/>
      <c r="N1231" s="313"/>
      <c r="O1231" s="313"/>
      <c r="P1231" s="313"/>
      <c r="Q1231" s="313"/>
      <c r="R1231" s="313"/>
      <c r="S1231" s="313"/>
      <c r="T1231" s="313"/>
      <c r="U1231" s="319"/>
      <c r="V1231" s="316"/>
      <c r="W1231" s="319"/>
    </row>
    <row r="1232" spans="1:23" x14ac:dyDescent="0.2">
      <c r="A1232" s="45"/>
      <c r="B1232" s="423"/>
      <c r="C1232" s="311"/>
      <c r="D1232" s="313"/>
      <c r="E1232" s="313"/>
      <c r="F1232" s="313"/>
      <c r="G1232" s="313"/>
      <c r="H1232" s="313"/>
      <c r="I1232" s="313"/>
      <c r="J1232" s="313"/>
      <c r="K1232" s="313"/>
      <c r="L1232" s="313"/>
      <c r="M1232" s="313"/>
      <c r="N1232" s="313"/>
      <c r="O1232" s="313"/>
      <c r="P1232" s="313"/>
      <c r="Q1232" s="313"/>
      <c r="R1232" s="313"/>
      <c r="S1232" s="313"/>
      <c r="T1232" s="313"/>
      <c r="U1232" s="319"/>
      <c r="W1232" s="319"/>
    </row>
    <row r="1233" spans="1:26" x14ac:dyDescent="0.2">
      <c r="A1233" s="45">
        <v>18</v>
      </c>
      <c r="B1233" s="423" t="s">
        <v>20</v>
      </c>
      <c r="C1233" s="311"/>
      <c r="D1233" s="313">
        <v>0</v>
      </c>
      <c r="E1233" s="313"/>
      <c r="F1233" s="313">
        <v>0</v>
      </c>
      <c r="G1233" s="313"/>
      <c r="H1233" s="313">
        <v>0</v>
      </c>
      <c r="I1233" s="313"/>
      <c r="J1233" s="313">
        <v>0</v>
      </c>
      <c r="K1233" s="313">
        <v>0</v>
      </c>
      <c r="L1233" s="313">
        <v>0</v>
      </c>
      <c r="M1233" s="313"/>
      <c r="N1233" s="313"/>
      <c r="O1233" s="313"/>
      <c r="P1233" s="313"/>
      <c r="Q1233" s="313"/>
      <c r="R1233" s="313"/>
      <c r="S1233" s="313"/>
      <c r="T1233" s="313"/>
      <c r="U1233" s="319"/>
      <c r="W1233" s="319"/>
      <c r="X1233" s="319"/>
    </row>
    <row r="1234" spans="1:26" x14ac:dyDescent="0.2">
      <c r="A1234" s="45"/>
      <c r="B1234" s="423"/>
      <c r="C1234" s="311"/>
      <c r="D1234" s="313"/>
      <c r="E1234" s="313"/>
      <c r="F1234" s="313"/>
      <c r="G1234" s="313"/>
      <c r="H1234" s="313"/>
      <c r="I1234" s="313"/>
      <c r="J1234" s="313"/>
      <c r="K1234" s="313"/>
      <c r="L1234" s="313"/>
      <c r="M1234" s="313"/>
      <c r="N1234" s="313"/>
      <c r="O1234" s="313"/>
      <c r="P1234" s="313"/>
      <c r="Q1234" s="313"/>
      <c r="R1234" s="313"/>
      <c r="S1234" s="313"/>
      <c r="T1234" s="313"/>
      <c r="U1234" s="319"/>
      <c r="W1234" s="59"/>
      <c r="X1234" s="59"/>
      <c r="Y1234" s="59"/>
      <c r="Z1234" s="303"/>
    </row>
    <row r="1235" spans="1:26" x14ac:dyDescent="0.2">
      <c r="A1235" s="45"/>
      <c r="B1235" s="423" t="s">
        <v>1073</v>
      </c>
      <c r="C1235" s="45"/>
      <c r="D1235" s="313"/>
      <c r="E1235" s="313"/>
      <c r="F1235" s="313"/>
      <c r="G1235" s="313"/>
      <c r="H1235" s="313"/>
      <c r="I1235" s="313"/>
      <c r="J1235" s="313"/>
      <c r="K1235" s="313"/>
      <c r="L1235" s="313"/>
      <c r="M1235" s="313"/>
      <c r="N1235" s="313"/>
      <c r="O1235" s="313"/>
      <c r="P1235" s="313"/>
      <c r="Q1235" s="313"/>
      <c r="R1235" s="313"/>
      <c r="S1235" s="313"/>
      <c r="T1235" s="313"/>
      <c r="U1235" s="319"/>
      <c r="W1235" s="319"/>
    </row>
    <row r="1236" spans="1:26" x14ac:dyDescent="0.2">
      <c r="A1236" s="45">
        <v>19</v>
      </c>
      <c r="B1236" s="423" t="s">
        <v>1068</v>
      </c>
      <c r="C1236" s="424" t="s">
        <v>928</v>
      </c>
      <c r="D1236" s="313">
        <v>0</v>
      </c>
      <c r="E1236" s="313"/>
      <c r="F1236" s="313">
        <v>0</v>
      </c>
      <c r="G1236" s="313"/>
      <c r="H1236" s="313">
        <v>0</v>
      </c>
      <c r="I1236" s="313"/>
      <c r="J1236" s="313">
        <v>0</v>
      </c>
      <c r="K1236" s="313">
        <v>0</v>
      </c>
      <c r="L1236" s="313">
        <v>0</v>
      </c>
      <c r="M1236" s="313"/>
      <c r="N1236" s="313"/>
      <c r="O1236" s="313">
        <v>0</v>
      </c>
      <c r="P1236" s="313"/>
      <c r="Q1236" s="313" t="s">
        <v>2241</v>
      </c>
      <c r="R1236" s="313"/>
      <c r="S1236" s="313"/>
      <c r="T1236" s="313"/>
      <c r="U1236" s="319"/>
      <c r="W1236" s="319"/>
    </row>
    <row r="1237" spans="1:26" x14ac:dyDescent="0.2">
      <c r="A1237" s="45">
        <v>20</v>
      </c>
      <c r="B1237" s="423" t="s">
        <v>1071</v>
      </c>
      <c r="C1237" s="424" t="s">
        <v>939</v>
      </c>
      <c r="D1237" s="313">
        <v>0</v>
      </c>
      <c r="E1237" s="313"/>
      <c r="F1237" s="313">
        <v>0</v>
      </c>
      <c r="G1237" s="313"/>
      <c r="H1237" s="313">
        <v>0</v>
      </c>
      <c r="I1237" s="313"/>
      <c r="J1237" s="313">
        <v>0</v>
      </c>
      <c r="K1237" s="313">
        <v>0</v>
      </c>
      <c r="L1237" s="313">
        <v>0</v>
      </c>
      <c r="M1237" s="313"/>
      <c r="N1237" s="313"/>
      <c r="O1237" s="313"/>
      <c r="P1237" s="313"/>
      <c r="Q1237" s="313"/>
      <c r="R1237" s="313"/>
      <c r="S1237" s="313"/>
      <c r="T1237" s="313"/>
      <c r="U1237" s="319"/>
      <c r="V1237" s="316"/>
      <c r="W1237" s="319"/>
    </row>
    <row r="1238" spans="1:26" x14ac:dyDescent="0.2">
      <c r="A1238" s="45"/>
      <c r="B1238" s="423"/>
      <c r="C1238" s="311"/>
      <c r="D1238" s="313"/>
      <c r="E1238" s="313"/>
      <c r="F1238" s="313"/>
      <c r="G1238" s="313"/>
      <c r="H1238" s="313"/>
      <c r="I1238" s="313"/>
      <c r="J1238" s="313"/>
      <c r="K1238" s="313"/>
      <c r="L1238" s="313"/>
      <c r="M1238" s="313"/>
      <c r="N1238" s="313"/>
      <c r="O1238" s="313"/>
      <c r="P1238" s="313"/>
      <c r="Q1238" s="313"/>
      <c r="R1238" s="313" t="s">
        <v>2242</v>
      </c>
      <c r="S1238" s="313" t="s">
        <v>803</v>
      </c>
      <c r="T1238" s="313"/>
      <c r="U1238" s="319"/>
      <c r="W1238" s="319"/>
    </row>
    <row r="1239" spans="1:26" x14ac:dyDescent="0.2">
      <c r="A1239" s="45">
        <v>21</v>
      </c>
      <c r="B1239" s="423" t="s">
        <v>21</v>
      </c>
      <c r="C1239" s="311"/>
      <c r="D1239" s="313">
        <v>0</v>
      </c>
      <c r="E1239" s="313"/>
      <c r="F1239" s="313">
        <v>0</v>
      </c>
      <c r="G1239" s="313"/>
      <c r="H1239" s="313">
        <v>0</v>
      </c>
      <c r="I1239" s="313"/>
      <c r="J1239" s="313">
        <v>0</v>
      </c>
      <c r="K1239" s="313">
        <v>0</v>
      </c>
      <c r="L1239" s="313">
        <v>0</v>
      </c>
      <c r="M1239" s="313"/>
      <c r="N1239" s="313"/>
      <c r="O1239" s="313"/>
      <c r="P1239" s="313"/>
      <c r="Q1239" s="313"/>
      <c r="R1239" s="313">
        <v>15097734</v>
      </c>
      <c r="S1239" s="313">
        <v>0</v>
      </c>
      <c r="T1239" s="313">
        <v>15097734</v>
      </c>
      <c r="U1239" s="319">
        <v>0</v>
      </c>
      <c r="W1239" s="319"/>
      <c r="X1239" s="319"/>
    </row>
    <row r="1240" spans="1:26" x14ac:dyDescent="0.2">
      <c r="A1240" s="45"/>
      <c r="B1240" s="423"/>
      <c r="C1240" s="311"/>
      <c r="D1240" s="313"/>
      <c r="E1240" s="313"/>
      <c r="F1240" s="313"/>
      <c r="G1240" s="313"/>
      <c r="H1240" s="313"/>
      <c r="I1240" s="313"/>
      <c r="J1240" s="313"/>
      <c r="K1240" s="313"/>
      <c r="L1240" s="313"/>
      <c r="M1240" s="313"/>
      <c r="N1240" s="313"/>
      <c r="O1240" s="313"/>
      <c r="P1240" s="313"/>
      <c r="Q1240" s="313"/>
      <c r="R1240" s="313"/>
      <c r="S1240" s="313"/>
      <c r="T1240" s="313"/>
      <c r="U1240" s="319"/>
      <c r="W1240" s="326"/>
      <c r="X1240" s="59"/>
      <c r="Y1240" s="59"/>
      <c r="Z1240" s="329"/>
    </row>
    <row r="1241" spans="1:26" x14ac:dyDescent="0.2">
      <c r="A1241" s="45">
        <v>22</v>
      </c>
      <c r="B1241" s="423" t="s">
        <v>804</v>
      </c>
      <c r="C1241" s="311"/>
      <c r="D1241" s="313">
        <v>0</v>
      </c>
      <c r="E1241" s="313"/>
      <c r="F1241" s="313">
        <v>0</v>
      </c>
      <c r="G1241" s="313"/>
      <c r="H1241" s="313">
        <v>0</v>
      </c>
      <c r="I1241" s="313"/>
      <c r="J1241" s="313">
        <v>0</v>
      </c>
      <c r="K1241" s="313">
        <v>0</v>
      </c>
      <c r="L1241" s="313">
        <v>0</v>
      </c>
      <c r="M1241" s="313"/>
      <c r="N1241" s="313"/>
      <c r="O1241" s="313"/>
      <c r="P1241" s="313"/>
      <c r="Q1241" s="313"/>
      <c r="R1241" s="313"/>
      <c r="S1241" s="313"/>
      <c r="T1241" s="313"/>
      <c r="U1241" s="319"/>
      <c r="W1241" s="319"/>
    </row>
    <row r="1242" spans="1:26" x14ac:dyDescent="0.2">
      <c r="A1242" s="45"/>
      <c r="B1242" s="423"/>
      <c r="C1242" s="311"/>
      <c r="D1242" s="313"/>
      <c r="E1242" s="313"/>
      <c r="F1242" s="313"/>
      <c r="G1242" s="313"/>
      <c r="H1242" s="313"/>
      <c r="I1242" s="313"/>
      <c r="J1242" s="313"/>
      <c r="K1242" s="313"/>
      <c r="L1242" s="313"/>
      <c r="M1242" s="313"/>
      <c r="N1242" s="313"/>
      <c r="O1242" s="313"/>
      <c r="P1242" s="313"/>
      <c r="Q1242" s="313"/>
      <c r="R1242" s="313"/>
      <c r="S1242" s="313"/>
      <c r="T1242" s="313"/>
      <c r="U1242" s="319"/>
      <c r="W1242" s="319"/>
    </row>
    <row r="1243" spans="1:26" x14ac:dyDescent="0.2">
      <c r="A1243" s="45"/>
      <c r="B1243" s="425" t="s">
        <v>805</v>
      </c>
      <c r="C1243" s="311"/>
      <c r="D1243" s="313"/>
      <c r="E1243" s="313"/>
      <c r="F1243" s="313"/>
      <c r="G1243" s="313"/>
      <c r="H1243" s="313"/>
      <c r="I1243" s="313"/>
      <c r="J1243" s="313"/>
      <c r="K1243" s="313"/>
      <c r="L1243" s="313"/>
      <c r="M1243" s="313"/>
      <c r="N1243" s="313"/>
      <c r="O1243" s="313"/>
      <c r="P1243" s="313"/>
      <c r="Q1243" s="313"/>
      <c r="R1243" s="313"/>
      <c r="S1243" s="313"/>
      <c r="T1243" s="313"/>
      <c r="U1243" s="319"/>
      <c r="W1243" s="319"/>
    </row>
    <row r="1244" spans="1:26" x14ac:dyDescent="0.2">
      <c r="A1244" s="45"/>
      <c r="B1244" s="45"/>
      <c r="C1244" s="311"/>
      <c r="D1244" s="313"/>
      <c r="E1244" s="313"/>
      <c r="F1244" s="313"/>
      <c r="G1244" s="313"/>
      <c r="H1244" s="313"/>
      <c r="I1244" s="313"/>
      <c r="J1244" s="313"/>
      <c r="K1244" s="313"/>
      <c r="L1244" s="313"/>
      <c r="M1244" s="313"/>
      <c r="N1244" s="313"/>
      <c r="O1244" s="313"/>
      <c r="P1244" s="313"/>
      <c r="Q1244" s="313"/>
      <c r="R1244" s="313"/>
      <c r="S1244" s="313"/>
      <c r="T1244" s="313"/>
      <c r="U1244" s="319"/>
      <c r="W1244" s="319"/>
    </row>
    <row r="1245" spans="1:26" x14ac:dyDescent="0.2">
      <c r="A1245" s="45"/>
      <c r="B1245" s="423" t="s">
        <v>806</v>
      </c>
      <c r="C1245" s="311"/>
      <c r="D1245" s="313"/>
      <c r="E1245" s="313"/>
      <c r="F1245" s="313"/>
      <c r="G1245" s="313"/>
      <c r="H1245" s="313"/>
      <c r="I1245" s="313"/>
      <c r="J1245" s="313"/>
      <c r="K1245" s="313"/>
      <c r="L1245" s="313"/>
      <c r="M1245" s="313"/>
      <c r="N1245" s="313"/>
      <c r="O1245" s="313"/>
      <c r="P1245" s="313"/>
      <c r="Q1245" s="313"/>
      <c r="R1245" s="313"/>
      <c r="S1245" s="313"/>
      <c r="T1245" s="313"/>
      <c r="W1245" s="319"/>
    </row>
    <row r="1246" spans="1:26" x14ac:dyDescent="0.2">
      <c r="A1246" s="312">
        <v>1</v>
      </c>
      <c r="B1246" s="423" t="s">
        <v>807</v>
      </c>
      <c r="C1246" s="424" t="s">
        <v>32</v>
      </c>
      <c r="D1246" s="313">
        <v>38987961</v>
      </c>
      <c r="E1246" s="313"/>
      <c r="F1246" s="313">
        <v>36502877</v>
      </c>
      <c r="G1246" s="313"/>
      <c r="H1246" s="313">
        <v>1995525</v>
      </c>
      <c r="I1246" s="313"/>
      <c r="J1246" s="313">
        <v>489558</v>
      </c>
      <c r="K1246" s="313">
        <v>257998</v>
      </c>
      <c r="L1246" s="313">
        <v>231561</v>
      </c>
      <c r="M1246" s="313"/>
      <c r="N1246" s="313"/>
      <c r="O1246" s="313">
        <v>38987961</v>
      </c>
      <c r="P1246" s="313"/>
      <c r="Q1246" s="313"/>
      <c r="R1246" s="313"/>
      <c r="S1246" s="313"/>
      <c r="T1246" s="313"/>
      <c r="W1246" s="319"/>
    </row>
    <row r="1247" spans="1:26" x14ac:dyDescent="0.2">
      <c r="A1247" s="312">
        <v>2</v>
      </c>
      <c r="B1247" s="423" t="s">
        <v>306</v>
      </c>
      <c r="C1247" s="427" t="s">
        <v>1919</v>
      </c>
      <c r="D1247" s="313">
        <v>3334056</v>
      </c>
      <c r="E1247" s="313"/>
      <c r="F1247" s="313">
        <v>3334056</v>
      </c>
      <c r="G1247" s="313"/>
      <c r="H1247" s="313">
        <v>0</v>
      </c>
      <c r="I1247" s="313"/>
      <c r="J1247" s="313">
        <v>0</v>
      </c>
      <c r="K1247" s="313">
        <v>0</v>
      </c>
      <c r="L1247" s="313">
        <v>0</v>
      </c>
      <c r="M1247" s="313"/>
      <c r="N1247" s="313"/>
      <c r="O1247" s="313">
        <v>3334056</v>
      </c>
      <c r="P1247" s="313"/>
      <c r="Q1247" s="313"/>
      <c r="R1247" s="313"/>
      <c r="S1247" s="313"/>
      <c r="T1247" s="313"/>
      <c r="U1247" s="319"/>
      <c r="V1247" s="319"/>
      <c r="W1247" s="319"/>
      <c r="X1247" s="319"/>
      <c r="Y1247" s="319"/>
    </row>
    <row r="1248" spans="1:26" x14ac:dyDescent="0.2">
      <c r="A1248" s="312">
        <v>3</v>
      </c>
      <c r="B1248" s="423" t="s">
        <v>307</v>
      </c>
      <c r="C1248" s="424" t="s">
        <v>873</v>
      </c>
      <c r="D1248" s="313">
        <v>0</v>
      </c>
      <c r="E1248" s="313"/>
      <c r="F1248" s="313">
        <v>0</v>
      </c>
      <c r="G1248" s="313"/>
      <c r="H1248" s="313">
        <v>0</v>
      </c>
      <c r="I1248" s="313"/>
      <c r="J1248" s="313">
        <v>0</v>
      </c>
      <c r="K1248" s="313">
        <v>0</v>
      </c>
      <c r="L1248" s="313">
        <v>0</v>
      </c>
      <c r="M1248" s="313"/>
      <c r="N1248" s="313"/>
      <c r="O1248" s="313"/>
      <c r="P1248" s="313"/>
      <c r="Q1248" s="313"/>
      <c r="R1248" s="313"/>
      <c r="S1248" s="313"/>
      <c r="T1248" s="313"/>
      <c r="U1248" s="319"/>
      <c r="V1248" s="319"/>
      <c r="W1248" s="319"/>
      <c r="X1248" s="319"/>
      <c r="Y1248" s="319"/>
    </row>
    <row r="1249" spans="1:26" x14ac:dyDescent="0.2">
      <c r="A1249" s="312">
        <v>4</v>
      </c>
      <c r="B1249" s="423" t="s">
        <v>2315</v>
      </c>
      <c r="C1249" s="424" t="s">
        <v>1427</v>
      </c>
      <c r="D1249" s="313">
        <v>0</v>
      </c>
      <c r="E1249" s="313"/>
      <c r="F1249" s="313">
        <v>0</v>
      </c>
      <c r="G1249" s="313"/>
      <c r="H1249" s="313">
        <v>0</v>
      </c>
      <c r="I1249" s="313"/>
      <c r="J1249" s="313">
        <v>0</v>
      </c>
      <c r="K1249" s="313">
        <v>0</v>
      </c>
      <c r="L1249" s="313">
        <v>0</v>
      </c>
      <c r="M1249" s="313"/>
      <c r="N1249" s="313"/>
      <c r="O1249" s="313"/>
      <c r="P1249" s="313"/>
      <c r="Q1249" s="313"/>
      <c r="R1249" s="313"/>
      <c r="S1249" s="313"/>
      <c r="T1249" s="313"/>
      <c r="U1249" s="319"/>
      <c r="V1249" s="319"/>
      <c r="W1249" s="319"/>
      <c r="X1249" s="319"/>
      <c r="Y1249" s="319"/>
    </row>
    <row r="1250" spans="1:26" x14ac:dyDescent="0.2">
      <c r="A1250" s="312">
        <v>5</v>
      </c>
      <c r="B1250" s="423" t="s">
        <v>2316</v>
      </c>
      <c r="C1250" s="424" t="s">
        <v>1427</v>
      </c>
      <c r="D1250" s="313">
        <v>10962201</v>
      </c>
      <c r="E1250" s="313"/>
      <c r="F1250" s="313">
        <v>10315123</v>
      </c>
      <c r="G1250" s="313"/>
      <c r="H1250" s="313">
        <v>521547</v>
      </c>
      <c r="I1250" s="313"/>
      <c r="J1250" s="313">
        <v>125531</v>
      </c>
      <c r="K1250" s="313">
        <v>65453</v>
      </c>
      <c r="L1250" s="313">
        <v>60078</v>
      </c>
      <c r="M1250" s="313"/>
      <c r="N1250" s="313"/>
      <c r="O1250" s="313">
        <v>10962201</v>
      </c>
      <c r="P1250" s="313"/>
      <c r="Q1250" s="313"/>
      <c r="R1250" s="313"/>
      <c r="S1250" s="313"/>
      <c r="T1250" s="313"/>
      <c r="U1250" s="319"/>
      <c r="W1250" s="319"/>
    </row>
    <row r="1251" spans="1:26" x14ac:dyDescent="0.2">
      <c r="A1251" s="312">
        <v>6</v>
      </c>
      <c r="B1251" s="423" t="s">
        <v>308</v>
      </c>
      <c r="C1251" s="424" t="s">
        <v>1348</v>
      </c>
      <c r="D1251" s="313">
        <v>0</v>
      </c>
      <c r="E1251" s="313"/>
      <c r="F1251" s="313">
        <v>0</v>
      </c>
      <c r="G1251" s="313"/>
      <c r="H1251" s="313">
        <v>0</v>
      </c>
      <c r="I1251" s="313"/>
      <c r="J1251" s="313">
        <v>0</v>
      </c>
      <c r="K1251" s="313">
        <v>0</v>
      </c>
      <c r="L1251" s="313">
        <v>0</v>
      </c>
      <c r="M1251" s="313"/>
      <c r="N1251" s="313"/>
      <c r="O1251" s="313"/>
      <c r="P1251" s="313"/>
      <c r="Q1251" s="313"/>
      <c r="R1251" s="313" t="s">
        <v>1838</v>
      </c>
      <c r="S1251" s="313"/>
      <c r="T1251" s="313"/>
      <c r="U1251" s="319"/>
      <c r="V1251" s="331"/>
      <c r="W1251" s="319"/>
    </row>
    <row r="1252" spans="1:26" x14ac:dyDescent="0.2">
      <c r="A1252" s="312">
        <v>7</v>
      </c>
      <c r="B1252" s="423" t="s">
        <v>309</v>
      </c>
      <c r="C1252" s="311"/>
      <c r="D1252" s="313">
        <v>53284218</v>
      </c>
      <c r="E1252" s="313"/>
      <c r="F1252" s="313">
        <v>50152056</v>
      </c>
      <c r="G1252" s="313"/>
      <c r="H1252" s="313">
        <v>2517072</v>
      </c>
      <c r="I1252" s="313"/>
      <c r="J1252" s="313">
        <v>615089</v>
      </c>
      <c r="K1252" s="313">
        <v>323451</v>
      </c>
      <c r="L1252" s="313">
        <v>291638</v>
      </c>
      <c r="M1252" s="313"/>
      <c r="N1252" s="313"/>
      <c r="O1252" s="313"/>
      <c r="P1252" s="313"/>
      <c r="Q1252" s="313"/>
      <c r="R1252" s="313">
        <v>53284218</v>
      </c>
      <c r="S1252" s="313">
        <v>0</v>
      </c>
      <c r="T1252" s="313"/>
      <c r="U1252" s="319"/>
      <c r="V1252" s="319"/>
      <c r="W1252" s="319"/>
      <c r="X1252" s="319"/>
      <c r="Y1252" s="319"/>
    </row>
    <row r="1253" spans="1:26" x14ac:dyDescent="0.2">
      <c r="A1253" s="45"/>
      <c r="B1253" s="45"/>
      <c r="C1253" s="311"/>
      <c r="D1253" s="313"/>
      <c r="E1253" s="313"/>
      <c r="F1253" s="313"/>
      <c r="G1253" s="313"/>
      <c r="H1253" s="313"/>
      <c r="I1253" s="313"/>
      <c r="J1253" s="313"/>
      <c r="K1253" s="313"/>
      <c r="L1253" s="313"/>
      <c r="M1253" s="313"/>
      <c r="N1253" s="313"/>
      <c r="O1253" s="313"/>
      <c r="P1253" s="313"/>
      <c r="Q1253" s="313"/>
      <c r="R1253" s="313"/>
      <c r="S1253" s="313"/>
      <c r="T1253" s="313"/>
      <c r="W1253" s="319"/>
    </row>
    <row r="1254" spans="1:26" x14ac:dyDescent="0.2">
      <c r="A1254" s="312">
        <v>8</v>
      </c>
      <c r="B1254" s="423" t="s">
        <v>310</v>
      </c>
      <c r="C1254" s="424" t="s">
        <v>1270</v>
      </c>
      <c r="D1254" s="313">
        <v>0</v>
      </c>
      <c r="E1254" s="313"/>
      <c r="F1254" s="313">
        <v>0</v>
      </c>
      <c r="G1254" s="313"/>
      <c r="H1254" s="313">
        <v>0</v>
      </c>
      <c r="I1254" s="313"/>
      <c r="J1254" s="313">
        <v>0</v>
      </c>
      <c r="K1254" s="313">
        <v>0</v>
      </c>
      <c r="L1254" s="313">
        <v>0</v>
      </c>
      <c r="M1254" s="313"/>
      <c r="N1254" s="313"/>
      <c r="O1254" s="313">
        <v>0</v>
      </c>
      <c r="P1254" s="313"/>
      <c r="Q1254" s="313" t="s">
        <v>311</v>
      </c>
      <c r="R1254" s="313"/>
      <c r="S1254" s="313" t="s">
        <v>2317</v>
      </c>
      <c r="T1254" s="313"/>
      <c r="W1254" s="319"/>
    </row>
    <row r="1255" spans="1:26" x14ac:dyDescent="0.2">
      <c r="A1255" s="312">
        <v>9</v>
      </c>
      <c r="B1255" s="426" t="s">
        <v>1777</v>
      </c>
      <c r="C1255" s="424" t="s">
        <v>1348</v>
      </c>
      <c r="D1255" s="313">
        <v>0</v>
      </c>
      <c r="E1255" s="313"/>
      <c r="F1255" s="313">
        <v>0</v>
      </c>
      <c r="G1255" s="313"/>
      <c r="H1255" s="313">
        <v>0</v>
      </c>
      <c r="I1255" s="313"/>
      <c r="J1255" s="313">
        <v>0</v>
      </c>
      <c r="K1255" s="313">
        <v>0</v>
      </c>
      <c r="L1255" s="313">
        <v>0</v>
      </c>
      <c r="M1255" s="313"/>
      <c r="N1255" s="313"/>
      <c r="O1255" s="313">
        <v>0</v>
      </c>
      <c r="P1255" s="313"/>
      <c r="Q1255" s="313" t="s">
        <v>2243</v>
      </c>
      <c r="R1255" s="313"/>
      <c r="S1255" s="313">
        <v>0</v>
      </c>
      <c r="T1255" s="313">
        <v>0</v>
      </c>
      <c r="U1255" s="319"/>
      <c r="V1255" s="319"/>
      <c r="W1255" s="319"/>
      <c r="X1255" s="319"/>
      <c r="Y1255" s="319"/>
    </row>
    <row r="1256" spans="1:26" x14ac:dyDescent="0.2">
      <c r="A1256" s="312">
        <v>10</v>
      </c>
      <c r="B1256" s="426" t="s">
        <v>1778</v>
      </c>
      <c r="C1256" s="424" t="s">
        <v>1427</v>
      </c>
      <c r="D1256" s="313">
        <v>194934</v>
      </c>
      <c r="E1256" s="313"/>
      <c r="F1256" s="313">
        <v>0</v>
      </c>
      <c r="G1256" s="313"/>
      <c r="H1256" s="313">
        <v>4637</v>
      </c>
      <c r="I1256" s="313"/>
      <c r="J1256" s="313">
        <v>0</v>
      </c>
      <c r="K1256" s="313">
        <v>0</v>
      </c>
      <c r="L1256" s="313">
        <v>0</v>
      </c>
      <c r="M1256" s="313"/>
      <c r="N1256" s="313"/>
      <c r="O1256" s="313">
        <v>97467</v>
      </c>
      <c r="P1256" s="313" t="s">
        <v>1779</v>
      </c>
      <c r="Q1256" s="313" t="s">
        <v>1780</v>
      </c>
      <c r="R1256" s="313"/>
      <c r="S1256" s="313" t="s">
        <v>2244</v>
      </c>
      <c r="T1256" s="313" t="s">
        <v>2318</v>
      </c>
      <c r="U1256" s="319" t="s">
        <v>1781</v>
      </c>
      <c r="V1256" s="354"/>
      <c r="W1256" s="319"/>
      <c r="X1256" s="326"/>
    </row>
    <row r="1257" spans="1:26" x14ac:dyDescent="0.2">
      <c r="A1257" s="45"/>
      <c r="B1257" s="45"/>
      <c r="C1257" s="45"/>
      <c r="D1257" s="313"/>
      <c r="E1257" s="313"/>
      <c r="F1257" s="313"/>
      <c r="G1257" s="313"/>
      <c r="H1257" s="313"/>
      <c r="I1257" s="313"/>
      <c r="J1257" s="313"/>
      <c r="K1257" s="313"/>
      <c r="L1257" s="313"/>
      <c r="M1257" s="313"/>
      <c r="N1257" s="313"/>
      <c r="O1257" s="313">
        <v>190297</v>
      </c>
      <c r="P1257" s="313" t="s">
        <v>2069</v>
      </c>
      <c r="Q1257" s="313"/>
      <c r="R1257" s="313"/>
      <c r="S1257" s="313">
        <v>262502</v>
      </c>
      <c r="T1257" s="313">
        <v>194934</v>
      </c>
      <c r="U1257" s="495">
        <v>97467</v>
      </c>
      <c r="V1257" s="319"/>
      <c r="X1257" s="354"/>
      <c r="Y1257" s="319"/>
      <c r="Z1257" s="319"/>
    </row>
    <row r="1258" spans="1:26" x14ac:dyDescent="0.2">
      <c r="A1258" s="45"/>
      <c r="B1258" s="45"/>
      <c r="C1258" s="45"/>
      <c r="D1258" s="313"/>
      <c r="E1258" s="313"/>
      <c r="F1258" s="313"/>
      <c r="G1258" s="313"/>
      <c r="H1258" s="313"/>
      <c r="I1258" s="313"/>
      <c r="J1258" s="313"/>
      <c r="K1258" s="313"/>
      <c r="L1258" s="313"/>
      <c r="M1258" s="313"/>
      <c r="N1258" s="313"/>
      <c r="O1258" s="313"/>
      <c r="P1258" s="313"/>
      <c r="Q1258" s="313"/>
      <c r="R1258" s="313"/>
      <c r="S1258" s="313"/>
      <c r="T1258" s="313">
        <v>194934</v>
      </c>
      <c r="U1258" s="319"/>
      <c r="V1258" s="354"/>
      <c r="X1258" s="326"/>
    </row>
    <row r="1259" spans="1:26" x14ac:dyDescent="0.2">
      <c r="A1259" s="45"/>
      <c r="B1259" s="423" t="s">
        <v>313</v>
      </c>
      <c r="C1259" s="311"/>
      <c r="D1259" s="313"/>
      <c r="E1259" s="313"/>
      <c r="F1259" s="313"/>
      <c r="G1259" s="313"/>
      <c r="H1259" s="313"/>
      <c r="I1259" s="313"/>
      <c r="J1259" s="313"/>
      <c r="K1259" s="313"/>
      <c r="L1259" s="313"/>
      <c r="M1259" s="313"/>
      <c r="N1259" s="313"/>
      <c r="O1259" s="313"/>
      <c r="P1259" s="313"/>
      <c r="Q1259" s="313"/>
      <c r="R1259" s="313"/>
      <c r="S1259" s="313"/>
      <c r="T1259" s="313"/>
      <c r="U1259" s="319"/>
      <c r="V1259" s="354"/>
    </row>
    <row r="1260" spans="1:26" x14ac:dyDescent="0.2">
      <c r="A1260" s="312">
        <v>11</v>
      </c>
      <c r="B1260" s="423" t="s">
        <v>589</v>
      </c>
      <c r="C1260" s="424" t="s">
        <v>913</v>
      </c>
      <c r="D1260" s="313">
        <v>0</v>
      </c>
      <c r="E1260" s="313"/>
      <c r="F1260" s="313">
        <v>0</v>
      </c>
      <c r="G1260" s="313"/>
      <c r="H1260" s="313">
        <v>0</v>
      </c>
      <c r="I1260" s="313"/>
      <c r="J1260" s="313">
        <v>0</v>
      </c>
      <c r="K1260" s="313">
        <v>0</v>
      </c>
      <c r="L1260" s="313">
        <v>0</v>
      </c>
      <c r="M1260" s="313"/>
      <c r="N1260" s="313"/>
      <c r="O1260" s="313">
        <v>0</v>
      </c>
      <c r="P1260" s="313"/>
      <c r="Q1260" s="313" t="s">
        <v>312</v>
      </c>
      <c r="R1260" s="313"/>
      <c r="S1260" s="313" t="s">
        <v>314</v>
      </c>
      <c r="T1260" s="313"/>
      <c r="W1260" s="319"/>
    </row>
    <row r="1261" spans="1:26" x14ac:dyDescent="0.2">
      <c r="A1261" s="312">
        <v>12</v>
      </c>
      <c r="B1261" s="423" t="s">
        <v>590</v>
      </c>
      <c r="C1261" s="424" t="s">
        <v>2136</v>
      </c>
      <c r="D1261" s="313">
        <v>0</v>
      </c>
      <c r="E1261" s="313"/>
      <c r="F1261" s="313">
        <v>0</v>
      </c>
      <c r="G1261" s="313"/>
      <c r="H1261" s="313">
        <v>0</v>
      </c>
      <c r="I1261" s="313"/>
      <c r="J1261" s="313">
        <v>0</v>
      </c>
      <c r="K1261" s="313">
        <v>0</v>
      </c>
      <c r="L1261" s="313">
        <v>0</v>
      </c>
      <c r="M1261" s="313"/>
      <c r="N1261" s="313"/>
      <c r="O1261" s="313">
        <v>0</v>
      </c>
      <c r="P1261" s="313"/>
      <c r="Q1261" s="313"/>
      <c r="R1261" s="313"/>
      <c r="S1261" s="313"/>
      <c r="T1261" s="313"/>
      <c r="U1261" s="319"/>
      <c r="V1261" s="319"/>
      <c r="W1261" s="319"/>
      <c r="Y1261" s="319"/>
    </row>
    <row r="1262" spans="1:26" x14ac:dyDescent="0.2">
      <c r="A1262" s="312">
        <v>13</v>
      </c>
      <c r="B1262" s="423" t="s">
        <v>591</v>
      </c>
      <c r="C1262" s="424" t="s">
        <v>1345</v>
      </c>
      <c r="D1262" s="313">
        <v>0</v>
      </c>
      <c r="E1262" s="313"/>
      <c r="F1262" s="313">
        <v>0</v>
      </c>
      <c r="G1262" s="313"/>
      <c r="H1262" s="313">
        <v>0</v>
      </c>
      <c r="I1262" s="313"/>
      <c r="J1262" s="313">
        <v>0</v>
      </c>
      <c r="K1262" s="313">
        <v>0</v>
      </c>
      <c r="L1262" s="313">
        <v>0</v>
      </c>
      <c r="M1262" s="313"/>
      <c r="N1262" s="313"/>
      <c r="O1262" s="313">
        <v>0</v>
      </c>
      <c r="P1262" s="313"/>
      <c r="Q1262" s="313"/>
      <c r="R1262" s="313"/>
      <c r="S1262" s="313"/>
      <c r="T1262" s="313"/>
      <c r="U1262" s="319"/>
      <c r="V1262" s="319"/>
      <c r="W1262" s="319"/>
      <c r="X1262" s="319"/>
      <c r="Y1262" s="319"/>
    </row>
    <row r="1263" spans="1:26" x14ac:dyDescent="0.2">
      <c r="A1263" s="312">
        <v>14</v>
      </c>
      <c r="B1263" s="423" t="s">
        <v>315</v>
      </c>
      <c r="C1263" s="424" t="s">
        <v>1375</v>
      </c>
      <c r="D1263" s="313">
        <v>0</v>
      </c>
      <c r="E1263" s="313"/>
      <c r="F1263" s="313">
        <v>0</v>
      </c>
      <c r="G1263" s="313"/>
      <c r="H1263" s="313">
        <v>0</v>
      </c>
      <c r="I1263" s="313"/>
      <c r="J1263" s="313">
        <v>0</v>
      </c>
      <c r="K1263" s="313">
        <v>0</v>
      </c>
      <c r="L1263" s="313">
        <v>0</v>
      </c>
      <c r="M1263" s="313"/>
      <c r="N1263" s="313"/>
      <c r="O1263" s="313">
        <v>0</v>
      </c>
      <c r="P1263" s="313"/>
      <c r="Q1263" s="313"/>
      <c r="R1263" s="313"/>
      <c r="S1263" s="313"/>
      <c r="T1263" s="313"/>
      <c r="U1263" s="319"/>
      <c r="V1263" s="319"/>
      <c r="W1263" s="319"/>
      <c r="X1263" s="319"/>
      <c r="Y1263" s="319"/>
    </row>
    <row r="1264" spans="1:26" x14ac:dyDescent="0.2">
      <c r="A1264" s="312">
        <v>15</v>
      </c>
      <c r="B1264" s="423" t="s">
        <v>593</v>
      </c>
      <c r="C1264" s="424" t="s">
        <v>939</v>
      </c>
      <c r="D1264" s="313">
        <v>0</v>
      </c>
      <c r="E1264" s="313"/>
      <c r="F1264" s="313">
        <v>0</v>
      </c>
      <c r="G1264" s="313"/>
      <c r="H1264" s="313">
        <v>0</v>
      </c>
      <c r="I1264" s="313"/>
      <c r="J1264" s="313">
        <v>0</v>
      </c>
      <c r="K1264" s="313">
        <v>0</v>
      </c>
      <c r="L1264" s="313">
        <v>0</v>
      </c>
      <c r="M1264" s="313"/>
      <c r="N1264" s="313"/>
      <c r="O1264" s="313">
        <v>0</v>
      </c>
      <c r="P1264" s="313"/>
      <c r="Q1264" s="313"/>
      <c r="R1264" s="313"/>
      <c r="S1264" s="313"/>
      <c r="T1264" s="313"/>
      <c r="U1264" s="319"/>
      <c r="V1264" s="319"/>
      <c r="W1264" s="319"/>
      <c r="X1264" s="319"/>
      <c r="Y1264" s="319"/>
    </row>
    <row r="1265" spans="1:25" x14ac:dyDescent="0.2">
      <c r="A1265" s="312">
        <v>16</v>
      </c>
      <c r="B1265" s="423" t="s">
        <v>594</v>
      </c>
      <c r="C1265" s="424" t="s">
        <v>1447</v>
      </c>
      <c r="D1265" s="313">
        <v>0</v>
      </c>
      <c r="E1265" s="313"/>
      <c r="F1265" s="313">
        <v>0</v>
      </c>
      <c r="G1265" s="313"/>
      <c r="H1265" s="313">
        <v>0</v>
      </c>
      <c r="I1265" s="313"/>
      <c r="J1265" s="313">
        <v>0</v>
      </c>
      <c r="K1265" s="313">
        <v>0</v>
      </c>
      <c r="L1265" s="313">
        <v>0</v>
      </c>
      <c r="M1265" s="313"/>
      <c r="N1265" s="313"/>
      <c r="O1265" s="313">
        <v>0</v>
      </c>
      <c r="P1265" s="313"/>
      <c r="Q1265" s="313"/>
      <c r="R1265" s="313"/>
      <c r="S1265" s="313"/>
      <c r="T1265" s="313"/>
      <c r="U1265" s="319"/>
      <c r="V1265" s="319"/>
      <c r="W1265" s="319"/>
      <c r="X1265" s="319"/>
      <c r="Y1265" s="319"/>
    </row>
    <row r="1266" spans="1:25" x14ac:dyDescent="0.2">
      <c r="A1266" s="312">
        <v>17</v>
      </c>
      <c r="B1266" s="423" t="s">
        <v>316</v>
      </c>
      <c r="C1266" s="311"/>
      <c r="D1266" s="313">
        <v>0</v>
      </c>
      <c r="E1266" s="313"/>
      <c r="F1266" s="313">
        <v>0</v>
      </c>
      <c r="G1266" s="313"/>
      <c r="H1266" s="313">
        <v>0</v>
      </c>
      <c r="I1266" s="313"/>
      <c r="J1266" s="313">
        <v>0</v>
      </c>
      <c r="K1266" s="313">
        <v>0</v>
      </c>
      <c r="L1266" s="313">
        <v>0</v>
      </c>
      <c r="M1266" s="313"/>
      <c r="N1266" s="313"/>
      <c r="O1266" s="313"/>
      <c r="P1266" s="313"/>
      <c r="Q1266" s="313"/>
      <c r="R1266" s="313"/>
      <c r="S1266" s="313"/>
      <c r="T1266" s="313"/>
      <c r="U1266" s="319"/>
      <c r="V1266" s="319"/>
      <c r="W1266" s="319"/>
      <c r="X1266" s="319"/>
      <c r="Y1266" s="319"/>
    </row>
    <row r="1267" spans="1:25" x14ac:dyDescent="0.2">
      <c r="A1267" s="45"/>
      <c r="B1267" s="45"/>
      <c r="C1267" s="311"/>
      <c r="D1267" s="313"/>
      <c r="E1267" s="313"/>
      <c r="F1267" s="313"/>
      <c r="G1267" s="313"/>
      <c r="H1267" s="313"/>
      <c r="I1267" s="313"/>
      <c r="J1267" s="313"/>
      <c r="K1267" s="313"/>
      <c r="L1267" s="313"/>
      <c r="M1267" s="313"/>
      <c r="N1267" s="313"/>
      <c r="O1267" s="313"/>
      <c r="P1267" s="313"/>
      <c r="Q1267" s="313"/>
      <c r="R1267" s="313"/>
      <c r="S1267" s="313"/>
      <c r="T1267" s="313"/>
      <c r="W1267" s="319"/>
    </row>
    <row r="1268" spans="1:25" x14ac:dyDescent="0.2">
      <c r="A1268" s="312">
        <v>18</v>
      </c>
      <c r="B1268" s="423" t="s">
        <v>317</v>
      </c>
      <c r="C1268" s="311"/>
      <c r="D1268" s="313">
        <v>1420093385</v>
      </c>
      <c r="E1268" s="313"/>
      <c r="F1268" s="313">
        <v>1332774898</v>
      </c>
      <c r="G1268" s="313"/>
      <c r="H1268" s="313">
        <v>65705940</v>
      </c>
      <c r="I1268" s="313"/>
      <c r="J1268" s="313">
        <v>21612548</v>
      </c>
      <c r="K1268" s="313">
        <v>11122391</v>
      </c>
      <c r="L1268" s="313">
        <v>10490157</v>
      </c>
      <c r="M1268" s="313"/>
      <c r="N1268" s="313"/>
      <c r="O1268" s="313"/>
      <c r="P1268" s="313"/>
      <c r="Q1268" s="313"/>
      <c r="R1268" s="313"/>
      <c r="S1268" s="313"/>
      <c r="T1268" s="313"/>
      <c r="W1268" s="319"/>
    </row>
    <row r="1269" spans="1:25" x14ac:dyDescent="0.2">
      <c r="A1269" s="45"/>
      <c r="B1269" s="45"/>
      <c r="C1269" s="45"/>
      <c r="D1269" s="313"/>
      <c r="E1269" s="313"/>
      <c r="F1269" s="313"/>
      <c r="G1269" s="313"/>
      <c r="H1269" s="313"/>
      <c r="I1269" s="313"/>
      <c r="J1269" s="313"/>
      <c r="K1269" s="313"/>
      <c r="L1269" s="313"/>
      <c r="M1269" s="313"/>
      <c r="N1269" s="313"/>
      <c r="O1269" s="313"/>
      <c r="P1269" s="313"/>
      <c r="Q1269" s="313"/>
      <c r="R1269" s="313"/>
      <c r="S1269" s="313"/>
      <c r="T1269" s="313"/>
      <c r="W1269" s="319"/>
    </row>
    <row r="1270" spans="1:25" x14ac:dyDescent="0.2">
      <c r="A1270" s="45"/>
      <c r="B1270" s="45"/>
      <c r="C1270" s="311"/>
      <c r="D1270" s="313"/>
      <c r="E1270" s="313"/>
      <c r="F1270" s="313"/>
      <c r="G1270" s="313"/>
      <c r="H1270" s="313"/>
      <c r="I1270" s="313"/>
      <c r="J1270" s="313"/>
      <c r="K1270" s="313"/>
      <c r="L1270" s="313"/>
      <c r="M1270" s="313"/>
      <c r="N1270" s="313"/>
      <c r="O1270" s="313"/>
      <c r="P1270" s="313"/>
      <c r="Q1270" s="313"/>
      <c r="R1270" s="313"/>
      <c r="S1270" s="313"/>
      <c r="T1270" s="313"/>
      <c r="W1270" s="319"/>
    </row>
    <row r="1271" spans="1:25" x14ac:dyDescent="0.2">
      <c r="A1271" s="45"/>
      <c r="B1271" s="45"/>
      <c r="C1271" s="311"/>
      <c r="D1271" s="313"/>
      <c r="E1271" s="313"/>
      <c r="F1271" s="313"/>
      <c r="G1271" s="313"/>
      <c r="H1271" s="313"/>
      <c r="I1271" s="313"/>
      <c r="J1271" s="313"/>
      <c r="K1271" s="313"/>
      <c r="L1271" s="313"/>
      <c r="M1271" s="313"/>
      <c r="N1271" s="313"/>
      <c r="O1271" s="313"/>
      <c r="P1271" s="313"/>
      <c r="Q1271" s="313"/>
      <c r="R1271" s="313"/>
      <c r="S1271" s="313"/>
      <c r="T1271" s="313"/>
      <c r="U1271" s="319"/>
      <c r="V1271" s="319"/>
      <c r="W1271" s="319"/>
      <c r="X1271" s="319"/>
      <c r="Y1271" s="319"/>
    </row>
    <row r="1272" spans="1:25" x14ac:dyDescent="0.2">
      <c r="A1272" s="45"/>
      <c r="B1272" s="45"/>
      <c r="C1272" s="311"/>
      <c r="D1272" s="313"/>
      <c r="E1272" s="313"/>
      <c r="F1272" s="313"/>
      <c r="G1272" s="313"/>
      <c r="H1272" s="313"/>
      <c r="I1272" s="313"/>
      <c r="J1272" s="313"/>
      <c r="K1272" s="313"/>
      <c r="L1272" s="313"/>
      <c r="M1272" s="313"/>
      <c r="N1272" s="313"/>
      <c r="O1272" s="313"/>
      <c r="P1272" s="313"/>
      <c r="Q1272" s="313"/>
      <c r="R1272" s="313"/>
      <c r="S1272" s="313"/>
      <c r="T1272" s="313"/>
      <c r="W1272" s="319"/>
    </row>
    <row r="1273" spans="1:25" x14ac:dyDescent="0.2">
      <c r="A1273" s="45"/>
      <c r="B1273" s="45"/>
      <c r="C1273" s="311"/>
      <c r="D1273" s="313"/>
      <c r="E1273" s="313"/>
      <c r="F1273" s="313"/>
      <c r="G1273" s="313"/>
      <c r="H1273" s="313"/>
      <c r="I1273" s="313"/>
      <c r="J1273" s="313"/>
      <c r="K1273" s="313"/>
      <c r="L1273" s="313"/>
      <c r="M1273" s="313"/>
      <c r="N1273" s="313"/>
      <c r="O1273" s="313"/>
      <c r="P1273" s="313"/>
      <c r="Q1273" s="313"/>
      <c r="R1273" s="313"/>
      <c r="S1273" s="313"/>
      <c r="T1273" s="313"/>
      <c r="U1273" s="319"/>
      <c r="V1273" s="319"/>
      <c r="W1273" s="319"/>
      <c r="X1273" s="319"/>
      <c r="Y1273" s="319"/>
    </row>
    <row r="1274" spans="1:25" x14ac:dyDescent="0.2">
      <c r="A1274" s="45"/>
      <c r="B1274" s="45"/>
      <c r="C1274" s="311"/>
      <c r="D1274" s="313"/>
      <c r="E1274" s="313"/>
      <c r="F1274" s="313"/>
      <c r="G1274" s="313"/>
      <c r="H1274" s="313"/>
      <c r="I1274" s="313"/>
      <c r="J1274" s="313"/>
      <c r="K1274" s="313"/>
      <c r="L1274" s="313"/>
      <c r="M1274" s="313"/>
      <c r="N1274" s="313"/>
      <c r="O1274" s="313"/>
      <c r="P1274" s="313"/>
      <c r="Q1274" s="313"/>
      <c r="R1274" s="313"/>
      <c r="S1274" s="313"/>
      <c r="T1274" s="313"/>
      <c r="W1274" s="319"/>
    </row>
    <row r="1275" spans="1:25" x14ac:dyDescent="0.2">
      <c r="A1275" s="45"/>
      <c r="B1275" s="45"/>
      <c r="C1275" s="311"/>
      <c r="D1275" s="313"/>
      <c r="E1275" s="313"/>
      <c r="F1275" s="313"/>
      <c r="G1275" s="313"/>
      <c r="H1275" s="313"/>
      <c r="I1275" s="313"/>
      <c r="J1275" s="313"/>
      <c r="K1275" s="313"/>
      <c r="L1275" s="313"/>
      <c r="M1275" s="313"/>
      <c r="N1275" s="313"/>
      <c r="O1275" s="313"/>
      <c r="P1275" s="313"/>
      <c r="Q1275" s="313"/>
      <c r="R1275" s="313"/>
      <c r="S1275" s="313"/>
      <c r="T1275" s="313"/>
      <c r="U1275" s="319"/>
      <c r="V1275" s="319"/>
      <c r="W1275" s="319"/>
      <c r="X1275" s="319"/>
      <c r="Y1275" s="319"/>
    </row>
    <row r="1276" spans="1:25" x14ac:dyDescent="0.2">
      <c r="A1276" s="45"/>
      <c r="B1276" s="45"/>
      <c r="C1276" s="45"/>
      <c r="D1276" s="313"/>
      <c r="E1276" s="313"/>
      <c r="F1276" s="313"/>
      <c r="G1276" s="313"/>
      <c r="H1276" s="313"/>
      <c r="I1276" s="313"/>
      <c r="J1276" s="313"/>
      <c r="K1276" s="313"/>
      <c r="L1276" s="313"/>
      <c r="M1276" s="313"/>
      <c r="N1276" s="313"/>
      <c r="O1276" s="313"/>
      <c r="P1276" s="313"/>
      <c r="Q1276" s="313"/>
      <c r="R1276" s="313"/>
      <c r="S1276" s="313"/>
      <c r="T1276" s="313"/>
      <c r="W1276" s="319"/>
    </row>
    <row r="1277" spans="1:25" x14ac:dyDescent="0.2">
      <c r="A1277" s="45"/>
      <c r="B1277" s="425" t="s">
        <v>318</v>
      </c>
      <c r="C1277" s="311"/>
      <c r="D1277" s="313"/>
      <c r="E1277" s="313"/>
      <c r="F1277" s="313"/>
      <c r="G1277" s="313"/>
      <c r="H1277" s="313"/>
      <c r="I1277" s="313"/>
      <c r="J1277" s="313"/>
      <c r="K1277" s="313"/>
      <c r="L1277" s="313"/>
      <c r="M1277" s="313"/>
      <c r="N1277" s="313"/>
      <c r="O1277" s="313"/>
      <c r="P1277" s="313"/>
      <c r="Q1277" s="313"/>
      <c r="R1277" s="313"/>
      <c r="S1277" s="313"/>
      <c r="T1277" s="313"/>
      <c r="W1277" s="319"/>
    </row>
    <row r="1278" spans="1:25" x14ac:dyDescent="0.2">
      <c r="A1278" s="45"/>
      <c r="B1278" s="45"/>
      <c r="C1278" s="311"/>
      <c r="D1278" s="313"/>
      <c r="E1278" s="313"/>
      <c r="F1278" s="313"/>
      <c r="G1278" s="313"/>
      <c r="H1278" s="313"/>
      <c r="I1278" s="313"/>
      <c r="J1278" s="313"/>
      <c r="K1278" s="313"/>
      <c r="L1278" s="313"/>
      <c r="M1278" s="313"/>
      <c r="N1278" s="313"/>
      <c r="O1278" s="313"/>
      <c r="P1278" s="313"/>
      <c r="Q1278" s="313"/>
      <c r="R1278" s="313"/>
      <c r="S1278" s="313"/>
      <c r="T1278" s="313"/>
      <c r="W1278" s="319"/>
    </row>
    <row r="1279" spans="1:25" x14ac:dyDescent="0.2">
      <c r="A1279" s="312">
        <v>1</v>
      </c>
      <c r="B1279" s="423" t="s">
        <v>319</v>
      </c>
      <c r="C1279" s="424"/>
      <c r="D1279" s="313">
        <v>326939785</v>
      </c>
      <c r="E1279" s="313"/>
      <c r="F1279" s="313">
        <v>311208159</v>
      </c>
      <c r="G1279" s="313"/>
      <c r="H1279" s="313">
        <v>12871289</v>
      </c>
      <c r="I1279" s="313"/>
      <c r="J1279" s="313">
        <v>2860337</v>
      </c>
      <c r="K1279" s="313">
        <v>1477384</v>
      </c>
      <c r="L1279" s="313">
        <v>1382954</v>
      </c>
      <c r="M1279" s="313"/>
      <c r="N1279" s="313"/>
      <c r="O1279" s="313">
        <v>193485066</v>
      </c>
      <c r="P1279" s="313" t="s">
        <v>2319</v>
      </c>
      <c r="Q1279" s="313"/>
      <c r="R1279" s="313">
        <v>-133454718.95</v>
      </c>
      <c r="S1279" s="313" t="s">
        <v>2539</v>
      </c>
      <c r="T1279" s="313"/>
      <c r="W1279" s="319"/>
    </row>
    <row r="1280" spans="1:25" x14ac:dyDescent="0.2">
      <c r="A1280" s="45"/>
      <c r="B1280" s="45"/>
      <c r="C1280" s="311"/>
      <c r="D1280" s="313"/>
      <c r="E1280" s="313"/>
      <c r="F1280" s="313"/>
      <c r="G1280" s="313"/>
      <c r="H1280" s="313"/>
      <c r="I1280" s="313"/>
      <c r="J1280" s="313"/>
      <c r="K1280" s="313"/>
      <c r="L1280" s="313"/>
      <c r="M1280" s="313"/>
      <c r="N1280" s="313"/>
      <c r="O1280" s="313"/>
      <c r="P1280" s="313"/>
      <c r="Q1280" s="313"/>
      <c r="R1280" s="313"/>
      <c r="S1280" s="313"/>
      <c r="T1280" s="313"/>
      <c r="W1280" s="340"/>
    </row>
    <row r="1281" spans="1:27" x14ac:dyDescent="0.2">
      <c r="A1281" s="45"/>
      <c r="B1281" s="423" t="s">
        <v>320</v>
      </c>
      <c r="C1281" s="311"/>
      <c r="D1281" s="313"/>
      <c r="E1281" s="313"/>
      <c r="F1281" s="313"/>
      <c r="G1281" s="313"/>
      <c r="H1281" s="313"/>
      <c r="I1281" s="313"/>
      <c r="J1281" s="313"/>
      <c r="K1281" s="313"/>
      <c r="L1281" s="313"/>
      <c r="M1281" s="313"/>
      <c r="N1281" s="313"/>
      <c r="O1281" s="313"/>
      <c r="P1281" s="313"/>
      <c r="Q1281" s="313"/>
      <c r="R1281" s="313"/>
      <c r="S1281" s="313"/>
      <c r="T1281" s="313"/>
      <c r="V1281" s="319"/>
      <c r="W1281" s="319"/>
    </row>
    <row r="1282" spans="1:27" x14ac:dyDescent="0.2">
      <c r="A1282" s="45"/>
      <c r="B1282" s="423" t="s">
        <v>321</v>
      </c>
      <c r="C1282" s="311"/>
      <c r="D1282" s="313"/>
      <c r="E1282" s="313"/>
      <c r="F1282" s="313"/>
      <c r="G1282" s="313"/>
      <c r="H1282" s="313"/>
      <c r="I1282" s="313"/>
      <c r="J1282" s="313"/>
      <c r="K1282" s="313"/>
      <c r="L1282" s="313"/>
      <c r="M1282" s="313"/>
      <c r="N1282" s="313"/>
      <c r="O1282" s="313"/>
      <c r="P1282" s="313"/>
      <c r="Q1282" s="313"/>
      <c r="R1282" s="313"/>
      <c r="S1282" s="313"/>
      <c r="T1282" s="313"/>
      <c r="W1282" s="319"/>
    </row>
    <row r="1283" spans="1:27" x14ac:dyDescent="0.2">
      <c r="A1283" s="312">
        <v>2</v>
      </c>
      <c r="B1283" s="45"/>
      <c r="C1283" s="45"/>
      <c r="D1283" s="313"/>
      <c r="E1283" s="313"/>
      <c r="F1283" s="313"/>
      <c r="G1283" s="313"/>
      <c r="H1283" s="313"/>
      <c r="I1283" s="313"/>
      <c r="J1283" s="313"/>
      <c r="K1283" s="313"/>
      <c r="L1283" s="313"/>
      <c r="M1283" s="313"/>
      <c r="N1283" s="313"/>
      <c r="O1283" s="313"/>
      <c r="P1283" s="313"/>
      <c r="Q1283" s="313"/>
      <c r="R1283" s="313"/>
      <c r="S1283" s="313"/>
      <c r="T1283" s="313"/>
      <c r="W1283" s="319"/>
    </row>
    <row r="1284" spans="1:27" x14ac:dyDescent="0.2">
      <c r="A1284" s="312">
        <v>3</v>
      </c>
      <c r="B1284" s="45"/>
      <c r="C1284" s="45"/>
      <c r="D1284" s="313"/>
      <c r="E1284" s="313"/>
      <c r="F1284" s="313"/>
      <c r="G1284" s="313"/>
      <c r="H1284" s="313"/>
      <c r="I1284" s="313"/>
      <c r="J1284" s="313"/>
      <c r="K1284" s="313"/>
      <c r="L1284" s="313"/>
      <c r="M1284" s="313"/>
      <c r="N1284" s="313"/>
      <c r="O1284" s="313"/>
      <c r="P1284" s="313"/>
      <c r="Q1284" s="313"/>
      <c r="R1284" s="313"/>
      <c r="S1284" s="313"/>
      <c r="T1284" s="313"/>
      <c r="W1284" s="319"/>
    </row>
    <row r="1285" spans="1:27" x14ac:dyDescent="0.2">
      <c r="A1285" s="312">
        <v>4</v>
      </c>
      <c r="B1285" s="423" t="s">
        <v>322</v>
      </c>
      <c r="C1285" s="311"/>
      <c r="D1285" s="313">
        <v>0</v>
      </c>
      <c r="E1285" s="313"/>
      <c r="F1285" s="313">
        <v>0</v>
      </c>
      <c r="G1285" s="313"/>
      <c r="H1285" s="313">
        <v>0</v>
      </c>
      <c r="I1285" s="313"/>
      <c r="J1285" s="313">
        <v>0</v>
      </c>
      <c r="K1285" s="313">
        <v>0</v>
      </c>
      <c r="L1285" s="313">
        <v>0</v>
      </c>
      <c r="M1285" s="313"/>
      <c r="N1285" s="313"/>
      <c r="O1285" s="313"/>
      <c r="P1285" s="313"/>
      <c r="Q1285" s="313"/>
      <c r="R1285" s="313"/>
      <c r="S1285" s="313"/>
      <c r="T1285" s="313"/>
      <c r="W1285" s="319"/>
    </row>
    <row r="1286" spans="1:27" x14ac:dyDescent="0.2">
      <c r="A1286" s="45"/>
      <c r="B1286" s="45"/>
      <c r="C1286" s="311"/>
      <c r="D1286" s="313"/>
      <c r="E1286" s="313"/>
      <c r="F1286" s="313"/>
      <c r="G1286" s="313"/>
      <c r="H1286" s="313"/>
      <c r="I1286" s="313"/>
      <c r="J1286" s="313"/>
      <c r="K1286" s="313"/>
      <c r="L1286" s="313"/>
      <c r="M1286" s="313"/>
      <c r="N1286" s="313"/>
      <c r="O1286" s="313"/>
      <c r="P1286" s="313"/>
      <c r="Q1286" s="313"/>
      <c r="R1286" s="313"/>
      <c r="S1286" s="313"/>
      <c r="T1286" s="313"/>
      <c r="W1286" s="319"/>
    </row>
    <row r="1287" spans="1:27" x14ac:dyDescent="0.2">
      <c r="A1287" s="45"/>
      <c r="B1287" s="423" t="s">
        <v>323</v>
      </c>
      <c r="C1287" s="311"/>
      <c r="D1287" s="313"/>
      <c r="E1287" s="313"/>
      <c r="F1287" s="313"/>
      <c r="G1287" s="313"/>
      <c r="H1287" s="313"/>
      <c r="I1287" s="313"/>
      <c r="J1287" s="313"/>
      <c r="K1287" s="313"/>
      <c r="L1287" s="313"/>
      <c r="M1287" s="313"/>
      <c r="N1287" s="313"/>
      <c r="O1287" s="313"/>
      <c r="P1287" s="313"/>
      <c r="Q1287" s="313"/>
      <c r="R1287" s="313"/>
      <c r="S1287" s="313"/>
      <c r="T1287" s="313"/>
      <c r="W1287" s="319"/>
    </row>
    <row r="1288" spans="1:27" x14ac:dyDescent="0.2">
      <c r="A1288" s="45"/>
      <c r="B1288" s="423" t="s">
        <v>324</v>
      </c>
      <c r="C1288" s="311"/>
      <c r="D1288" s="313"/>
      <c r="E1288" s="313"/>
      <c r="F1288" s="313"/>
      <c r="G1288" s="313"/>
      <c r="H1288" s="313"/>
      <c r="I1288" s="313"/>
      <c r="J1288" s="313"/>
      <c r="K1288" s="313"/>
      <c r="L1288" s="313"/>
      <c r="M1288" s="313"/>
      <c r="N1288" s="313"/>
      <c r="O1288" s="313"/>
      <c r="P1288" s="313"/>
      <c r="Q1288" s="313"/>
      <c r="R1288" s="313"/>
      <c r="S1288" s="313"/>
      <c r="T1288" s="313"/>
      <c r="W1288" s="319"/>
    </row>
    <row r="1289" spans="1:27" x14ac:dyDescent="0.2">
      <c r="A1289" s="312">
        <v>5</v>
      </c>
      <c r="B1289" s="423" t="s">
        <v>325</v>
      </c>
      <c r="C1289" s="424" t="s">
        <v>34</v>
      </c>
      <c r="D1289" s="313">
        <v>117281038</v>
      </c>
      <c r="E1289" s="313"/>
      <c r="F1289" s="313">
        <v>109813060</v>
      </c>
      <c r="G1289" s="313"/>
      <c r="H1289" s="313">
        <v>6001016</v>
      </c>
      <c r="I1289" s="313"/>
      <c r="J1289" s="313">
        <v>1466962</v>
      </c>
      <c r="K1289" s="313">
        <v>773711</v>
      </c>
      <c r="L1289" s="313">
        <v>693250</v>
      </c>
      <c r="M1289" s="313"/>
      <c r="N1289" s="313"/>
      <c r="O1289" s="313">
        <v>117281038</v>
      </c>
      <c r="P1289" s="313"/>
      <c r="Q1289" s="313" t="s">
        <v>312</v>
      </c>
      <c r="R1289" s="313"/>
      <c r="S1289" s="313"/>
      <c r="T1289" s="313" t="s">
        <v>2156</v>
      </c>
      <c r="W1289" s="319"/>
      <c r="Z1289" s="319"/>
      <c r="AA1289" s="319"/>
    </row>
    <row r="1290" spans="1:27" x14ac:dyDescent="0.2">
      <c r="A1290" s="312">
        <v>6</v>
      </c>
      <c r="B1290" s="423" t="s">
        <v>326</v>
      </c>
      <c r="C1290" s="424" t="s">
        <v>1420</v>
      </c>
      <c r="D1290" s="313">
        <v>0</v>
      </c>
      <c r="E1290" s="313"/>
      <c r="F1290" s="313">
        <v>0</v>
      </c>
      <c r="G1290" s="313"/>
      <c r="H1290" s="313">
        <v>18854</v>
      </c>
      <c r="I1290" s="313"/>
      <c r="J1290" s="313">
        <v>0</v>
      </c>
      <c r="K1290" s="313">
        <v>0</v>
      </c>
      <c r="L1290" s="313">
        <v>0</v>
      </c>
      <c r="M1290" s="313"/>
      <c r="N1290" s="313"/>
      <c r="O1290" s="313">
        <v>532644</v>
      </c>
      <c r="P1290" s="313"/>
      <c r="Q1290" s="313" t="s">
        <v>1782</v>
      </c>
      <c r="R1290" s="313"/>
      <c r="S1290" s="313"/>
      <c r="T1290" s="313">
        <v>513790</v>
      </c>
      <c r="U1290" s="319"/>
      <c r="V1290" s="319"/>
      <c r="W1290" s="319"/>
      <c r="X1290" s="319"/>
      <c r="Y1290" s="324"/>
    </row>
    <row r="1291" spans="1:27" x14ac:dyDescent="0.2">
      <c r="A1291" s="312">
        <v>7</v>
      </c>
      <c r="B1291" s="423" t="s">
        <v>2540</v>
      </c>
      <c r="C1291" s="424" t="s">
        <v>2495</v>
      </c>
      <c r="D1291" s="457">
        <v>-183431</v>
      </c>
      <c r="E1291" s="313"/>
      <c r="F1291" s="313">
        <v>-172632</v>
      </c>
      <c r="G1291" s="313"/>
      <c r="H1291" s="313">
        <v>-9210</v>
      </c>
      <c r="I1291" s="313"/>
      <c r="J1291" s="313">
        <v>-1589</v>
      </c>
      <c r="K1291" s="313">
        <v>-1589</v>
      </c>
      <c r="L1291" s="313">
        <v>0</v>
      </c>
      <c r="M1291" s="313"/>
      <c r="N1291" s="313"/>
      <c r="O1291" s="313">
        <v>-183431</v>
      </c>
      <c r="P1291" s="313"/>
      <c r="Q1291" s="313" t="s">
        <v>2541</v>
      </c>
      <c r="R1291" s="313"/>
      <c r="S1291" s="313"/>
      <c r="T1291" s="313"/>
      <c r="U1291" s="319"/>
      <c r="V1291" s="319"/>
      <c r="W1291" s="319"/>
      <c r="X1291" s="319"/>
      <c r="Y1291" s="324"/>
    </row>
    <row r="1292" spans="1:27" x14ac:dyDescent="0.2">
      <c r="A1292" s="312">
        <v>8</v>
      </c>
      <c r="B1292" s="423" t="s">
        <v>1313</v>
      </c>
      <c r="C1292" s="424" t="s">
        <v>2471</v>
      </c>
      <c r="D1292" s="313">
        <v>-9450</v>
      </c>
      <c r="E1292" s="313"/>
      <c r="F1292" s="313">
        <v>0</v>
      </c>
      <c r="G1292" s="313"/>
      <c r="H1292" s="313">
        <v>0</v>
      </c>
      <c r="I1292" s="313"/>
      <c r="J1292" s="313">
        <v>-9450</v>
      </c>
      <c r="K1292" s="313">
        <v>-4794</v>
      </c>
      <c r="L1292" s="313">
        <v>-4656</v>
      </c>
      <c r="M1292" s="313"/>
      <c r="N1292" s="313"/>
      <c r="O1292" s="313">
        <v>-9450</v>
      </c>
      <c r="P1292" s="313"/>
      <c r="Q1292" s="313" t="s">
        <v>2542</v>
      </c>
      <c r="R1292" s="313"/>
      <c r="S1292" s="313"/>
      <c r="T1292" s="313"/>
      <c r="U1292" s="319"/>
      <c r="V1292" s="319"/>
      <c r="W1292" s="319"/>
      <c r="X1292" s="363"/>
      <c r="Y1292" s="369"/>
      <c r="Z1292" s="119"/>
    </row>
    <row r="1293" spans="1:27" x14ac:dyDescent="0.2">
      <c r="A1293" s="312">
        <v>9</v>
      </c>
      <c r="B1293" s="423" t="s">
        <v>1314</v>
      </c>
      <c r="C1293" s="311"/>
      <c r="D1293" s="313">
        <v>117088157</v>
      </c>
      <c r="E1293" s="313"/>
      <c r="F1293" s="313">
        <v>109640429</v>
      </c>
      <c r="G1293" s="313"/>
      <c r="H1293" s="313">
        <v>6010660</v>
      </c>
      <c r="I1293" s="313"/>
      <c r="J1293" s="313">
        <v>1455923</v>
      </c>
      <c r="K1293" s="313">
        <v>767329</v>
      </c>
      <c r="L1293" s="313">
        <v>688594</v>
      </c>
      <c r="M1293" s="313"/>
      <c r="N1293" s="313"/>
      <c r="O1293" s="313"/>
      <c r="P1293" s="313"/>
      <c r="Q1293" s="313" t="s">
        <v>312</v>
      </c>
      <c r="R1293" s="313"/>
      <c r="S1293" s="313"/>
      <c r="T1293" s="313"/>
      <c r="U1293" s="319"/>
      <c r="V1293" s="319"/>
      <c r="W1293" s="319"/>
      <c r="X1293" s="341"/>
      <c r="Y1293" s="341"/>
      <c r="Z1293" s="303"/>
    </row>
    <row r="1294" spans="1:27" x14ac:dyDescent="0.2">
      <c r="A1294" s="45"/>
      <c r="B1294" s="45"/>
      <c r="C1294" s="311"/>
      <c r="D1294" s="313"/>
      <c r="E1294" s="313"/>
      <c r="F1294" s="313"/>
      <c r="G1294" s="313"/>
      <c r="H1294" s="313"/>
      <c r="I1294" s="313"/>
      <c r="J1294" s="313"/>
      <c r="K1294" s="313"/>
      <c r="L1294" s="313"/>
      <c r="M1294" s="313"/>
      <c r="N1294" s="313"/>
      <c r="O1294" s="313"/>
      <c r="P1294" s="313"/>
      <c r="Q1294" s="313"/>
      <c r="R1294" s="313"/>
      <c r="S1294" s="313"/>
      <c r="T1294" s="313"/>
      <c r="U1294" s="319"/>
      <c r="V1294" s="319"/>
      <c r="W1294" s="319"/>
      <c r="X1294" s="341"/>
      <c r="Y1294" s="341"/>
      <c r="Z1294" s="303"/>
    </row>
    <row r="1295" spans="1:27" x14ac:dyDescent="0.2">
      <c r="A1295" s="45"/>
      <c r="B1295" s="423" t="s">
        <v>1315</v>
      </c>
      <c r="C1295" s="311"/>
      <c r="D1295" s="313"/>
      <c r="E1295" s="313"/>
      <c r="F1295" s="313"/>
      <c r="G1295" s="313"/>
      <c r="H1295" s="313"/>
      <c r="I1295" s="313"/>
      <c r="J1295" s="313"/>
      <c r="K1295" s="313"/>
      <c r="L1295" s="313"/>
      <c r="M1295" s="313"/>
      <c r="N1295" s="313"/>
      <c r="O1295" s="313"/>
      <c r="P1295" s="313"/>
      <c r="Q1295" s="313"/>
      <c r="R1295" s="313"/>
      <c r="S1295" s="313"/>
      <c r="T1295" s="313"/>
      <c r="U1295" s="319"/>
      <c r="W1295" s="319"/>
    </row>
    <row r="1296" spans="1:27" x14ac:dyDescent="0.2">
      <c r="A1296" s="312">
        <v>10</v>
      </c>
      <c r="B1296" s="426" t="s">
        <v>2070</v>
      </c>
      <c r="C1296" s="424" t="s">
        <v>1280</v>
      </c>
      <c r="D1296" s="313">
        <v>0</v>
      </c>
      <c r="E1296" s="313"/>
      <c r="F1296" s="313">
        <v>0</v>
      </c>
      <c r="G1296" s="313"/>
      <c r="H1296" s="313">
        <v>0</v>
      </c>
      <c r="I1296" s="313"/>
      <c r="J1296" s="313">
        <v>0</v>
      </c>
      <c r="K1296" s="313">
        <v>0</v>
      </c>
      <c r="L1296" s="313">
        <v>0</v>
      </c>
      <c r="M1296" s="313"/>
      <c r="N1296" s="313"/>
      <c r="O1296" s="313">
        <v>0</v>
      </c>
      <c r="P1296" s="313"/>
      <c r="Q1296" s="313" t="s">
        <v>2071</v>
      </c>
      <c r="R1296" s="313"/>
      <c r="S1296" s="313"/>
      <c r="T1296" s="313"/>
      <c r="U1296" s="319"/>
      <c r="W1296" s="319"/>
    </row>
    <row r="1297" spans="1:28" x14ac:dyDescent="0.2">
      <c r="A1297" s="312">
        <v>11</v>
      </c>
      <c r="B1297" s="426" t="s">
        <v>2215</v>
      </c>
      <c r="C1297" s="424" t="s">
        <v>1429</v>
      </c>
      <c r="D1297" s="313">
        <v>0</v>
      </c>
      <c r="E1297" s="313"/>
      <c r="F1297" s="313">
        <v>0</v>
      </c>
      <c r="G1297" s="313"/>
      <c r="H1297" s="313">
        <v>0</v>
      </c>
      <c r="I1297" s="313"/>
      <c r="J1297" s="313">
        <v>0</v>
      </c>
      <c r="K1297" s="313">
        <v>0</v>
      </c>
      <c r="L1297" s="313">
        <v>0</v>
      </c>
      <c r="M1297" s="313"/>
      <c r="N1297" s="313"/>
      <c r="O1297" s="313">
        <v>0</v>
      </c>
      <c r="P1297" s="313"/>
      <c r="Q1297" s="313" t="s">
        <v>2245</v>
      </c>
      <c r="R1297" s="313"/>
      <c r="S1297" s="313">
        <v>367425</v>
      </c>
      <c r="T1297" s="313">
        <v>0.26</v>
      </c>
      <c r="U1297" s="319"/>
      <c r="V1297" s="354"/>
      <c r="W1297" s="319"/>
      <c r="Y1297" s="319"/>
    </row>
    <row r="1298" spans="1:28" x14ac:dyDescent="0.2">
      <c r="A1298" s="312">
        <v>12</v>
      </c>
      <c r="B1298" s="423" t="s">
        <v>2072</v>
      </c>
      <c r="C1298" s="424" t="s">
        <v>1272</v>
      </c>
      <c r="D1298" s="313">
        <v>256372</v>
      </c>
      <c r="E1298" s="313"/>
      <c r="F1298" s="313">
        <v>131871</v>
      </c>
      <c r="G1298" s="313"/>
      <c r="H1298" s="313">
        <v>85469</v>
      </c>
      <c r="I1298" s="313"/>
      <c r="J1298" s="313">
        <v>39032</v>
      </c>
      <c r="K1298" s="313">
        <v>19799</v>
      </c>
      <c r="L1298" s="313">
        <v>19233</v>
      </c>
      <c r="M1298" s="313"/>
      <c r="N1298" s="313"/>
      <c r="O1298" s="313">
        <v>256372</v>
      </c>
      <c r="P1298" s="313"/>
      <c r="Q1298" s="313" t="s">
        <v>312</v>
      </c>
      <c r="R1298" s="313"/>
      <c r="S1298" s="313">
        <v>1065747</v>
      </c>
      <c r="T1298" s="313">
        <v>0.74</v>
      </c>
      <c r="U1298" s="319"/>
      <c r="V1298" s="354"/>
      <c r="W1298" s="319"/>
      <c r="X1298" s="319"/>
      <c r="Y1298" s="342"/>
    </row>
    <row r="1299" spans="1:28" x14ac:dyDescent="0.2">
      <c r="A1299" s="312">
        <v>13</v>
      </c>
      <c r="B1299" s="423" t="s">
        <v>2073</v>
      </c>
      <c r="C1299" s="424" t="s">
        <v>1278</v>
      </c>
      <c r="D1299" s="313">
        <v>743628</v>
      </c>
      <c r="E1299" s="313"/>
      <c r="F1299" s="313">
        <v>573794</v>
      </c>
      <c r="G1299" s="313"/>
      <c r="H1299" s="313">
        <v>0</v>
      </c>
      <c r="I1299" s="313"/>
      <c r="J1299" s="313">
        <v>169834</v>
      </c>
      <c r="K1299" s="313">
        <v>86149</v>
      </c>
      <c r="L1299" s="313">
        <v>83685</v>
      </c>
      <c r="M1299" s="313"/>
      <c r="N1299" s="313"/>
      <c r="O1299" s="313">
        <v>743628</v>
      </c>
      <c r="P1299" s="313"/>
      <c r="Q1299" s="313" t="s">
        <v>312</v>
      </c>
      <c r="R1299" s="313"/>
      <c r="S1299" s="313">
        <v>1433172</v>
      </c>
      <c r="T1299" s="313"/>
      <c r="U1299" s="319"/>
      <c r="V1299" s="319"/>
      <c r="W1299" s="319"/>
      <c r="X1299" s="319"/>
      <c r="Y1299" s="342"/>
    </row>
    <row r="1300" spans="1:28" x14ac:dyDescent="0.2">
      <c r="A1300" s="312">
        <v>14</v>
      </c>
      <c r="B1300" s="423" t="s">
        <v>1316</v>
      </c>
      <c r="C1300" s="424" t="s">
        <v>34</v>
      </c>
      <c r="D1300" s="313">
        <v>1920000</v>
      </c>
      <c r="E1300" s="313"/>
      <c r="F1300" s="313">
        <v>1797742</v>
      </c>
      <c r="G1300" s="313"/>
      <c r="H1300" s="313">
        <v>-415548</v>
      </c>
      <c r="I1300" s="313"/>
      <c r="J1300" s="313">
        <v>24016</v>
      </c>
      <c r="K1300" s="313">
        <v>12666</v>
      </c>
      <c r="L1300" s="313">
        <v>11349</v>
      </c>
      <c r="M1300" s="313"/>
      <c r="N1300" s="313"/>
      <c r="O1300" s="313">
        <v>1920000</v>
      </c>
      <c r="P1300" s="313"/>
      <c r="Q1300" s="313" t="s">
        <v>2157</v>
      </c>
      <c r="R1300" s="313"/>
      <c r="S1300" s="313"/>
      <c r="T1300" s="313"/>
      <c r="U1300" s="319"/>
      <c r="V1300" s="319"/>
      <c r="W1300" s="319"/>
      <c r="X1300" s="319"/>
    </row>
    <row r="1301" spans="1:28" x14ac:dyDescent="0.2">
      <c r="A1301" s="45"/>
      <c r="B1301" s="45"/>
      <c r="C1301" s="311"/>
      <c r="D1301" s="313"/>
      <c r="E1301" s="313"/>
      <c r="F1301" s="313"/>
      <c r="G1301" s="313"/>
      <c r="H1301" s="313"/>
      <c r="I1301" s="313"/>
      <c r="J1301" s="313"/>
      <c r="K1301" s="313"/>
      <c r="L1301" s="313"/>
      <c r="M1301" s="313"/>
      <c r="N1301" s="313"/>
      <c r="O1301" s="313"/>
      <c r="P1301" s="313"/>
      <c r="Q1301" s="313"/>
      <c r="R1301" s="313"/>
      <c r="S1301" s="313"/>
      <c r="T1301" s="313"/>
      <c r="U1301" s="319"/>
      <c r="V1301" s="319"/>
      <c r="W1301" s="319"/>
      <c r="X1301" s="343"/>
      <c r="Y1301" s="324"/>
    </row>
    <row r="1302" spans="1:28" x14ac:dyDescent="0.2">
      <c r="A1302" s="312">
        <v>15</v>
      </c>
      <c r="B1302" s="426" t="s">
        <v>2074</v>
      </c>
      <c r="C1302" s="311"/>
      <c r="D1302" s="313">
        <v>212771628</v>
      </c>
      <c r="E1302" s="313"/>
      <c r="F1302" s="313">
        <v>204071138</v>
      </c>
      <c r="G1302" s="313"/>
      <c r="H1302" s="313">
        <v>6530551</v>
      </c>
      <c r="I1302" s="313"/>
      <c r="J1302" s="313">
        <v>1637296</v>
      </c>
      <c r="K1302" s="313">
        <v>828670</v>
      </c>
      <c r="L1302" s="313">
        <v>808626</v>
      </c>
      <c r="M1302" s="313"/>
      <c r="N1302" s="313"/>
      <c r="O1302" s="313">
        <v>212771628</v>
      </c>
      <c r="P1302" s="313"/>
      <c r="Q1302" s="313"/>
      <c r="R1302" s="313"/>
      <c r="S1302" s="313"/>
      <c r="T1302" s="313"/>
      <c r="W1302" s="344"/>
      <c r="X1302" s="328"/>
      <c r="Y1302" s="328"/>
      <c r="Z1302" s="328"/>
      <c r="AA1302" s="59"/>
    </row>
    <row r="1303" spans="1:28" x14ac:dyDescent="0.2">
      <c r="A1303" s="312">
        <v>16</v>
      </c>
      <c r="B1303" s="426" t="s">
        <v>2216</v>
      </c>
      <c r="C1303" s="311"/>
      <c r="D1303" s="313">
        <v>212771628</v>
      </c>
      <c r="E1303" s="313"/>
      <c r="F1303" s="313">
        <v>204071138</v>
      </c>
      <c r="G1303" s="313"/>
      <c r="H1303" s="313">
        <v>7311145</v>
      </c>
      <c r="I1303" s="313"/>
      <c r="J1303" s="313">
        <v>1637296</v>
      </c>
      <c r="K1303" s="313">
        <v>828670</v>
      </c>
      <c r="L1303" s="313">
        <v>808626</v>
      </c>
      <c r="M1303" s="313"/>
      <c r="N1303" s="313"/>
      <c r="O1303" s="313">
        <v>211485906</v>
      </c>
      <c r="P1303" s="313"/>
      <c r="Q1303" s="313"/>
      <c r="R1303" s="313"/>
      <c r="S1303" s="313"/>
      <c r="T1303" s="313"/>
      <c r="V1303" s="319"/>
      <c r="W1303" s="310"/>
      <c r="X1303" s="310"/>
      <c r="Y1303" s="310"/>
      <c r="Z1303" s="310"/>
      <c r="AB1303" s="345"/>
    </row>
    <row r="1304" spans="1:28" x14ac:dyDescent="0.2">
      <c r="A1304" s="45"/>
      <c r="B1304" s="45"/>
      <c r="C1304" s="311"/>
      <c r="D1304" s="313"/>
      <c r="E1304" s="313"/>
      <c r="F1304" s="313"/>
      <c r="G1304" s="313"/>
      <c r="H1304" s="313"/>
      <c r="I1304" s="313"/>
      <c r="J1304" s="313"/>
      <c r="K1304" s="313"/>
      <c r="L1304" s="313"/>
      <c r="M1304" s="313"/>
      <c r="N1304" s="313"/>
      <c r="O1304" s="313">
        <v>3.4569999999999997E-2</v>
      </c>
      <c r="P1304" s="313"/>
      <c r="Q1304" s="313" t="s">
        <v>2320</v>
      </c>
      <c r="R1304" s="313"/>
      <c r="S1304" s="313"/>
      <c r="T1304" s="313"/>
      <c r="V1304" s="319"/>
      <c r="W1304" s="346"/>
      <c r="X1304" s="346"/>
      <c r="Y1304" s="346"/>
      <c r="Z1304" s="346"/>
      <c r="AB1304" s="345"/>
    </row>
    <row r="1305" spans="1:28" x14ac:dyDescent="0.2">
      <c r="A1305" s="312">
        <v>17</v>
      </c>
      <c r="B1305" s="423" t="s">
        <v>1317</v>
      </c>
      <c r="C1305" s="45"/>
      <c r="D1305" s="313">
        <v>10638581</v>
      </c>
      <c r="E1305" s="313"/>
      <c r="F1305" s="313">
        <v>10203557</v>
      </c>
      <c r="G1305" s="313"/>
      <c r="H1305" s="313">
        <v>438669</v>
      </c>
      <c r="I1305" s="313"/>
      <c r="J1305" s="313">
        <v>81865</v>
      </c>
      <c r="K1305" s="313">
        <v>41434</v>
      </c>
      <c r="L1305" s="313">
        <v>40431</v>
      </c>
      <c r="M1305" s="313"/>
      <c r="N1305" s="313"/>
      <c r="O1305" s="313"/>
      <c r="P1305" s="313"/>
      <c r="Q1305" s="313" t="s">
        <v>2246</v>
      </c>
      <c r="R1305" s="313"/>
      <c r="S1305" s="313"/>
      <c r="T1305" s="313"/>
      <c r="U1305" s="53" t="s">
        <v>1318</v>
      </c>
      <c r="V1305" s="319" t="s">
        <v>2321</v>
      </c>
      <c r="W1305" s="319"/>
      <c r="X1305" s="328"/>
      <c r="AA1305" s="53" t="s">
        <v>2321</v>
      </c>
    </row>
    <row r="1306" spans="1:28" x14ac:dyDescent="0.2">
      <c r="A1306" s="312">
        <v>18</v>
      </c>
      <c r="B1306" s="423" t="s">
        <v>2158</v>
      </c>
      <c r="C1306" s="424" t="s">
        <v>34</v>
      </c>
      <c r="D1306" s="313">
        <v>82208</v>
      </c>
      <c r="E1306" s="313"/>
      <c r="F1306" s="313">
        <v>76974</v>
      </c>
      <c r="G1306" s="313"/>
      <c r="H1306" s="313">
        <v>4206</v>
      </c>
      <c r="I1306" s="313"/>
      <c r="J1306" s="313">
        <v>1028</v>
      </c>
      <c r="K1306" s="313">
        <v>542</v>
      </c>
      <c r="L1306" s="313">
        <v>486</v>
      </c>
      <c r="M1306" s="313"/>
      <c r="N1306" s="313"/>
      <c r="O1306" s="313">
        <v>82209</v>
      </c>
      <c r="P1306" s="313"/>
      <c r="Q1306" s="313" t="s">
        <v>312</v>
      </c>
      <c r="R1306" s="313"/>
      <c r="S1306" s="313"/>
      <c r="T1306" s="313">
        <v>82209</v>
      </c>
      <c r="U1306" s="490">
        <v>7347665</v>
      </c>
      <c r="V1306" s="319">
        <v>-0.9</v>
      </c>
      <c r="W1306" s="319"/>
      <c r="X1306" s="328"/>
      <c r="AA1306" s="53">
        <v>-15933.299999998882</v>
      </c>
    </row>
    <row r="1307" spans="1:28" x14ac:dyDescent="0.2">
      <c r="A1307" s="310">
        <v>19</v>
      </c>
      <c r="B1307" s="307" t="s">
        <v>2159</v>
      </c>
      <c r="C1307" s="422" t="s">
        <v>1276</v>
      </c>
      <c r="D1307" s="313">
        <v>-1245001</v>
      </c>
      <c r="E1307" s="313"/>
      <c r="F1307" s="313">
        <v>-1219773</v>
      </c>
      <c r="G1307" s="313"/>
      <c r="H1307" s="313">
        <v>0</v>
      </c>
      <c r="I1307" s="313"/>
      <c r="J1307" s="313">
        <v>-25228</v>
      </c>
      <c r="K1307" s="313">
        <v>-12797</v>
      </c>
      <c r="L1307" s="313">
        <v>-12431</v>
      </c>
      <c r="M1307" s="313"/>
      <c r="N1307" s="313"/>
      <c r="O1307" s="313">
        <v>-1245000</v>
      </c>
      <c r="P1307" s="313"/>
      <c r="Q1307" s="313" t="s">
        <v>312</v>
      </c>
      <c r="R1307" s="313"/>
      <c r="S1307" s="313"/>
      <c r="T1307" s="313">
        <v>82210</v>
      </c>
      <c r="V1307" s="316"/>
      <c r="W1307" s="319"/>
      <c r="Z1307" s="59"/>
      <c r="AA1307" s="316"/>
    </row>
    <row r="1308" spans="1:28" x14ac:dyDescent="0.2">
      <c r="A1308" s="310">
        <v>20</v>
      </c>
      <c r="B1308" s="307" t="s">
        <v>2513</v>
      </c>
      <c r="C1308" s="422" t="s">
        <v>2065</v>
      </c>
      <c r="D1308" s="457">
        <v>-559577</v>
      </c>
      <c r="E1308" s="313"/>
      <c r="F1308" s="313">
        <v>-559577</v>
      </c>
      <c r="G1308" s="313"/>
      <c r="H1308" s="313">
        <v>0</v>
      </c>
      <c r="I1308" s="313"/>
      <c r="J1308" s="313">
        <v>0</v>
      </c>
      <c r="K1308" s="313">
        <v>0</v>
      </c>
      <c r="L1308" s="313">
        <v>0</v>
      </c>
      <c r="M1308" s="313"/>
      <c r="N1308" s="313"/>
      <c r="O1308" s="313"/>
      <c r="P1308" s="313"/>
      <c r="Q1308" s="313"/>
      <c r="R1308" s="313"/>
      <c r="S1308" s="313"/>
      <c r="T1308" s="313"/>
      <c r="V1308" s="316"/>
      <c r="W1308" s="319"/>
      <c r="Z1308" s="59"/>
      <c r="AA1308" s="316"/>
    </row>
    <row r="1309" spans="1:28" x14ac:dyDescent="0.2">
      <c r="A1309" s="45">
        <v>21</v>
      </c>
      <c r="B1309" s="426" t="s">
        <v>2514</v>
      </c>
      <c r="C1309" s="424" t="s">
        <v>1352</v>
      </c>
      <c r="D1309" s="313">
        <v>-1568547</v>
      </c>
      <c r="E1309" s="313"/>
      <c r="F1309" s="313">
        <v>-1546714</v>
      </c>
      <c r="G1309" s="313"/>
      <c r="H1309" s="313">
        <v>0</v>
      </c>
      <c r="I1309" s="313"/>
      <c r="J1309" s="313">
        <v>-21833</v>
      </c>
      <c r="K1309" s="313">
        <v>-11424</v>
      </c>
      <c r="L1309" s="313">
        <v>-10409</v>
      </c>
      <c r="M1309" s="313"/>
      <c r="N1309" s="313"/>
      <c r="O1309" s="313">
        <v>-1568547</v>
      </c>
      <c r="P1309" s="313"/>
      <c r="Q1309" s="313" t="s">
        <v>2075</v>
      </c>
      <c r="R1309" s="313"/>
      <c r="S1309" s="313"/>
      <c r="T1309" s="313"/>
      <c r="U1309" s="319"/>
      <c r="V1309" s="319"/>
      <c r="W1309" s="319"/>
      <c r="X1309" s="319"/>
      <c r="Y1309" s="319"/>
      <c r="Z1309" s="59"/>
      <c r="AA1309" s="348"/>
    </row>
    <row r="1310" spans="1:28" x14ac:dyDescent="0.2">
      <c r="A1310" s="312">
        <v>22</v>
      </c>
      <c r="B1310" s="423" t="s">
        <v>1319</v>
      </c>
      <c r="C1310" s="311"/>
      <c r="D1310" s="313">
        <v>7347664</v>
      </c>
      <c r="E1310" s="313"/>
      <c r="F1310" s="313">
        <v>6954467</v>
      </c>
      <c r="G1310" s="313"/>
      <c r="H1310" s="313">
        <v>442875</v>
      </c>
      <c r="I1310" s="313"/>
      <c r="J1310" s="313">
        <v>35832</v>
      </c>
      <c r="K1310" s="313">
        <v>17755</v>
      </c>
      <c r="L1310" s="313">
        <v>18077</v>
      </c>
      <c r="M1310" s="313"/>
      <c r="N1310" s="313"/>
      <c r="O1310" s="313"/>
      <c r="P1310" s="313"/>
      <c r="Q1310" s="313"/>
      <c r="R1310" s="313"/>
      <c r="S1310" s="313"/>
      <c r="T1310" s="313"/>
      <c r="U1310" s="319"/>
      <c r="V1310" s="319"/>
      <c r="W1310" s="319"/>
      <c r="X1310" s="319"/>
      <c r="Z1310" s="59"/>
      <c r="AA1310" s="348"/>
    </row>
    <row r="1311" spans="1:28" x14ac:dyDescent="0.2">
      <c r="A1311" s="45">
        <v>23</v>
      </c>
      <c r="B1311" s="426" t="s">
        <v>2076</v>
      </c>
      <c r="C1311" s="424" t="s">
        <v>1280</v>
      </c>
      <c r="D1311" s="313">
        <v>0</v>
      </c>
      <c r="E1311" s="313"/>
      <c r="F1311" s="313">
        <v>0</v>
      </c>
      <c r="G1311" s="313"/>
      <c r="H1311" s="313">
        <v>0</v>
      </c>
      <c r="I1311" s="313"/>
      <c r="J1311" s="313">
        <v>0</v>
      </c>
      <c r="K1311" s="313">
        <v>0</v>
      </c>
      <c r="L1311" s="313">
        <v>0</v>
      </c>
      <c r="M1311" s="313"/>
      <c r="N1311" s="313"/>
      <c r="O1311" s="313">
        <v>0</v>
      </c>
      <c r="P1311" s="313"/>
      <c r="Q1311" s="313" t="s">
        <v>2077</v>
      </c>
      <c r="R1311" s="313"/>
      <c r="S1311" s="313"/>
      <c r="T1311" s="313"/>
      <c r="U1311" s="319"/>
      <c r="V1311" s="354"/>
      <c r="W1311" s="319"/>
    </row>
    <row r="1312" spans="1:28" x14ac:dyDescent="0.2">
      <c r="A1312" s="45">
        <v>24</v>
      </c>
      <c r="B1312" s="436" t="s">
        <v>1783</v>
      </c>
      <c r="C1312" s="424" t="s">
        <v>34</v>
      </c>
      <c r="D1312" s="313">
        <v>0</v>
      </c>
      <c r="E1312" s="313"/>
      <c r="F1312" s="313">
        <v>0</v>
      </c>
      <c r="G1312" s="313"/>
      <c r="H1312" s="313">
        <v>513790</v>
      </c>
      <c r="I1312" s="313"/>
      <c r="J1312" s="313">
        <v>0</v>
      </c>
      <c r="K1312" s="313">
        <v>0</v>
      </c>
      <c r="L1312" s="313">
        <v>0</v>
      </c>
      <c r="M1312" s="313"/>
      <c r="N1312" s="313"/>
      <c r="O1312" s="313">
        <v>0</v>
      </c>
      <c r="P1312" s="313"/>
      <c r="Q1312" s="313" t="s">
        <v>2160</v>
      </c>
      <c r="R1312" s="313"/>
      <c r="S1312" s="313"/>
      <c r="T1312" s="313"/>
      <c r="W1312" s="319"/>
      <c r="Z1312" s="59"/>
    </row>
    <row r="1313" spans="1:28" x14ac:dyDescent="0.2">
      <c r="A1313" s="312">
        <v>25</v>
      </c>
      <c r="B1313" s="426" t="s">
        <v>2217</v>
      </c>
      <c r="C1313" s="45"/>
      <c r="D1313" s="313">
        <v>205423964</v>
      </c>
      <c r="E1313" s="313"/>
      <c r="F1313" s="313">
        <v>197116671</v>
      </c>
      <c r="G1313" s="313"/>
      <c r="H1313" s="313">
        <v>6601466</v>
      </c>
      <c r="I1313" s="313"/>
      <c r="J1313" s="313">
        <v>1601464</v>
      </c>
      <c r="K1313" s="313">
        <v>810916</v>
      </c>
      <c r="L1313" s="313">
        <v>790549</v>
      </c>
      <c r="M1313" s="313"/>
      <c r="N1313" s="313"/>
      <c r="O1313" s="313"/>
      <c r="P1313" s="313"/>
      <c r="Q1313" s="313"/>
      <c r="R1313" s="313"/>
      <c r="S1313" s="313"/>
      <c r="T1313" s="313"/>
      <c r="U1313" s="319"/>
      <c r="V1313" s="354"/>
      <c r="W1313" s="319"/>
    </row>
    <row r="1314" spans="1:28" x14ac:dyDescent="0.2">
      <c r="A1314" s="45"/>
      <c r="B1314" s="45"/>
      <c r="C1314" s="45"/>
      <c r="D1314" s="313"/>
      <c r="E1314" s="313"/>
      <c r="F1314" s="313"/>
      <c r="G1314" s="313"/>
      <c r="H1314" s="313"/>
      <c r="I1314" s="313"/>
      <c r="J1314" s="313"/>
      <c r="K1314" s="313"/>
      <c r="L1314" s="313"/>
      <c r="M1314" s="313"/>
      <c r="N1314" s="313"/>
      <c r="O1314" s="313"/>
      <c r="P1314" s="313"/>
      <c r="Q1314" s="313"/>
      <c r="R1314" s="313"/>
      <c r="S1314" s="313"/>
      <c r="T1314" s="313" t="s">
        <v>2286</v>
      </c>
      <c r="U1314" s="319" t="s">
        <v>2287</v>
      </c>
      <c r="V1314" s="354"/>
      <c r="W1314" s="319"/>
    </row>
    <row r="1315" spans="1:28" x14ac:dyDescent="0.2">
      <c r="A1315" s="312">
        <v>26</v>
      </c>
      <c r="B1315" s="423" t="s">
        <v>2472</v>
      </c>
      <c r="C1315" s="45"/>
      <c r="D1315" s="457">
        <v>43139032</v>
      </c>
      <c r="E1315" s="313"/>
      <c r="F1315" s="313">
        <v>41394501</v>
      </c>
      <c r="G1315" s="313"/>
      <c r="H1315" s="313">
        <v>1386308</v>
      </c>
      <c r="I1315" s="313"/>
      <c r="J1315" s="313">
        <v>336307</v>
      </c>
      <c r="K1315" s="313">
        <v>170292</v>
      </c>
      <c r="L1315" s="313">
        <v>166015</v>
      </c>
      <c r="M1315" s="313"/>
      <c r="N1315" s="313"/>
      <c r="O1315" s="313"/>
      <c r="P1315" s="313"/>
      <c r="Q1315" s="313"/>
      <c r="R1315" s="313"/>
      <c r="S1315" s="313" t="s">
        <v>2515</v>
      </c>
      <c r="T1315" s="313">
        <v>-559577</v>
      </c>
      <c r="U1315" s="53">
        <v>0</v>
      </c>
      <c r="W1315" s="319"/>
      <c r="X1315" s="349"/>
    </row>
    <row r="1316" spans="1:28" x14ac:dyDescent="0.2">
      <c r="A1316" s="312">
        <v>27</v>
      </c>
      <c r="B1316" s="423" t="s">
        <v>2513</v>
      </c>
      <c r="C1316" s="424" t="s">
        <v>2065</v>
      </c>
      <c r="D1316" s="457">
        <v>-7515032</v>
      </c>
      <c r="E1316" s="313"/>
      <c r="F1316" s="313">
        <v>-7411506</v>
      </c>
      <c r="G1316" s="313"/>
      <c r="H1316" s="313">
        <v>-103526</v>
      </c>
      <c r="I1316" s="313"/>
      <c r="J1316" s="313">
        <v>0</v>
      </c>
      <c r="K1316" s="313">
        <v>0</v>
      </c>
      <c r="L1316" s="313">
        <v>0</v>
      </c>
      <c r="M1316" s="313"/>
      <c r="N1316" s="313"/>
      <c r="O1316" s="313"/>
      <c r="P1316" s="313"/>
      <c r="Q1316" s="313"/>
      <c r="R1316" s="313"/>
      <c r="S1316" s="313" t="s">
        <v>2516</v>
      </c>
      <c r="T1316" s="313">
        <v>-7411506</v>
      </c>
      <c r="U1316" s="490">
        <v>-103526</v>
      </c>
      <c r="W1316" s="319"/>
      <c r="X1316" s="349"/>
    </row>
    <row r="1317" spans="1:28" x14ac:dyDescent="0.2">
      <c r="A1317" s="45">
        <v>28</v>
      </c>
      <c r="B1317" s="426" t="s">
        <v>2517</v>
      </c>
      <c r="C1317" s="424" t="s">
        <v>34</v>
      </c>
      <c r="D1317" s="457">
        <v>164863</v>
      </c>
      <c r="E1317" s="313"/>
      <c r="F1317" s="313">
        <v>154365</v>
      </c>
      <c r="G1317" s="313"/>
      <c r="H1317" s="313">
        <v>8436</v>
      </c>
      <c r="I1317" s="313"/>
      <c r="J1317" s="313">
        <v>2062</v>
      </c>
      <c r="K1317" s="313">
        <v>1088</v>
      </c>
      <c r="L1317" s="313">
        <v>975</v>
      </c>
      <c r="M1317" s="313"/>
      <c r="N1317" s="313"/>
      <c r="O1317" s="313">
        <v>164863</v>
      </c>
      <c r="P1317" s="313"/>
      <c r="Q1317" s="313" t="s">
        <v>312</v>
      </c>
      <c r="R1317" s="313"/>
      <c r="S1317" s="313"/>
      <c r="T1317" s="313"/>
      <c r="W1317" s="319"/>
    </row>
    <row r="1318" spans="1:28" x14ac:dyDescent="0.2">
      <c r="A1318" s="45">
        <v>29</v>
      </c>
      <c r="B1318" s="426" t="s">
        <v>2514</v>
      </c>
      <c r="C1318" s="424" t="s">
        <v>1348</v>
      </c>
      <c r="D1318" s="457">
        <v>-20288646</v>
      </c>
      <c r="E1318" s="313"/>
      <c r="F1318" s="313">
        <v>-18963311</v>
      </c>
      <c r="G1318" s="313"/>
      <c r="H1318" s="313">
        <v>-1057655</v>
      </c>
      <c r="I1318" s="313"/>
      <c r="J1318" s="313">
        <v>-267680</v>
      </c>
      <c r="K1318" s="313">
        <v>-140061</v>
      </c>
      <c r="L1318" s="313">
        <v>-127619</v>
      </c>
      <c r="M1318" s="313"/>
      <c r="N1318" s="313"/>
      <c r="O1318" s="313">
        <v>-20288647</v>
      </c>
      <c r="P1318" s="313"/>
      <c r="Q1318" s="313" t="s">
        <v>2247</v>
      </c>
      <c r="R1318" s="313"/>
      <c r="S1318" s="313"/>
      <c r="T1318" s="313"/>
      <c r="W1318" s="319"/>
    </row>
    <row r="1319" spans="1:28" x14ac:dyDescent="0.2">
      <c r="A1319" s="312">
        <v>30</v>
      </c>
      <c r="B1319" s="423" t="s">
        <v>313</v>
      </c>
      <c r="C1319" s="424"/>
      <c r="D1319" s="457">
        <v>0</v>
      </c>
      <c r="E1319" s="313"/>
      <c r="F1319" s="313">
        <v>0</v>
      </c>
      <c r="G1319" s="313"/>
      <c r="H1319" s="313">
        <v>0</v>
      </c>
      <c r="I1319" s="313"/>
      <c r="J1319" s="313">
        <v>0</v>
      </c>
      <c r="K1319" s="313">
        <v>0</v>
      </c>
      <c r="L1319" s="313">
        <v>0</v>
      </c>
      <c r="M1319" s="313"/>
      <c r="N1319" s="313"/>
      <c r="O1319" s="313"/>
      <c r="P1319" s="313"/>
      <c r="Q1319" s="313"/>
      <c r="R1319" s="313"/>
      <c r="S1319" s="313"/>
      <c r="T1319" s="313"/>
      <c r="U1319" s="319" t="s">
        <v>1320</v>
      </c>
      <c r="V1319" s="319" t="s">
        <v>2321</v>
      </c>
      <c r="W1319" s="319"/>
      <c r="X1319" s="319"/>
      <c r="Y1319" s="319"/>
      <c r="AA1319" s="53" t="s">
        <v>2321</v>
      </c>
    </row>
    <row r="1320" spans="1:28" x14ac:dyDescent="0.2">
      <c r="A1320" s="312">
        <v>31</v>
      </c>
      <c r="B1320" s="423" t="s">
        <v>2161</v>
      </c>
      <c r="C1320" s="424" t="s">
        <v>34</v>
      </c>
      <c r="D1320" s="457">
        <v>30590</v>
      </c>
      <c r="E1320" s="313"/>
      <c r="F1320" s="313">
        <v>28642</v>
      </c>
      <c r="G1320" s="313"/>
      <c r="H1320" s="313">
        <v>1565</v>
      </c>
      <c r="I1320" s="313"/>
      <c r="J1320" s="313">
        <v>383</v>
      </c>
      <c r="K1320" s="313">
        <v>202</v>
      </c>
      <c r="L1320" s="313">
        <v>181</v>
      </c>
      <c r="M1320" s="313"/>
      <c r="N1320" s="313"/>
      <c r="O1320" s="313">
        <v>30590</v>
      </c>
      <c r="P1320" s="313"/>
      <c r="Q1320" s="313" t="s">
        <v>312</v>
      </c>
      <c r="R1320" s="313"/>
      <c r="S1320" s="313"/>
      <c r="T1320" s="313">
        <v>30590</v>
      </c>
      <c r="U1320" s="495">
        <v>15530807</v>
      </c>
      <c r="V1320" s="354">
        <v>-0.02</v>
      </c>
      <c r="W1320" s="319"/>
      <c r="AA1320" s="53">
        <v>-63573.047814108431</v>
      </c>
    </row>
    <row r="1321" spans="1:28" x14ac:dyDescent="0.2">
      <c r="A1321" s="312">
        <v>32</v>
      </c>
      <c r="B1321" s="423" t="s">
        <v>1321</v>
      </c>
      <c r="C1321" s="311"/>
      <c r="D1321" s="457">
        <v>15530807</v>
      </c>
      <c r="E1321" s="313"/>
      <c r="F1321" s="313">
        <v>15202691</v>
      </c>
      <c r="G1321" s="313"/>
      <c r="H1321" s="313">
        <v>235128</v>
      </c>
      <c r="I1321" s="313"/>
      <c r="J1321" s="313">
        <v>71072</v>
      </c>
      <c r="K1321" s="313">
        <v>31521</v>
      </c>
      <c r="L1321" s="313">
        <v>39552</v>
      </c>
      <c r="M1321" s="313"/>
      <c r="N1321" s="313"/>
      <c r="O1321" s="313"/>
      <c r="P1321" s="313"/>
      <c r="Q1321" s="313"/>
      <c r="R1321" s="313"/>
      <c r="S1321" s="313"/>
      <c r="T1321" s="313">
        <v>30590</v>
      </c>
      <c r="W1321" s="319"/>
      <c r="Z1321" s="59"/>
      <c r="AA1321" s="316"/>
    </row>
    <row r="1322" spans="1:28" x14ac:dyDescent="0.2">
      <c r="A1322" s="45"/>
      <c r="B1322" s="45"/>
      <c r="C1322" s="45"/>
      <c r="D1322" s="313"/>
      <c r="E1322" s="313"/>
      <c r="F1322" s="313"/>
      <c r="G1322" s="313"/>
      <c r="H1322" s="313"/>
      <c r="I1322" s="313"/>
      <c r="J1322" s="313"/>
      <c r="K1322" s="313"/>
      <c r="L1322" s="313"/>
      <c r="M1322" s="313"/>
      <c r="N1322" s="313"/>
      <c r="O1322" s="313"/>
      <c r="P1322" s="313"/>
      <c r="Q1322" s="313"/>
      <c r="R1322" s="313" t="s">
        <v>1770</v>
      </c>
      <c r="S1322" s="313"/>
      <c r="T1322" s="313"/>
      <c r="U1322" s="495">
        <v>22878472</v>
      </c>
      <c r="V1322" s="319" t="s">
        <v>2162</v>
      </c>
      <c r="W1322" s="319"/>
      <c r="X1322" s="319"/>
      <c r="Y1322" s="319"/>
      <c r="Z1322" s="319"/>
      <c r="AA1322" s="348" t="s">
        <v>2162</v>
      </c>
      <c r="AB1322" s="317"/>
    </row>
    <row r="1323" spans="1:28" x14ac:dyDescent="0.2">
      <c r="A1323" s="312">
        <v>33</v>
      </c>
      <c r="B1323" s="423" t="s">
        <v>1053</v>
      </c>
      <c r="C1323" s="311"/>
      <c r="D1323" s="313">
        <v>304061314</v>
      </c>
      <c r="E1323" s="313"/>
      <c r="F1323" s="313">
        <v>289051001</v>
      </c>
      <c r="G1323" s="313"/>
      <c r="H1323" s="313">
        <v>12193287</v>
      </c>
      <c r="I1323" s="313"/>
      <c r="J1323" s="313">
        <v>2753434</v>
      </c>
      <c r="K1323" s="313">
        <v>1428109</v>
      </c>
      <c r="L1323" s="313">
        <v>1325325</v>
      </c>
      <c r="M1323" s="313"/>
      <c r="N1323" s="313"/>
      <c r="O1323" s="313"/>
      <c r="P1323" s="313"/>
      <c r="Q1323" s="313"/>
      <c r="R1323" s="313">
        <v>170606594</v>
      </c>
      <c r="S1323" s="313">
        <v>133454720.29000001</v>
      </c>
      <c r="T1323" s="313"/>
      <c r="U1323" s="490">
        <v>-10422002</v>
      </c>
      <c r="V1323" s="53" t="s">
        <v>2518</v>
      </c>
      <c r="W1323" s="319"/>
      <c r="AA1323" s="53" t="s">
        <v>2518</v>
      </c>
    </row>
    <row r="1324" spans="1:28" x14ac:dyDescent="0.2">
      <c r="A1324" s="312">
        <v>34</v>
      </c>
      <c r="B1324" s="423" t="s">
        <v>1054</v>
      </c>
      <c r="C1324" s="311"/>
      <c r="D1324" s="421">
        <v>4.9299999999999997E-2</v>
      </c>
      <c r="E1324" s="421"/>
      <c r="F1324" s="421">
        <v>4.9599999999999998E-2</v>
      </c>
      <c r="G1324" s="421"/>
      <c r="H1324" s="421">
        <v>3.8300000000000001E-2</v>
      </c>
      <c r="I1324" s="421"/>
      <c r="J1324" s="421">
        <v>3.5400000000000001E-2</v>
      </c>
      <c r="K1324" s="421">
        <v>3.4799999999999998E-2</v>
      </c>
      <c r="L1324" s="421">
        <v>3.5999999999999997E-2</v>
      </c>
      <c r="M1324" s="421"/>
      <c r="N1324" s="421"/>
      <c r="O1324" s="421"/>
      <c r="P1324" s="421"/>
      <c r="Q1324" s="313"/>
      <c r="R1324" s="313"/>
      <c r="S1324" s="313" t="s">
        <v>2564</v>
      </c>
      <c r="T1324" s="313"/>
      <c r="U1324" s="490">
        <v>33300474</v>
      </c>
      <c r="V1324" s="53" t="s">
        <v>2163</v>
      </c>
      <c r="W1324" s="350"/>
      <c r="Z1324" s="116"/>
      <c r="AA1324" s="116" t="s">
        <v>2163</v>
      </c>
    </row>
    <row r="1325" spans="1:28" x14ac:dyDescent="0.2">
      <c r="A1325" s="45"/>
      <c r="B1325" s="45"/>
      <c r="C1325" s="45"/>
      <c r="D1325" s="421"/>
      <c r="E1325" s="421"/>
      <c r="F1325" s="421"/>
      <c r="G1325" s="421"/>
      <c r="H1325" s="421"/>
      <c r="I1325" s="421"/>
      <c r="J1325" s="421"/>
      <c r="K1325" s="421"/>
      <c r="L1325" s="421"/>
      <c r="M1325" s="421"/>
      <c r="N1325" s="421"/>
      <c r="O1325" s="421"/>
      <c r="P1325" s="421"/>
      <c r="Q1325" s="421"/>
      <c r="R1325" s="313"/>
      <c r="S1325" s="313"/>
      <c r="T1325" s="313"/>
      <c r="W1325" s="350"/>
      <c r="X1325" s="351"/>
      <c r="Z1325" s="371"/>
      <c r="AA1325" s="116"/>
    </row>
    <row r="1326" spans="1:28" ht="13.5" thickBot="1" x14ac:dyDescent="0.25">
      <c r="A1326" s="45"/>
      <c r="B1326" s="45"/>
      <c r="C1326" s="45"/>
      <c r="D1326" s="322"/>
      <c r="E1326" s="45"/>
      <c r="F1326" s="322"/>
      <c r="G1326" s="322"/>
      <c r="H1326" s="322"/>
      <c r="I1326" s="322"/>
      <c r="J1326" s="45"/>
      <c r="K1326" s="322"/>
      <c r="L1326" s="322"/>
      <c r="M1326" s="322"/>
      <c r="N1326" s="322"/>
      <c r="O1326" s="322"/>
      <c r="P1326" s="322"/>
      <c r="Q1326" s="322"/>
      <c r="T1326" s="364"/>
      <c r="W1326" s="319"/>
      <c r="Z1326" s="372"/>
      <c r="AA1326" s="116"/>
    </row>
    <row r="1327" spans="1:28" ht="13.5" thickTop="1" x14ac:dyDescent="0.2">
      <c r="A1327" s="45"/>
      <c r="B1327" s="423" t="s">
        <v>1322</v>
      </c>
      <c r="C1327" s="45"/>
      <c r="D1327" s="439">
        <v>0.05</v>
      </c>
      <c r="E1327" s="439"/>
      <c r="F1327" s="439">
        <v>0.05</v>
      </c>
      <c r="G1327" s="439"/>
      <c r="H1327" s="440">
        <v>0.06</v>
      </c>
      <c r="I1327" s="439"/>
      <c r="J1327" s="439">
        <v>0.05</v>
      </c>
      <c r="K1327" s="439">
        <v>0.05</v>
      </c>
      <c r="L1327" s="439">
        <v>0.05</v>
      </c>
      <c r="M1327" s="440"/>
      <c r="N1327" s="439"/>
      <c r="O1327" s="439"/>
      <c r="P1327" s="439"/>
      <c r="Q1327" s="45"/>
      <c r="W1327" s="319"/>
    </row>
    <row r="1328" spans="1:28" x14ac:dyDescent="0.2">
      <c r="A1328" s="45"/>
      <c r="B1328" s="423" t="s">
        <v>1323</v>
      </c>
      <c r="C1328" s="45"/>
      <c r="D1328" s="439">
        <v>0.21</v>
      </c>
      <c r="E1328" s="439"/>
      <c r="F1328" s="439">
        <v>0.21</v>
      </c>
      <c r="G1328" s="439"/>
      <c r="H1328" s="440">
        <v>0.21</v>
      </c>
      <c r="I1328" s="439"/>
      <c r="J1328" s="439">
        <v>0.21</v>
      </c>
      <c r="K1328" s="439">
        <v>0.21</v>
      </c>
      <c r="L1328" s="439">
        <v>0.21</v>
      </c>
      <c r="M1328" s="440"/>
      <c r="N1328" s="439"/>
      <c r="O1328" s="439"/>
      <c r="P1328" s="439"/>
      <c r="Q1328" s="45"/>
      <c r="W1328" s="319"/>
    </row>
    <row r="1329" spans="1:25" x14ac:dyDescent="0.2">
      <c r="A1329" s="45"/>
      <c r="B1329" s="423" t="s">
        <v>1324</v>
      </c>
      <c r="C1329" s="45"/>
      <c r="D1329" s="352">
        <v>0.75049999999999994</v>
      </c>
      <c r="E1329" s="45"/>
      <c r="F1329" s="352">
        <v>0.75049999999999994</v>
      </c>
      <c r="G1329" s="352"/>
      <c r="H1329" s="352">
        <v>0.74260000000000004</v>
      </c>
      <c r="I1329" s="322"/>
      <c r="J1329" s="45">
        <v>0.75049999999999994</v>
      </c>
      <c r="K1329" s="322">
        <v>0.75049999999999994</v>
      </c>
      <c r="L1329" s="352">
        <v>0.75049999999999994</v>
      </c>
      <c r="M1329" s="352"/>
      <c r="N1329" s="322"/>
      <c r="O1329" s="352"/>
      <c r="P1329" s="352"/>
      <c r="Q1329" s="352"/>
      <c r="W1329" s="319"/>
    </row>
    <row r="1330" spans="1:25" x14ac:dyDescent="0.2">
      <c r="A1330" s="45"/>
      <c r="B1330" s="423" t="s">
        <v>1325</v>
      </c>
      <c r="C1330" s="45"/>
      <c r="D1330" s="352">
        <v>0.2495</v>
      </c>
      <c r="E1330" s="45"/>
      <c r="F1330" s="322">
        <v>0.2495</v>
      </c>
      <c r="G1330" s="322"/>
      <c r="H1330" s="322">
        <v>0.25740000000000002</v>
      </c>
      <c r="I1330" s="322"/>
      <c r="J1330" s="45">
        <v>0.2495</v>
      </c>
      <c r="K1330" s="352">
        <v>0.2495</v>
      </c>
      <c r="L1330" s="322">
        <v>0.2495</v>
      </c>
      <c r="M1330" s="322"/>
      <c r="N1330" s="322"/>
      <c r="O1330" s="322"/>
      <c r="P1330" s="322"/>
      <c r="Q1330" s="322"/>
      <c r="W1330" s="319"/>
    </row>
    <row r="1331" spans="1:25" x14ac:dyDescent="0.2">
      <c r="A1331" s="45"/>
      <c r="B1331" s="423" t="s">
        <v>1326</v>
      </c>
      <c r="C1331" s="45"/>
      <c r="D1331" s="321">
        <v>1.3324499999999999</v>
      </c>
      <c r="E1331" s="45"/>
      <c r="F1331" s="321">
        <v>1.3324499999999999</v>
      </c>
      <c r="G1331" s="321"/>
      <c r="H1331" s="321">
        <v>1.3466199999999999</v>
      </c>
      <c r="I1331" s="321"/>
      <c r="J1331" s="45">
        <v>1.3324499999999999</v>
      </c>
      <c r="K1331" s="321">
        <v>1.3324499999999999</v>
      </c>
      <c r="L1331" s="321">
        <v>1.3324499999999999</v>
      </c>
      <c r="M1331" s="321"/>
      <c r="N1331" s="321"/>
      <c r="O1331" s="321"/>
      <c r="P1331" s="321"/>
      <c r="Q1331" s="321"/>
      <c r="W1331" s="319"/>
    </row>
    <row r="1332" spans="1:25" x14ac:dyDescent="0.2">
      <c r="A1332" s="45"/>
      <c r="B1332" s="45"/>
      <c r="C1332" s="45"/>
      <c r="D1332" s="321"/>
      <c r="E1332" s="45"/>
      <c r="F1332" s="321"/>
      <c r="G1332" s="321"/>
      <c r="H1332" s="321"/>
      <c r="I1332" s="321"/>
      <c r="J1332" s="45"/>
      <c r="K1332" s="321"/>
      <c r="L1332" s="321"/>
      <c r="M1332" s="321"/>
      <c r="N1332" s="321"/>
      <c r="O1332" s="321"/>
      <c r="P1332" s="321"/>
      <c r="Q1332" s="321"/>
      <c r="W1332" s="319"/>
    </row>
    <row r="1333" spans="1:25" x14ac:dyDescent="0.2">
      <c r="A1333" s="45"/>
      <c r="B1333" s="45"/>
      <c r="C1333" s="45"/>
      <c r="D1333" s="45"/>
      <c r="E1333" s="45"/>
      <c r="F1333" s="45"/>
      <c r="G1333" s="45"/>
      <c r="H1333" s="45"/>
      <c r="I1333" s="45"/>
      <c r="J1333" s="45"/>
      <c r="K1333" s="45"/>
      <c r="L1333" s="45"/>
      <c r="M1333" s="45"/>
      <c r="N1333" s="45"/>
      <c r="O1333" s="45"/>
      <c r="P1333" s="45"/>
      <c r="Q1333" s="45"/>
      <c r="W1333" s="319"/>
    </row>
    <row r="1334" spans="1:25" x14ac:dyDescent="0.2">
      <c r="A1334" s="45"/>
      <c r="B1334" s="45"/>
      <c r="C1334" s="45"/>
      <c r="D1334" s="321"/>
      <c r="E1334" s="45"/>
      <c r="F1334" s="321"/>
      <c r="G1334" s="45"/>
      <c r="H1334" s="321"/>
      <c r="I1334" s="321"/>
      <c r="J1334" s="45"/>
      <c r="K1334" s="45"/>
      <c r="L1334" s="321"/>
      <c r="M1334" s="45"/>
      <c r="N1334" s="321"/>
      <c r="O1334" s="321"/>
      <c r="P1334" s="321"/>
      <c r="Q1334" s="45"/>
      <c r="W1334" s="319"/>
    </row>
    <row r="1335" spans="1:25" x14ac:dyDescent="0.2">
      <c r="A1335" s="45"/>
      <c r="B1335" s="45"/>
      <c r="C1335" s="45"/>
      <c r="D1335" s="45"/>
      <c r="E1335" s="45"/>
      <c r="F1335" s="45"/>
      <c r="G1335" s="45"/>
      <c r="H1335" s="45"/>
      <c r="I1335" s="45"/>
      <c r="J1335" s="45"/>
      <c r="K1335" s="45"/>
      <c r="L1335" s="45"/>
      <c r="M1335" s="45"/>
      <c r="N1335" s="45"/>
      <c r="O1335" s="45"/>
      <c r="P1335" s="45"/>
      <c r="Q1335" s="45"/>
      <c r="W1335" s="319"/>
    </row>
    <row r="1336" spans="1:25" x14ac:dyDescent="0.2">
      <c r="A1336" s="45"/>
      <c r="B1336" s="425" t="s">
        <v>823</v>
      </c>
      <c r="C1336" s="45"/>
      <c r="D1336" s="45"/>
      <c r="E1336" s="45"/>
      <c r="F1336" s="45"/>
      <c r="G1336" s="45"/>
      <c r="H1336" s="45"/>
      <c r="I1336" s="45"/>
      <c r="J1336" s="45"/>
      <c r="K1336" s="45"/>
      <c r="L1336" s="45"/>
      <c r="M1336" s="45"/>
      <c r="N1336" s="45"/>
      <c r="O1336" s="45"/>
      <c r="P1336" s="45"/>
      <c r="Q1336" s="45"/>
      <c r="W1336" s="319"/>
    </row>
    <row r="1337" spans="1:25" x14ac:dyDescent="0.2">
      <c r="A1337" s="45"/>
      <c r="B1337" s="45"/>
      <c r="C1337" s="45"/>
      <c r="D1337" s="45"/>
      <c r="E1337" s="45"/>
      <c r="F1337" s="45"/>
      <c r="G1337" s="45"/>
      <c r="H1337" s="45"/>
      <c r="I1337" s="45"/>
      <c r="J1337" s="45"/>
      <c r="K1337" s="45"/>
      <c r="L1337" s="45"/>
      <c r="M1337" s="45"/>
      <c r="N1337" s="45"/>
      <c r="O1337" s="45"/>
      <c r="P1337" s="45"/>
      <c r="Q1337" s="45"/>
      <c r="W1337" s="319"/>
    </row>
    <row r="1338" spans="1:25" x14ac:dyDescent="0.2">
      <c r="A1338" s="45"/>
      <c r="B1338" s="423" t="s">
        <v>824</v>
      </c>
      <c r="C1338" s="45"/>
      <c r="D1338" s="45"/>
      <c r="E1338" s="45"/>
      <c r="F1338" s="45"/>
      <c r="G1338" s="45"/>
      <c r="H1338" s="45"/>
      <c r="I1338" s="45"/>
      <c r="J1338" s="45"/>
      <c r="K1338" s="45"/>
      <c r="L1338" s="45"/>
      <c r="M1338" s="45"/>
      <c r="N1338" s="45"/>
      <c r="O1338" s="45"/>
      <c r="P1338" s="45"/>
      <c r="Q1338" s="45"/>
      <c r="W1338" s="319"/>
    </row>
    <row r="1339" spans="1:25" x14ac:dyDescent="0.2">
      <c r="A1339" s="45"/>
      <c r="B1339" s="423" t="s">
        <v>825</v>
      </c>
      <c r="C1339" s="45"/>
      <c r="D1339" s="45"/>
      <c r="E1339" s="45"/>
      <c r="F1339" s="45"/>
      <c r="G1339" s="45"/>
      <c r="H1339" s="45"/>
      <c r="I1339" s="45"/>
      <c r="J1339" s="45"/>
      <c r="K1339" s="45"/>
      <c r="L1339" s="45"/>
      <c r="M1339" s="45"/>
      <c r="N1339" s="45"/>
      <c r="O1339" s="45"/>
      <c r="P1339" s="45"/>
      <c r="Q1339" s="45"/>
      <c r="W1339" s="319"/>
    </row>
    <row r="1340" spans="1:25" x14ac:dyDescent="0.2">
      <c r="A1340" s="312"/>
      <c r="B1340" s="423" t="s">
        <v>826</v>
      </c>
      <c r="C1340" s="424"/>
      <c r="D1340" s="45"/>
      <c r="E1340" s="45"/>
      <c r="F1340" s="45"/>
      <c r="G1340" s="45"/>
      <c r="H1340" s="45"/>
      <c r="I1340" s="45"/>
      <c r="J1340" s="45"/>
      <c r="K1340" s="45"/>
      <c r="L1340" s="45"/>
      <c r="M1340" s="45"/>
      <c r="N1340" s="45"/>
      <c r="O1340" s="45"/>
      <c r="P1340" s="45"/>
      <c r="Q1340" s="45"/>
      <c r="W1340" s="319"/>
    </row>
    <row r="1341" spans="1:25" x14ac:dyDescent="0.2">
      <c r="A1341" s="312">
        <v>1</v>
      </c>
      <c r="B1341" s="426" t="s">
        <v>827</v>
      </c>
      <c r="C1341" s="424" t="s">
        <v>1378</v>
      </c>
      <c r="D1341" s="313">
        <v>2589103</v>
      </c>
      <c r="E1341" s="45"/>
      <c r="F1341" s="501">
        <v>2438484</v>
      </c>
      <c r="G1341" s="45"/>
      <c r="H1341" s="501">
        <v>97929</v>
      </c>
      <c r="I1341" s="312"/>
      <c r="J1341" s="491">
        <v>52691</v>
      </c>
      <c r="K1341" s="491">
        <v>27045</v>
      </c>
      <c r="L1341" s="501">
        <v>25646</v>
      </c>
      <c r="M1341" s="312"/>
      <c r="N1341" s="312"/>
      <c r="O1341" s="501">
        <v>2589103</v>
      </c>
      <c r="P1341" s="312">
        <v>501</v>
      </c>
      <c r="Q1341" s="312"/>
      <c r="R1341" s="490">
        <v>2589103</v>
      </c>
      <c r="S1341" s="53">
        <v>0</v>
      </c>
      <c r="T1341" s="319" t="s">
        <v>1784</v>
      </c>
      <c r="U1341" s="319"/>
      <c r="V1341" s="319"/>
      <c r="W1341" s="319"/>
      <c r="X1341" s="319"/>
      <c r="Y1341" s="319"/>
    </row>
    <row r="1342" spans="1:25" x14ac:dyDescent="0.2">
      <c r="A1342" s="312">
        <v>2</v>
      </c>
      <c r="B1342" s="426" t="s">
        <v>828</v>
      </c>
      <c r="C1342" s="424" t="s">
        <v>1378</v>
      </c>
      <c r="D1342" s="313">
        <v>11861057</v>
      </c>
      <c r="E1342" s="45"/>
      <c r="F1342" s="501">
        <v>11171048</v>
      </c>
      <c r="G1342" s="45"/>
      <c r="H1342" s="501">
        <v>448625</v>
      </c>
      <c r="I1342" s="312"/>
      <c r="J1342" s="491">
        <v>241383</v>
      </c>
      <c r="K1342" s="491">
        <v>123896</v>
      </c>
      <c r="L1342" s="501">
        <v>117488</v>
      </c>
      <c r="M1342" s="312"/>
      <c r="N1342" s="312"/>
      <c r="O1342" s="501">
        <v>11861057</v>
      </c>
      <c r="P1342" s="312">
        <v>510</v>
      </c>
      <c r="Q1342" s="312"/>
      <c r="R1342" s="490">
        <v>11861057</v>
      </c>
      <c r="S1342" s="53">
        <v>0</v>
      </c>
      <c r="T1342" s="319" t="s">
        <v>1784</v>
      </c>
      <c r="U1342" s="319"/>
      <c r="V1342" s="319"/>
      <c r="W1342" s="319"/>
      <c r="X1342" s="319"/>
      <c r="Y1342" s="319"/>
    </row>
    <row r="1343" spans="1:25" x14ac:dyDescent="0.2">
      <c r="A1343" s="312">
        <v>3</v>
      </c>
      <c r="B1343" s="426" t="s">
        <v>829</v>
      </c>
      <c r="C1343" s="424" t="s">
        <v>1378</v>
      </c>
      <c r="D1343" s="313">
        <v>10291871</v>
      </c>
      <c r="E1343" s="313"/>
      <c r="F1343" s="313">
        <v>9693149</v>
      </c>
      <c r="G1343" s="313"/>
      <c r="H1343" s="313">
        <v>389273</v>
      </c>
      <c r="I1343" s="313"/>
      <c r="J1343" s="313">
        <v>209449</v>
      </c>
      <c r="K1343" s="313">
        <v>107505</v>
      </c>
      <c r="L1343" s="313">
        <v>101944</v>
      </c>
      <c r="M1343" s="313"/>
      <c r="N1343" s="313"/>
      <c r="O1343" s="313">
        <v>10291871</v>
      </c>
      <c r="P1343" s="313">
        <v>512</v>
      </c>
      <c r="Q1343" s="313"/>
      <c r="R1343" s="313">
        <v>10291871</v>
      </c>
      <c r="S1343" s="313">
        <v>0</v>
      </c>
      <c r="T1343" s="313" t="s">
        <v>1784</v>
      </c>
      <c r="U1343" s="319"/>
      <c r="W1343" s="319"/>
      <c r="X1343" s="319"/>
      <c r="Y1343" s="319"/>
    </row>
    <row r="1344" spans="1:25" x14ac:dyDescent="0.2">
      <c r="A1344" s="312">
        <v>4</v>
      </c>
      <c r="B1344" s="426" t="s">
        <v>830</v>
      </c>
      <c r="C1344" s="424" t="s">
        <v>1378</v>
      </c>
      <c r="D1344" s="313">
        <v>2113260</v>
      </c>
      <c r="E1344" s="313"/>
      <c r="F1344" s="313">
        <v>1990323</v>
      </c>
      <c r="G1344" s="313"/>
      <c r="H1344" s="313">
        <v>79931</v>
      </c>
      <c r="I1344" s="313"/>
      <c r="J1344" s="313">
        <v>43007</v>
      </c>
      <c r="K1344" s="313">
        <v>22074</v>
      </c>
      <c r="L1344" s="313">
        <v>20933</v>
      </c>
      <c r="M1344" s="313"/>
      <c r="N1344" s="313"/>
      <c r="O1344" s="313">
        <v>2113260</v>
      </c>
      <c r="P1344" s="313">
        <v>513</v>
      </c>
      <c r="Q1344" s="313"/>
      <c r="R1344" s="313">
        <v>2113260</v>
      </c>
      <c r="S1344" s="313">
        <v>0</v>
      </c>
      <c r="T1344" s="313" t="s">
        <v>1784</v>
      </c>
      <c r="U1344" s="319"/>
      <c r="W1344" s="319"/>
      <c r="X1344" s="319"/>
      <c r="Y1344" s="319"/>
    </row>
    <row r="1345" spans="1:25" x14ac:dyDescent="0.2">
      <c r="A1345" s="312">
        <v>5</v>
      </c>
      <c r="B1345" s="426" t="s">
        <v>831</v>
      </c>
      <c r="C1345" s="424" t="s">
        <v>1378</v>
      </c>
      <c r="D1345" s="313">
        <v>0</v>
      </c>
      <c r="E1345" s="313"/>
      <c r="F1345" s="313">
        <v>0</v>
      </c>
      <c r="G1345" s="313"/>
      <c r="H1345" s="313">
        <v>0</v>
      </c>
      <c r="I1345" s="313"/>
      <c r="J1345" s="313">
        <v>0</v>
      </c>
      <c r="K1345" s="313">
        <v>0</v>
      </c>
      <c r="L1345" s="313">
        <v>0</v>
      </c>
      <c r="M1345" s="313"/>
      <c r="N1345" s="313"/>
      <c r="O1345" s="313">
        <v>0</v>
      </c>
      <c r="P1345" s="313">
        <v>547</v>
      </c>
      <c r="Q1345" s="313"/>
      <c r="R1345" s="313">
        <v>0</v>
      </c>
      <c r="S1345" s="313">
        <v>0</v>
      </c>
      <c r="T1345" s="313" t="s">
        <v>1784</v>
      </c>
      <c r="U1345" s="319"/>
      <c r="W1345" s="319"/>
      <c r="X1345" s="319"/>
      <c r="Y1345" s="319"/>
    </row>
    <row r="1346" spans="1:25" x14ac:dyDescent="0.2">
      <c r="A1346" s="312"/>
      <c r="B1346" s="426"/>
      <c r="C1346" s="424"/>
      <c r="D1346" s="313"/>
      <c r="E1346" s="313"/>
      <c r="F1346" s="313"/>
      <c r="G1346" s="313"/>
      <c r="H1346" s="313"/>
      <c r="I1346" s="313"/>
      <c r="J1346" s="313"/>
      <c r="K1346" s="313"/>
      <c r="L1346" s="313"/>
      <c r="M1346" s="313"/>
      <c r="N1346" s="313"/>
      <c r="O1346" s="313"/>
      <c r="P1346" s="313"/>
      <c r="Q1346" s="313"/>
      <c r="R1346" s="313"/>
      <c r="S1346" s="313"/>
      <c r="T1346" s="313"/>
      <c r="U1346" s="319"/>
      <c r="W1346" s="319"/>
      <c r="X1346" s="319"/>
      <c r="Y1346" s="319"/>
    </row>
    <row r="1347" spans="1:25" x14ac:dyDescent="0.2">
      <c r="A1347" s="312">
        <v>6</v>
      </c>
      <c r="B1347" s="426" t="s">
        <v>832</v>
      </c>
      <c r="C1347" s="424"/>
      <c r="D1347" s="313">
        <v>26855291</v>
      </c>
      <c r="E1347" s="313"/>
      <c r="F1347" s="313">
        <v>25293003</v>
      </c>
      <c r="G1347" s="313"/>
      <c r="H1347" s="313">
        <v>1015758</v>
      </c>
      <c r="I1347" s="313"/>
      <c r="J1347" s="313">
        <v>546530</v>
      </c>
      <c r="K1347" s="313">
        <v>280520</v>
      </c>
      <c r="L1347" s="313">
        <v>266010</v>
      </c>
      <c r="M1347" s="313"/>
      <c r="N1347" s="313"/>
      <c r="O1347" s="313"/>
      <c r="P1347" s="313"/>
      <c r="Q1347" s="313"/>
      <c r="R1347" s="313"/>
      <c r="S1347" s="313"/>
      <c r="T1347" s="313"/>
      <c r="U1347" s="319"/>
      <c r="W1347" s="319"/>
      <c r="X1347" s="319"/>
      <c r="Y1347" s="319"/>
    </row>
    <row r="1348" spans="1:25" x14ac:dyDescent="0.2">
      <c r="A1348" s="312"/>
      <c r="B1348" s="426"/>
      <c r="C1348" s="424"/>
      <c r="D1348" s="313"/>
      <c r="E1348" s="313"/>
      <c r="F1348" s="313"/>
      <c r="G1348" s="313"/>
      <c r="H1348" s="313"/>
      <c r="I1348" s="313"/>
      <c r="J1348" s="313"/>
      <c r="K1348" s="313"/>
      <c r="L1348" s="313"/>
      <c r="M1348" s="313"/>
      <c r="N1348" s="313"/>
      <c r="O1348" s="313"/>
      <c r="P1348" s="313"/>
      <c r="Q1348" s="313"/>
      <c r="R1348" s="313"/>
      <c r="S1348" s="313"/>
      <c r="T1348" s="313"/>
      <c r="U1348" s="319"/>
      <c r="W1348" s="319"/>
      <c r="X1348" s="319"/>
      <c r="Y1348" s="319"/>
    </row>
    <row r="1349" spans="1:25" x14ac:dyDescent="0.2">
      <c r="A1349" s="312"/>
      <c r="B1349" s="423" t="s">
        <v>833</v>
      </c>
      <c r="C1349" s="424"/>
      <c r="D1349" s="313"/>
      <c r="E1349" s="313"/>
      <c r="F1349" s="313"/>
      <c r="G1349" s="313"/>
      <c r="H1349" s="313"/>
      <c r="I1349" s="313"/>
      <c r="J1349" s="313"/>
      <c r="K1349" s="313"/>
      <c r="L1349" s="313"/>
      <c r="M1349" s="313"/>
      <c r="N1349" s="313"/>
      <c r="O1349" s="313"/>
      <c r="P1349" s="313"/>
      <c r="Q1349" s="313"/>
      <c r="R1349" s="313"/>
      <c r="S1349" s="313"/>
      <c r="T1349" s="313"/>
      <c r="U1349" s="319"/>
      <c r="W1349" s="319"/>
      <c r="X1349" s="319"/>
      <c r="Y1349" s="319"/>
    </row>
    <row r="1350" spans="1:25" x14ac:dyDescent="0.2">
      <c r="A1350" s="312">
        <v>7</v>
      </c>
      <c r="B1350" s="426" t="s">
        <v>834</v>
      </c>
      <c r="C1350" s="424" t="s">
        <v>913</v>
      </c>
      <c r="D1350" s="313">
        <v>4557162</v>
      </c>
      <c r="E1350" s="313"/>
      <c r="F1350" s="313">
        <v>4272282</v>
      </c>
      <c r="G1350" s="313"/>
      <c r="H1350" s="313">
        <v>194834</v>
      </c>
      <c r="I1350" s="313"/>
      <c r="J1350" s="313">
        <v>90045</v>
      </c>
      <c r="K1350" s="313">
        <v>45676</v>
      </c>
      <c r="L1350" s="313">
        <v>44369</v>
      </c>
      <c r="M1350" s="313"/>
      <c r="N1350" s="313"/>
      <c r="O1350" s="313">
        <v>4557162</v>
      </c>
      <c r="P1350" s="313">
        <v>500</v>
      </c>
      <c r="Q1350" s="313"/>
      <c r="R1350" s="313">
        <v>4557162</v>
      </c>
      <c r="S1350" s="313">
        <v>0</v>
      </c>
      <c r="T1350" s="313" t="s">
        <v>1784</v>
      </c>
      <c r="U1350" s="319"/>
      <c r="W1350" s="319"/>
      <c r="X1350" s="319"/>
      <c r="Y1350" s="319"/>
    </row>
    <row r="1351" spans="1:25" x14ac:dyDescent="0.2">
      <c r="A1351" s="312">
        <v>8</v>
      </c>
      <c r="B1351" s="426" t="s">
        <v>835</v>
      </c>
      <c r="C1351" s="424" t="s">
        <v>913</v>
      </c>
      <c r="D1351" s="313">
        <v>10292931</v>
      </c>
      <c r="E1351" s="313"/>
      <c r="F1351" s="313">
        <v>9649494</v>
      </c>
      <c r="G1351" s="313"/>
      <c r="H1351" s="313">
        <v>440058</v>
      </c>
      <c r="I1351" s="313"/>
      <c r="J1351" s="313">
        <v>203379</v>
      </c>
      <c r="K1351" s="313">
        <v>103165</v>
      </c>
      <c r="L1351" s="313">
        <v>100214</v>
      </c>
      <c r="M1351" s="313"/>
      <c r="N1351" s="313"/>
      <c r="O1351" s="313">
        <v>10292931</v>
      </c>
      <c r="P1351" s="313">
        <v>502</v>
      </c>
      <c r="Q1351" s="313"/>
      <c r="R1351" s="313">
        <v>10292931</v>
      </c>
      <c r="S1351" s="313">
        <v>0</v>
      </c>
      <c r="T1351" s="313" t="s">
        <v>1784</v>
      </c>
      <c r="U1351" s="319"/>
      <c r="W1351" s="319"/>
      <c r="X1351" s="319"/>
      <c r="Y1351" s="319"/>
    </row>
    <row r="1352" spans="1:25" x14ac:dyDescent="0.2">
      <c r="A1352" s="312">
        <v>9</v>
      </c>
      <c r="B1352" s="426" t="s">
        <v>836</v>
      </c>
      <c r="C1352" s="424" t="s">
        <v>913</v>
      </c>
      <c r="D1352" s="313">
        <v>7117971</v>
      </c>
      <c r="E1352" s="313"/>
      <c r="F1352" s="313">
        <v>6673009</v>
      </c>
      <c r="G1352" s="313"/>
      <c r="H1352" s="313">
        <v>304317</v>
      </c>
      <c r="I1352" s="313"/>
      <c r="J1352" s="313">
        <v>140645</v>
      </c>
      <c r="K1352" s="313">
        <v>71343</v>
      </c>
      <c r="L1352" s="313">
        <v>69302</v>
      </c>
      <c r="M1352" s="313"/>
      <c r="N1352" s="313"/>
      <c r="O1352" s="313">
        <v>7117971</v>
      </c>
      <c r="P1352" s="313">
        <v>505</v>
      </c>
      <c r="Q1352" s="313"/>
      <c r="R1352" s="313">
        <v>7117971</v>
      </c>
      <c r="S1352" s="313">
        <v>0</v>
      </c>
      <c r="T1352" s="313" t="s">
        <v>1784</v>
      </c>
      <c r="U1352" s="319"/>
      <c r="W1352" s="319"/>
      <c r="X1352" s="319"/>
      <c r="Y1352" s="319"/>
    </row>
    <row r="1353" spans="1:25" x14ac:dyDescent="0.2">
      <c r="A1353" s="312">
        <v>10</v>
      </c>
      <c r="B1353" s="426" t="s">
        <v>837</v>
      </c>
      <c r="C1353" s="424" t="s">
        <v>913</v>
      </c>
      <c r="D1353" s="313">
        <v>4273134</v>
      </c>
      <c r="E1353" s="313"/>
      <c r="F1353" s="313">
        <v>4006010</v>
      </c>
      <c r="G1353" s="313"/>
      <c r="H1353" s="313">
        <v>182691</v>
      </c>
      <c r="I1353" s="313"/>
      <c r="J1353" s="313">
        <v>84433</v>
      </c>
      <c r="K1353" s="313">
        <v>42829</v>
      </c>
      <c r="L1353" s="313">
        <v>41604</v>
      </c>
      <c r="M1353" s="313"/>
      <c r="N1353" s="313"/>
      <c r="O1353" s="313">
        <v>4273134</v>
      </c>
      <c r="P1353" s="313">
        <v>506</v>
      </c>
      <c r="Q1353" s="313"/>
      <c r="R1353" s="313">
        <v>4273134</v>
      </c>
      <c r="S1353" s="313">
        <v>0</v>
      </c>
      <c r="T1353" s="313" t="s">
        <v>1784</v>
      </c>
      <c r="U1353" s="319"/>
      <c r="W1353" s="319"/>
      <c r="X1353" s="319"/>
      <c r="Y1353" s="319"/>
    </row>
    <row r="1354" spans="1:25" x14ac:dyDescent="0.2">
      <c r="A1354" s="312">
        <v>11</v>
      </c>
      <c r="B1354" s="426" t="s">
        <v>838</v>
      </c>
      <c r="C1354" s="424" t="s">
        <v>913</v>
      </c>
      <c r="D1354" s="313">
        <v>0</v>
      </c>
      <c r="E1354" s="313"/>
      <c r="F1354" s="313">
        <v>0</v>
      </c>
      <c r="G1354" s="313"/>
      <c r="H1354" s="313">
        <v>0</v>
      </c>
      <c r="I1354" s="313"/>
      <c r="J1354" s="313">
        <v>0</v>
      </c>
      <c r="K1354" s="313">
        <v>0</v>
      </c>
      <c r="L1354" s="313">
        <v>0</v>
      </c>
      <c r="M1354" s="313"/>
      <c r="N1354" s="313"/>
      <c r="O1354" s="313">
        <v>0</v>
      </c>
      <c r="P1354" s="313">
        <v>509</v>
      </c>
      <c r="Q1354" s="313"/>
      <c r="R1354" s="313">
        <v>0</v>
      </c>
      <c r="S1354" s="313">
        <v>0</v>
      </c>
      <c r="T1354" s="313" t="s">
        <v>1784</v>
      </c>
      <c r="U1354" s="319"/>
      <c r="W1354" s="319"/>
      <c r="X1354" s="319"/>
      <c r="Y1354" s="319"/>
    </row>
    <row r="1355" spans="1:25" x14ac:dyDescent="0.2">
      <c r="A1355" s="312">
        <v>12</v>
      </c>
      <c r="B1355" s="426" t="s">
        <v>839</v>
      </c>
      <c r="C1355" s="424" t="s">
        <v>913</v>
      </c>
      <c r="D1355" s="313">
        <v>1575978</v>
      </c>
      <c r="E1355" s="313"/>
      <c r="F1355" s="313">
        <v>1477460</v>
      </c>
      <c r="G1355" s="313"/>
      <c r="H1355" s="313">
        <v>67378</v>
      </c>
      <c r="I1355" s="313"/>
      <c r="J1355" s="313">
        <v>31140</v>
      </c>
      <c r="K1355" s="313">
        <v>15796</v>
      </c>
      <c r="L1355" s="313">
        <v>15344</v>
      </c>
      <c r="M1355" s="313"/>
      <c r="N1355" s="313"/>
      <c r="O1355" s="313">
        <v>1575978</v>
      </c>
      <c r="P1355" s="313">
        <v>511</v>
      </c>
      <c r="Q1355" s="313"/>
      <c r="R1355" s="313">
        <v>1575978</v>
      </c>
      <c r="S1355" s="313">
        <v>0</v>
      </c>
      <c r="T1355" s="313" t="s">
        <v>1784</v>
      </c>
      <c r="U1355" s="319"/>
      <c r="W1355" s="319"/>
      <c r="X1355" s="319"/>
      <c r="Y1355" s="319"/>
    </row>
    <row r="1356" spans="1:25" x14ac:dyDescent="0.2">
      <c r="A1356" s="312">
        <v>13</v>
      </c>
      <c r="B1356" s="426" t="s">
        <v>840</v>
      </c>
      <c r="C1356" s="424" t="s">
        <v>913</v>
      </c>
      <c r="D1356" s="313">
        <v>462930</v>
      </c>
      <c r="E1356" s="313"/>
      <c r="F1356" s="313">
        <v>433991</v>
      </c>
      <c r="G1356" s="313"/>
      <c r="H1356" s="313">
        <v>19792</v>
      </c>
      <c r="I1356" s="313"/>
      <c r="J1356" s="313">
        <v>9147</v>
      </c>
      <c r="K1356" s="313">
        <v>4640</v>
      </c>
      <c r="L1356" s="313">
        <v>4507</v>
      </c>
      <c r="M1356" s="313"/>
      <c r="N1356" s="313"/>
      <c r="O1356" s="313">
        <v>462930</v>
      </c>
      <c r="P1356" s="313">
        <v>514</v>
      </c>
      <c r="Q1356" s="313"/>
      <c r="R1356" s="313">
        <v>462930</v>
      </c>
      <c r="S1356" s="313">
        <v>0</v>
      </c>
      <c r="T1356" s="313" t="s">
        <v>1784</v>
      </c>
      <c r="U1356" s="319"/>
      <c r="W1356" s="319"/>
      <c r="X1356" s="319"/>
      <c r="Y1356" s="319"/>
    </row>
    <row r="1357" spans="1:25" x14ac:dyDescent="0.2">
      <c r="A1357" s="312">
        <v>14</v>
      </c>
      <c r="B1357" s="426" t="s">
        <v>1194</v>
      </c>
      <c r="C1357" s="424" t="s">
        <v>913</v>
      </c>
      <c r="D1357" s="313">
        <v>0</v>
      </c>
      <c r="E1357" s="313"/>
      <c r="F1357" s="313">
        <v>0</v>
      </c>
      <c r="G1357" s="313"/>
      <c r="H1357" s="313">
        <v>0</v>
      </c>
      <c r="I1357" s="313"/>
      <c r="J1357" s="313">
        <v>0</v>
      </c>
      <c r="K1357" s="313">
        <v>0</v>
      </c>
      <c r="L1357" s="313">
        <v>0</v>
      </c>
      <c r="M1357" s="313"/>
      <c r="N1357" s="313"/>
      <c r="O1357" s="313">
        <v>0</v>
      </c>
      <c r="P1357" s="313">
        <v>535</v>
      </c>
      <c r="Q1357" s="313"/>
      <c r="R1357" s="313">
        <v>0</v>
      </c>
      <c r="S1357" s="313">
        <v>0</v>
      </c>
      <c r="T1357" s="313" t="s">
        <v>1784</v>
      </c>
      <c r="U1357" s="319"/>
      <c r="W1357" s="319"/>
      <c r="X1357" s="319"/>
      <c r="Y1357" s="319"/>
    </row>
    <row r="1358" spans="1:25" x14ac:dyDescent="0.2">
      <c r="A1358" s="312">
        <v>15</v>
      </c>
      <c r="B1358" s="426" t="s">
        <v>1195</v>
      </c>
      <c r="C1358" s="424" t="s">
        <v>913</v>
      </c>
      <c r="D1358" s="313">
        <v>0</v>
      </c>
      <c r="E1358" s="313"/>
      <c r="F1358" s="313">
        <v>0</v>
      </c>
      <c r="G1358" s="313"/>
      <c r="H1358" s="313">
        <v>0</v>
      </c>
      <c r="I1358" s="313"/>
      <c r="J1358" s="313">
        <v>0</v>
      </c>
      <c r="K1358" s="313">
        <v>0</v>
      </c>
      <c r="L1358" s="313">
        <v>0</v>
      </c>
      <c r="M1358" s="313"/>
      <c r="N1358" s="313"/>
      <c r="O1358" s="313">
        <v>0</v>
      </c>
      <c r="P1358" s="313">
        <v>538</v>
      </c>
      <c r="Q1358" s="313"/>
      <c r="R1358" s="313">
        <v>0</v>
      </c>
      <c r="S1358" s="313">
        <v>0</v>
      </c>
      <c r="T1358" s="313" t="s">
        <v>1784</v>
      </c>
      <c r="U1358" s="319"/>
      <c r="W1358" s="319"/>
      <c r="X1358" s="319"/>
      <c r="Y1358" s="319"/>
    </row>
    <row r="1359" spans="1:25" x14ac:dyDescent="0.2">
      <c r="A1359" s="312">
        <v>16</v>
      </c>
      <c r="B1359" s="426" t="s">
        <v>1196</v>
      </c>
      <c r="C1359" s="424" t="s">
        <v>913</v>
      </c>
      <c r="D1359" s="313">
        <v>0</v>
      </c>
      <c r="E1359" s="313"/>
      <c r="F1359" s="313">
        <v>0</v>
      </c>
      <c r="G1359" s="313"/>
      <c r="H1359" s="313">
        <v>0</v>
      </c>
      <c r="I1359" s="313"/>
      <c r="J1359" s="313">
        <v>0</v>
      </c>
      <c r="K1359" s="313">
        <v>0</v>
      </c>
      <c r="L1359" s="313">
        <v>0</v>
      </c>
      <c r="M1359" s="313"/>
      <c r="N1359" s="313"/>
      <c r="O1359" s="313">
        <v>0</v>
      </c>
      <c r="P1359" s="313">
        <v>539</v>
      </c>
      <c r="Q1359" s="313"/>
      <c r="R1359" s="313">
        <v>0</v>
      </c>
      <c r="S1359" s="313">
        <v>0</v>
      </c>
      <c r="T1359" s="313" t="s">
        <v>1784</v>
      </c>
      <c r="U1359" s="319"/>
      <c r="W1359" s="319"/>
      <c r="X1359" s="319"/>
      <c r="Y1359" s="319"/>
    </row>
    <row r="1360" spans="1:25" x14ac:dyDescent="0.2">
      <c r="A1360" s="312">
        <v>17</v>
      </c>
      <c r="B1360" s="426" t="s">
        <v>1197</v>
      </c>
      <c r="C1360" s="424" t="s">
        <v>913</v>
      </c>
      <c r="D1360" s="313">
        <v>171053</v>
      </c>
      <c r="E1360" s="313"/>
      <c r="F1360" s="313">
        <v>160360</v>
      </c>
      <c r="G1360" s="313"/>
      <c r="H1360" s="313">
        <v>7313</v>
      </c>
      <c r="I1360" s="313"/>
      <c r="J1360" s="313">
        <v>3380</v>
      </c>
      <c r="K1360" s="313">
        <v>1714</v>
      </c>
      <c r="L1360" s="313">
        <v>1665</v>
      </c>
      <c r="M1360" s="313"/>
      <c r="N1360" s="313"/>
      <c r="O1360" s="313">
        <v>171053</v>
      </c>
      <c r="P1360" s="313">
        <v>541</v>
      </c>
      <c r="Q1360" s="313"/>
      <c r="R1360" s="313">
        <v>171053</v>
      </c>
      <c r="S1360" s="313">
        <v>0</v>
      </c>
      <c r="T1360" s="313" t="s">
        <v>1784</v>
      </c>
      <c r="U1360" s="319"/>
      <c r="W1360" s="319"/>
      <c r="X1360" s="319"/>
      <c r="Y1360" s="319"/>
    </row>
    <row r="1361" spans="1:25" x14ac:dyDescent="0.2">
      <c r="A1361" s="312">
        <v>18</v>
      </c>
      <c r="B1361" s="426" t="s">
        <v>1198</v>
      </c>
      <c r="C1361" s="424" t="s">
        <v>913</v>
      </c>
      <c r="D1361" s="313">
        <v>46279</v>
      </c>
      <c r="E1361" s="313"/>
      <c r="F1361" s="313">
        <v>43386</v>
      </c>
      <c r="G1361" s="313"/>
      <c r="H1361" s="313">
        <v>1979</v>
      </c>
      <c r="I1361" s="313"/>
      <c r="J1361" s="313">
        <v>914</v>
      </c>
      <c r="K1361" s="313">
        <v>464</v>
      </c>
      <c r="L1361" s="313">
        <v>451</v>
      </c>
      <c r="M1361" s="313"/>
      <c r="N1361" s="313"/>
      <c r="O1361" s="313">
        <v>46279</v>
      </c>
      <c r="P1361" s="313">
        <v>542</v>
      </c>
      <c r="Q1361" s="313"/>
      <c r="R1361" s="313">
        <v>46279</v>
      </c>
      <c r="S1361" s="313">
        <v>0</v>
      </c>
      <c r="T1361" s="313" t="s">
        <v>1784</v>
      </c>
      <c r="U1361" s="319"/>
      <c r="W1361" s="319"/>
      <c r="X1361" s="319"/>
      <c r="Y1361" s="319"/>
    </row>
    <row r="1362" spans="1:25" x14ac:dyDescent="0.2">
      <c r="A1362" s="312">
        <v>19</v>
      </c>
      <c r="B1362" s="426" t="s">
        <v>2218</v>
      </c>
      <c r="C1362" s="424" t="s">
        <v>913</v>
      </c>
      <c r="D1362" s="313">
        <v>972</v>
      </c>
      <c r="E1362" s="313"/>
      <c r="F1362" s="313">
        <v>911</v>
      </c>
      <c r="G1362" s="313"/>
      <c r="H1362" s="313">
        <v>42</v>
      </c>
      <c r="I1362" s="313"/>
      <c r="J1362" s="313">
        <v>19</v>
      </c>
      <c r="K1362" s="313">
        <v>10</v>
      </c>
      <c r="L1362" s="313">
        <v>9</v>
      </c>
      <c r="M1362" s="313"/>
      <c r="N1362" s="313"/>
      <c r="O1362" s="313">
        <v>972</v>
      </c>
      <c r="P1362" s="313">
        <v>543</v>
      </c>
      <c r="Q1362" s="313"/>
      <c r="R1362" s="313">
        <v>972</v>
      </c>
      <c r="S1362" s="313">
        <v>0</v>
      </c>
      <c r="T1362" s="313" t="s">
        <v>1784</v>
      </c>
      <c r="U1362" s="319"/>
      <c r="W1362" s="319"/>
      <c r="X1362" s="319"/>
      <c r="Y1362" s="319"/>
    </row>
    <row r="1363" spans="1:25" x14ac:dyDescent="0.2">
      <c r="A1363" s="312">
        <v>20</v>
      </c>
      <c r="B1363" s="426" t="s">
        <v>1199</v>
      </c>
      <c r="C1363" s="424" t="s">
        <v>913</v>
      </c>
      <c r="D1363" s="313">
        <v>24226</v>
      </c>
      <c r="E1363" s="313"/>
      <c r="F1363" s="313">
        <v>22712</v>
      </c>
      <c r="G1363" s="313"/>
      <c r="H1363" s="313">
        <v>1036</v>
      </c>
      <c r="I1363" s="313"/>
      <c r="J1363" s="313">
        <v>479</v>
      </c>
      <c r="K1363" s="313">
        <v>243</v>
      </c>
      <c r="L1363" s="313">
        <v>236</v>
      </c>
      <c r="M1363" s="313"/>
      <c r="N1363" s="313"/>
      <c r="O1363" s="313">
        <v>24226</v>
      </c>
      <c r="P1363" s="313">
        <v>544</v>
      </c>
      <c r="Q1363" s="313"/>
      <c r="R1363" s="313">
        <v>24226</v>
      </c>
      <c r="S1363" s="313">
        <v>0</v>
      </c>
      <c r="T1363" s="313" t="s">
        <v>1784</v>
      </c>
      <c r="U1363" s="319"/>
      <c r="W1363" s="319"/>
      <c r="X1363" s="319"/>
      <c r="Y1363" s="319"/>
    </row>
    <row r="1364" spans="1:25" x14ac:dyDescent="0.2">
      <c r="A1364" s="312">
        <v>21</v>
      </c>
      <c r="B1364" s="426" t="s">
        <v>1200</v>
      </c>
      <c r="C1364" s="424" t="s">
        <v>913</v>
      </c>
      <c r="D1364" s="313">
        <v>714</v>
      </c>
      <c r="E1364" s="313"/>
      <c r="F1364" s="313">
        <v>669</v>
      </c>
      <c r="G1364" s="313"/>
      <c r="H1364" s="313">
        <v>31</v>
      </c>
      <c r="I1364" s="313"/>
      <c r="J1364" s="313">
        <v>14</v>
      </c>
      <c r="K1364" s="313">
        <v>7</v>
      </c>
      <c r="L1364" s="313">
        <v>7</v>
      </c>
      <c r="M1364" s="313"/>
      <c r="N1364" s="313"/>
      <c r="O1364" s="313">
        <v>714</v>
      </c>
      <c r="P1364" s="313">
        <v>545</v>
      </c>
      <c r="Q1364" s="313"/>
      <c r="R1364" s="313">
        <v>714</v>
      </c>
      <c r="S1364" s="313">
        <v>0</v>
      </c>
      <c r="T1364" s="313" t="s">
        <v>1784</v>
      </c>
      <c r="U1364" s="319"/>
      <c r="W1364" s="319"/>
      <c r="X1364" s="319"/>
      <c r="Y1364" s="319"/>
    </row>
    <row r="1365" spans="1:25" x14ac:dyDescent="0.2">
      <c r="A1365" s="312">
        <v>22</v>
      </c>
      <c r="B1365" s="426" t="s">
        <v>1201</v>
      </c>
      <c r="C1365" s="424" t="s">
        <v>913</v>
      </c>
      <c r="D1365" s="313">
        <v>562721</v>
      </c>
      <c r="E1365" s="313"/>
      <c r="F1365" s="313">
        <v>527544</v>
      </c>
      <c r="G1365" s="313"/>
      <c r="H1365" s="313">
        <v>24058</v>
      </c>
      <c r="I1365" s="313"/>
      <c r="J1365" s="313">
        <v>11119</v>
      </c>
      <c r="K1365" s="313">
        <v>5640</v>
      </c>
      <c r="L1365" s="313">
        <v>5479</v>
      </c>
      <c r="M1365" s="313"/>
      <c r="N1365" s="313"/>
      <c r="O1365" s="313">
        <v>562721</v>
      </c>
      <c r="P1365" s="313">
        <v>546</v>
      </c>
      <c r="Q1365" s="313"/>
      <c r="R1365" s="313">
        <v>562721</v>
      </c>
      <c r="S1365" s="313">
        <v>0</v>
      </c>
      <c r="T1365" s="313" t="s">
        <v>1784</v>
      </c>
      <c r="U1365" s="319"/>
      <c r="W1365" s="319"/>
      <c r="X1365" s="319"/>
      <c r="Y1365" s="319"/>
    </row>
    <row r="1366" spans="1:25" x14ac:dyDescent="0.2">
      <c r="A1366" s="312">
        <v>23</v>
      </c>
      <c r="B1366" s="426" t="s">
        <v>1202</v>
      </c>
      <c r="C1366" s="424" t="s">
        <v>913</v>
      </c>
      <c r="D1366" s="313">
        <v>409208</v>
      </c>
      <c r="E1366" s="313"/>
      <c r="F1366" s="313">
        <v>383627</v>
      </c>
      <c r="G1366" s="313"/>
      <c r="H1366" s="313">
        <v>17495</v>
      </c>
      <c r="I1366" s="313"/>
      <c r="J1366" s="313">
        <v>8086</v>
      </c>
      <c r="K1366" s="313">
        <v>4101</v>
      </c>
      <c r="L1366" s="313">
        <v>3984</v>
      </c>
      <c r="M1366" s="313"/>
      <c r="N1366" s="313"/>
      <c r="O1366" s="313">
        <v>409208</v>
      </c>
      <c r="P1366" s="313">
        <v>548</v>
      </c>
      <c r="Q1366" s="313"/>
      <c r="R1366" s="313">
        <v>409208</v>
      </c>
      <c r="S1366" s="313">
        <v>0</v>
      </c>
      <c r="T1366" s="313" t="s">
        <v>1784</v>
      </c>
      <c r="U1366" s="319"/>
      <c r="W1366" s="319"/>
      <c r="X1366" s="319"/>
      <c r="Y1366" s="319"/>
    </row>
    <row r="1367" spans="1:25" x14ac:dyDescent="0.2">
      <c r="A1367" s="312">
        <v>24</v>
      </c>
      <c r="B1367" s="426" t="s">
        <v>1203</v>
      </c>
      <c r="C1367" s="424" t="s">
        <v>913</v>
      </c>
      <c r="D1367" s="313">
        <v>2941554</v>
      </c>
      <c r="E1367" s="313"/>
      <c r="F1367" s="313">
        <v>2757670</v>
      </c>
      <c r="G1367" s="313"/>
      <c r="H1367" s="313">
        <v>125761</v>
      </c>
      <c r="I1367" s="313"/>
      <c r="J1367" s="313">
        <v>58123</v>
      </c>
      <c r="K1367" s="313">
        <v>29483</v>
      </c>
      <c r="L1367" s="313">
        <v>28640</v>
      </c>
      <c r="M1367" s="313"/>
      <c r="N1367" s="313"/>
      <c r="O1367" s="313">
        <v>2941554</v>
      </c>
      <c r="P1367" s="313">
        <v>549</v>
      </c>
      <c r="Q1367" s="313"/>
      <c r="R1367" s="313">
        <v>2941554</v>
      </c>
      <c r="S1367" s="313">
        <v>0</v>
      </c>
      <c r="T1367" s="313" t="s">
        <v>1784</v>
      </c>
      <c r="U1367" s="319"/>
      <c r="W1367" s="319"/>
      <c r="X1367" s="319"/>
      <c r="Y1367" s="319"/>
    </row>
    <row r="1368" spans="1:25" x14ac:dyDescent="0.2">
      <c r="A1368" s="312">
        <v>25</v>
      </c>
      <c r="B1368" s="426" t="s">
        <v>1204</v>
      </c>
      <c r="C1368" s="424" t="s">
        <v>913</v>
      </c>
      <c r="D1368" s="313">
        <v>0</v>
      </c>
      <c r="E1368" s="313"/>
      <c r="F1368" s="313">
        <v>0</v>
      </c>
      <c r="G1368" s="313"/>
      <c r="H1368" s="313">
        <v>0</v>
      </c>
      <c r="I1368" s="313"/>
      <c r="J1368" s="313">
        <v>0</v>
      </c>
      <c r="K1368" s="313">
        <v>0</v>
      </c>
      <c r="L1368" s="313">
        <v>0</v>
      </c>
      <c r="M1368" s="313"/>
      <c r="N1368" s="313"/>
      <c r="O1368" s="313">
        <v>0</v>
      </c>
      <c r="P1368" s="313">
        <v>550</v>
      </c>
      <c r="Q1368" s="313"/>
      <c r="R1368" s="313">
        <v>0</v>
      </c>
      <c r="S1368" s="313">
        <v>0</v>
      </c>
      <c r="T1368" s="313" t="s">
        <v>1784</v>
      </c>
      <c r="U1368" s="319"/>
      <c r="W1368" s="319"/>
      <c r="X1368" s="319"/>
      <c r="Y1368" s="319"/>
    </row>
    <row r="1369" spans="1:25" x14ac:dyDescent="0.2">
      <c r="A1369" s="312">
        <v>26</v>
      </c>
      <c r="B1369" s="426" t="s">
        <v>1205</v>
      </c>
      <c r="C1369" s="424" t="s">
        <v>913</v>
      </c>
      <c r="D1369" s="313">
        <v>781276</v>
      </c>
      <c r="E1369" s="313"/>
      <c r="F1369" s="313">
        <v>732436</v>
      </c>
      <c r="G1369" s="313"/>
      <c r="H1369" s="313">
        <v>33402</v>
      </c>
      <c r="I1369" s="313"/>
      <c r="J1369" s="313">
        <v>15437</v>
      </c>
      <c r="K1369" s="313">
        <v>7831</v>
      </c>
      <c r="L1369" s="313">
        <v>7607</v>
      </c>
      <c r="M1369" s="313"/>
      <c r="N1369" s="313"/>
      <c r="O1369" s="313">
        <v>781276</v>
      </c>
      <c r="P1369" s="313">
        <v>551</v>
      </c>
      <c r="Q1369" s="313"/>
      <c r="R1369" s="313">
        <v>781276</v>
      </c>
      <c r="S1369" s="313">
        <v>0</v>
      </c>
      <c r="T1369" s="313" t="s">
        <v>1784</v>
      </c>
      <c r="U1369" s="319"/>
      <c r="W1369" s="319"/>
      <c r="X1369" s="319"/>
      <c r="Y1369" s="319"/>
    </row>
    <row r="1370" spans="1:25" x14ac:dyDescent="0.2">
      <c r="A1370" s="312">
        <v>27</v>
      </c>
      <c r="B1370" s="426" t="s">
        <v>1206</v>
      </c>
      <c r="C1370" s="424" t="s">
        <v>913</v>
      </c>
      <c r="D1370" s="313">
        <v>375394</v>
      </c>
      <c r="E1370" s="313"/>
      <c r="F1370" s="313">
        <v>351927</v>
      </c>
      <c r="G1370" s="313"/>
      <c r="H1370" s="313">
        <v>16049</v>
      </c>
      <c r="I1370" s="313"/>
      <c r="J1370" s="313">
        <v>7417</v>
      </c>
      <c r="K1370" s="313">
        <v>3763</v>
      </c>
      <c r="L1370" s="313">
        <v>3655</v>
      </c>
      <c r="M1370" s="313"/>
      <c r="N1370" s="313"/>
      <c r="O1370" s="313">
        <v>375394</v>
      </c>
      <c r="P1370" s="313">
        <v>552</v>
      </c>
      <c r="Q1370" s="313"/>
      <c r="R1370" s="313">
        <v>375394</v>
      </c>
      <c r="S1370" s="313">
        <v>0</v>
      </c>
      <c r="T1370" s="313" t="s">
        <v>1784</v>
      </c>
      <c r="U1370" s="319"/>
      <c r="W1370" s="319"/>
      <c r="X1370" s="319"/>
      <c r="Y1370" s="319"/>
    </row>
    <row r="1371" spans="1:25" x14ac:dyDescent="0.2">
      <c r="A1371" s="312">
        <v>28</v>
      </c>
      <c r="B1371" s="426" t="s">
        <v>1207</v>
      </c>
      <c r="C1371" s="424" t="s">
        <v>913</v>
      </c>
      <c r="D1371" s="313">
        <v>1362234</v>
      </c>
      <c r="E1371" s="313"/>
      <c r="F1371" s="313">
        <v>1277077</v>
      </c>
      <c r="G1371" s="313"/>
      <c r="H1371" s="313">
        <v>58240</v>
      </c>
      <c r="I1371" s="313"/>
      <c r="J1371" s="313">
        <v>26917</v>
      </c>
      <c r="K1371" s="313">
        <v>13654</v>
      </c>
      <c r="L1371" s="313">
        <v>13263</v>
      </c>
      <c r="M1371" s="313"/>
      <c r="N1371" s="313"/>
      <c r="O1371" s="313">
        <v>1362234</v>
      </c>
      <c r="P1371" s="313">
        <v>553</v>
      </c>
      <c r="Q1371" s="313"/>
      <c r="R1371" s="313">
        <v>1362234</v>
      </c>
      <c r="S1371" s="313">
        <v>0</v>
      </c>
      <c r="T1371" s="313" t="s">
        <v>1784</v>
      </c>
      <c r="U1371" s="319"/>
      <c r="W1371" s="319"/>
      <c r="X1371" s="319"/>
      <c r="Y1371" s="319"/>
    </row>
    <row r="1372" spans="1:25" x14ac:dyDescent="0.2">
      <c r="A1372" s="312">
        <v>29</v>
      </c>
      <c r="B1372" s="426" t="s">
        <v>1208</v>
      </c>
      <c r="C1372" s="424" t="s">
        <v>913</v>
      </c>
      <c r="D1372" s="313">
        <v>1372971</v>
      </c>
      <c r="E1372" s="313"/>
      <c r="F1372" s="313">
        <v>1287143</v>
      </c>
      <c r="G1372" s="313"/>
      <c r="H1372" s="313">
        <v>58699</v>
      </c>
      <c r="I1372" s="313"/>
      <c r="J1372" s="313">
        <v>27129</v>
      </c>
      <c r="K1372" s="313">
        <v>13761</v>
      </c>
      <c r="L1372" s="313">
        <v>13368</v>
      </c>
      <c r="M1372" s="313"/>
      <c r="N1372" s="313"/>
      <c r="O1372" s="313">
        <v>1372971</v>
      </c>
      <c r="P1372" s="313">
        <v>554</v>
      </c>
      <c r="Q1372" s="313"/>
      <c r="R1372" s="313">
        <v>1372971</v>
      </c>
      <c r="S1372" s="313">
        <v>0</v>
      </c>
      <c r="T1372" s="313" t="s">
        <v>1784</v>
      </c>
      <c r="U1372" s="319"/>
      <c r="W1372" s="319"/>
      <c r="X1372" s="319"/>
      <c r="Y1372" s="319"/>
    </row>
    <row r="1373" spans="1:25" x14ac:dyDescent="0.2">
      <c r="A1373" s="312">
        <v>30</v>
      </c>
      <c r="B1373" s="426" t="s">
        <v>1209</v>
      </c>
      <c r="C1373" s="424" t="s">
        <v>913</v>
      </c>
      <c r="D1373" s="313">
        <v>0</v>
      </c>
      <c r="E1373" s="313"/>
      <c r="F1373" s="313">
        <v>0</v>
      </c>
      <c r="G1373" s="313"/>
      <c r="H1373" s="313">
        <v>0</v>
      </c>
      <c r="I1373" s="313"/>
      <c r="J1373" s="313">
        <v>0</v>
      </c>
      <c r="K1373" s="313">
        <v>0</v>
      </c>
      <c r="L1373" s="313">
        <v>0</v>
      </c>
      <c r="M1373" s="313"/>
      <c r="N1373" s="313"/>
      <c r="O1373" s="313">
        <v>0</v>
      </c>
      <c r="P1373" s="313">
        <v>555</v>
      </c>
      <c r="Q1373" s="313"/>
      <c r="R1373" s="313">
        <v>0</v>
      </c>
      <c r="S1373" s="313">
        <v>0</v>
      </c>
      <c r="T1373" s="313" t="s">
        <v>1784</v>
      </c>
      <c r="U1373" s="319"/>
      <c r="W1373" s="319"/>
      <c r="X1373" s="319"/>
      <c r="Y1373" s="319"/>
    </row>
    <row r="1374" spans="1:25" x14ac:dyDescent="0.2">
      <c r="A1374" s="312">
        <v>31</v>
      </c>
      <c r="B1374" s="426" t="s">
        <v>1210</v>
      </c>
      <c r="C1374" s="424" t="s">
        <v>913</v>
      </c>
      <c r="D1374" s="313">
        <v>2414872</v>
      </c>
      <c r="E1374" s="313"/>
      <c r="F1374" s="313">
        <v>2263912</v>
      </c>
      <c r="G1374" s="313"/>
      <c r="H1374" s="313">
        <v>103244</v>
      </c>
      <c r="I1374" s="313"/>
      <c r="J1374" s="313">
        <v>47716</v>
      </c>
      <c r="K1374" s="313">
        <v>24204</v>
      </c>
      <c r="L1374" s="313">
        <v>23512</v>
      </c>
      <c r="M1374" s="313"/>
      <c r="N1374" s="313"/>
      <c r="O1374" s="313">
        <v>2414872</v>
      </c>
      <c r="P1374" s="313">
        <v>556</v>
      </c>
      <c r="Q1374" s="313"/>
      <c r="R1374" s="313">
        <v>2414872</v>
      </c>
      <c r="S1374" s="313">
        <v>0</v>
      </c>
      <c r="T1374" s="313" t="s">
        <v>1784</v>
      </c>
      <c r="U1374" s="319"/>
      <c r="W1374" s="319"/>
      <c r="X1374" s="319"/>
      <c r="Y1374" s="319"/>
    </row>
    <row r="1375" spans="1:25" x14ac:dyDescent="0.2">
      <c r="A1375" s="312">
        <v>32</v>
      </c>
      <c r="B1375" s="426" t="s">
        <v>1211</v>
      </c>
      <c r="C1375" s="424" t="s">
        <v>913</v>
      </c>
      <c r="D1375" s="313">
        <v>0</v>
      </c>
      <c r="E1375" s="313"/>
      <c r="F1375" s="313">
        <v>0</v>
      </c>
      <c r="G1375" s="313"/>
      <c r="H1375" s="313">
        <v>0</v>
      </c>
      <c r="I1375" s="313"/>
      <c r="J1375" s="313">
        <v>0</v>
      </c>
      <c r="K1375" s="313">
        <v>0</v>
      </c>
      <c r="L1375" s="313">
        <v>0</v>
      </c>
      <c r="M1375" s="313"/>
      <c r="N1375" s="313"/>
      <c r="O1375" s="313">
        <v>0</v>
      </c>
      <c r="P1375" s="313">
        <v>557</v>
      </c>
      <c r="Q1375" s="313"/>
      <c r="R1375" s="313">
        <v>0</v>
      </c>
      <c r="S1375" s="313">
        <v>0</v>
      </c>
      <c r="T1375" s="313" t="s">
        <v>1784</v>
      </c>
      <c r="U1375" s="319"/>
      <c r="W1375" s="319"/>
      <c r="X1375" s="319"/>
      <c r="Y1375" s="319"/>
    </row>
    <row r="1376" spans="1:25" x14ac:dyDescent="0.2">
      <c r="A1376" s="312"/>
      <c r="B1376" s="423"/>
      <c r="C1376" s="424"/>
      <c r="D1376" s="313"/>
      <c r="E1376" s="313"/>
      <c r="F1376" s="313"/>
      <c r="G1376" s="313"/>
      <c r="H1376" s="313"/>
      <c r="I1376" s="313"/>
      <c r="J1376" s="313"/>
      <c r="K1376" s="313"/>
      <c r="L1376" s="313"/>
      <c r="M1376" s="313"/>
      <c r="N1376" s="313"/>
      <c r="O1376" s="313"/>
      <c r="P1376" s="313"/>
      <c r="Q1376" s="313"/>
      <c r="R1376" s="313"/>
      <c r="S1376" s="313"/>
      <c r="T1376" s="313"/>
      <c r="U1376" s="319"/>
      <c r="W1376" s="319"/>
      <c r="X1376" s="319"/>
      <c r="Y1376" s="319"/>
    </row>
    <row r="1377" spans="1:25" x14ac:dyDescent="0.2">
      <c r="A1377" s="312">
        <v>33</v>
      </c>
      <c r="B1377" s="426" t="s">
        <v>1212</v>
      </c>
      <c r="C1377" s="424"/>
      <c r="D1377" s="313">
        <v>38743580</v>
      </c>
      <c r="E1377" s="313"/>
      <c r="F1377" s="313">
        <v>36321622</v>
      </c>
      <c r="G1377" s="313"/>
      <c r="H1377" s="313">
        <v>1656419</v>
      </c>
      <c r="I1377" s="313"/>
      <c r="J1377" s="313">
        <v>765539</v>
      </c>
      <c r="K1377" s="313">
        <v>388324</v>
      </c>
      <c r="L1377" s="313">
        <v>377215</v>
      </c>
      <c r="M1377" s="313"/>
      <c r="N1377" s="313"/>
      <c r="O1377" s="313"/>
      <c r="P1377" s="313"/>
      <c r="Q1377" s="313"/>
      <c r="R1377" s="313"/>
      <c r="S1377" s="313"/>
      <c r="T1377" s="313"/>
      <c r="U1377" s="319"/>
      <c r="W1377" s="319"/>
      <c r="X1377" s="319"/>
      <c r="Y1377" s="319"/>
    </row>
    <row r="1378" spans="1:25" x14ac:dyDescent="0.2">
      <c r="A1378" s="312"/>
      <c r="B1378" s="426"/>
      <c r="C1378" s="424"/>
      <c r="D1378" s="313"/>
      <c r="E1378" s="313"/>
      <c r="F1378" s="313"/>
      <c r="G1378" s="313"/>
      <c r="H1378" s="313"/>
      <c r="I1378" s="313"/>
      <c r="J1378" s="313"/>
      <c r="K1378" s="313"/>
      <c r="L1378" s="313"/>
      <c r="M1378" s="313"/>
      <c r="N1378" s="313"/>
      <c r="O1378" s="313"/>
      <c r="P1378" s="313"/>
      <c r="Q1378" s="313"/>
      <c r="R1378" s="313"/>
      <c r="S1378" s="313"/>
      <c r="T1378" s="313"/>
      <c r="U1378" s="319"/>
      <c r="W1378" s="319"/>
      <c r="X1378" s="319"/>
      <c r="Y1378" s="319"/>
    </row>
    <row r="1379" spans="1:25" x14ac:dyDescent="0.2">
      <c r="A1379" s="312">
        <v>34</v>
      </c>
      <c r="B1379" s="423" t="s">
        <v>1213</v>
      </c>
      <c r="C1379" s="424"/>
      <c r="D1379" s="313">
        <v>65598871</v>
      </c>
      <c r="E1379" s="313"/>
      <c r="F1379" s="313">
        <v>61614625</v>
      </c>
      <c r="G1379" s="313"/>
      <c r="H1379" s="313">
        <v>2672177</v>
      </c>
      <c r="I1379" s="313"/>
      <c r="J1379" s="313">
        <v>1312069</v>
      </c>
      <c r="K1379" s="313">
        <v>668844</v>
      </c>
      <c r="L1379" s="313">
        <v>643225</v>
      </c>
      <c r="M1379" s="313"/>
      <c r="N1379" s="313"/>
      <c r="O1379" s="313"/>
      <c r="P1379" s="313"/>
      <c r="Q1379" s="313"/>
      <c r="R1379" s="313"/>
      <c r="S1379" s="313"/>
      <c r="T1379" s="313"/>
      <c r="U1379" s="319"/>
      <c r="W1379" s="319"/>
      <c r="X1379" s="319"/>
      <c r="Y1379" s="319"/>
    </row>
    <row r="1380" spans="1:25" x14ac:dyDescent="0.2">
      <c r="A1380" s="312"/>
      <c r="B1380" s="423"/>
      <c r="C1380" s="424"/>
      <c r="D1380" s="313"/>
      <c r="E1380" s="313"/>
      <c r="F1380" s="313"/>
      <c r="G1380" s="313"/>
      <c r="H1380" s="313"/>
      <c r="I1380" s="313"/>
      <c r="J1380" s="313"/>
      <c r="K1380" s="313"/>
      <c r="L1380" s="313"/>
      <c r="M1380" s="313"/>
      <c r="N1380" s="313"/>
      <c r="O1380" s="313"/>
      <c r="P1380" s="313"/>
      <c r="Q1380" s="313"/>
      <c r="R1380" s="313"/>
      <c r="S1380" s="313"/>
      <c r="T1380" s="313"/>
      <c r="U1380" s="319"/>
      <c r="W1380" s="319"/>
      <c r="X1380" s="319"/>
      <c r="Y1380" s="319"/>
    </row>
    <row r="1381" spans="1:25" x14ac:dyDescent="0.2">
      <c r="A1381" s="312"/>
      <c r="B1381" s="423"/>
      <c r="C1381" s="424"/>
      <c r="D1381" s="313"/>
      <c r="E1381" s="313"/>
      <c r="F1381" s="313"/>
      <c r="G1381" s="313"/>
      <c r="H1381" s="313"/>
      <c r="I1381" s="313"/>
      <c r="J1381" s="313"/>
      <c r="K1381" s="313"/>
      <c r="L1381" s="313"/>
      <c r="M1381" s="313"/>
      <c r="N1381" s="313"/>
      <c r="O1381" s="313"/>
      <c r="P1381" s="313"/>
      <c r="Q1381" s="313"/>
      <c r="R1381" s="313"/>
      <c r="S1381" s="313"/>
      <c r="T1381" s="313"/>
      <c r="U1381" s="319"/>
      <c r="W1381" s="319"/>
      <c r="X1381" s="319"/>
      <c r="Y1381" s="319"/>
    </row>
    <row r="1382" spans="1:25" x14ac:dyDescent="0.2">
      <c r="A1382" s="312"/>
      <c r="B1382" s="423"/>
      <c r="C1382" s="424"/>
      <c r="D1382" s="313"/>
      <c r="E1382" s="313"/>
      <c r="F1382" s="313"/>
      <c r="G1382" s="313"/>
      <c r="H1382" s="313"/>
      <c r="I1382" s="313"/>
      <c r="J1382" s="313"/>
      <c r="K1382" s="313"/>
      <c r="L1382" s="313"/>
      <c r="M1382" s="313"/>
      <c r="N1382" s="313"/>
      <c r="O1382" s="313"/>
      <c r="P1382" s="313"/>
      <c r="Q1382" s="313"/>
      <c r="R1382" s="313"/>
      <c r="S1382" s="313"/>
      <c r="T1382" s="313"/>
      <c r="U1382" s="319"/>
      <c r="W1382" s="319"/>
      <c r="X1382" s="319"/>
      <c r="Y1382" s="319"/>
    </row>
    <row r="1383" spans="1:25" x14ac:dyDescent="0.2">
      <c r="A1383" s="312"/>
      <c r="B1383" s="423"/>
      <c r="C1383" s="424"/>
      <c r="D1383" s="313"/>
      <c r="E1383" s="313"/>
      <c r="F1383" s="313"/>
      <c r="G1383" s="313"/>
      <c r="H1383" s="313"/>
      <c r="I1383" s="313"/>
      <c r="J1383" s="313"/>
      <c r="K1383" s="313"/>
      <c r="L1383" s="313"/>
      <c r="M1383" s="313"/>
      <c r="N1383" s="313"/>
      <c r="O1383" s="313"/>
      <c r="P1383" s="313"/>
      <c r="Q1383" s="313"/>
      <c r="R1383" s="313"/>
      <c r="S1383" s="313"/>
      <c r="T1383" s="313"/>
      <c r="U1383" s="319"/>
      <c r="W1383" s="319"/>
      <c r="X1383" s="319"/>
      <c r="Y1383" s="319"/>
    </row>
    <row r="1384" spans="1:25" x14ac:dyDescent="0.2">
      <c r="A1384" s="312"/>
      <c r="B1384" s="423" t="s">
        <v>1214</v>
      </c>
      <c r="C1384" s="424"/>
      <c r="D1384" s="313"/>
      <c r="E1384" s="313"/>
      <c r="F1384" s="313"/>
      <c r="G1384" s="313"/>
      <c r="H1384" s="313"/>
      <c r="I1384" s="313"/>
      <c r="J1384" s="313"/>
      <c r="K1384" s="313"/>
      <c r="L1384" s="313"/>
      <c r="M1384" s="313"/>
      <c r="N1384" s="313"/>
      <c r="O1384" s="313"/>
      <c r="P1384" s="313"/>
      <c r="Q1384" s="313"/>
      <c r="R1384" s="313"/>
      <c r="S1384" s="313"/>
      <c r="T1384" s="313"/>
      <c r="U1384" s="319"/>
      <c r="W1384" s="319"/>
      <c r="X1384" s="319"/>
      <c r="Y1384" s="319"/>
    </row>
    <row r="1385" spans="1:25" x14ac:dyDescent="0.2">
      <c r="A1385" s="312">
        <v>1</v>
      </c>
      <c r="B1385" s="423" t="s">
        <v>1215</v>
      </c>
      <c r="C1385" s="424" t="s">
        <v>2136</v>
      </c>
      <c r="D1385" s="313">
        <v>1782189</v>
      </c>
      <c r="E1385" s="313"/>
      <c r="F1385" s="313">
        <v>1591418</v>
      </c>
      <c r="G1385" s="313"/>
      <c r="H1385" s="313">
        <v>190771</v>
      </c>
      <c r="I1385" s="313"/>
      <c r="J1385" s="313">
        <v>0</v>
      </c>
      <c r="K1385" s="313">
        <v>0</v>
      </c>
      <c r="L1385" s="313">
        <v>0</v>
      </c>
      <c r="M1385" s="313"/>
      <c r="N1385" s="313"/>
      <c r="O1385" s="313">
        <v>1782189</v>
      </c>
      <c r="P1385" s="313">
        <v>560</v>
      </c>
      <c r="Q1385" s="313"/>
      <c r="R1385" s="313">
        <v>1782189</v>
      </c>
      <c r="S1385" s="313">
        <v>0</v>
      </c>
      <c r="T1385" s="313" t="s">
        <v>1784</v>
      </c>
      <c r="U1385" s="319"/>
      <c r="W1385" s="319"/>
      <c r="X1385" s="319"/>
      <c r="Y1385" s="319"/>
    </row>
    <row r="1386" spans="1:25" x14ac:dyDescent="0.2">
      <c r="A1386" s="312">
        <v>2</v>
      </c>
      <c r="B1386" s="423" t="s">
        <v>1216</v>
      </c>
      <c r="C1386" s="424" t="s">
        <v>2136</v>
      </c>
      <c r="D1386" s="313">
        <v>4580243</v>
      </c>
      <c r="E1386" s="313"/>
      <c r="F1386" s="313">
        <v>4089959</v>
      </c>
      <c r="G1386" s="313"/>
      <c r="H1386" s="313">
        <v>490284</v>
      </c>
      <c r="I1386" s="313"/>
      <c r="J1386" s="313">
        <v>0</v>
      </c>
      <c r="K1386" s="313">
        <v>0</v>
      </c>
      <c r="L1386" s="313">
        <v>0</v>
      </c>
      <c r="M1386" s="313"/>
      <c r="N1386" s="313"/>
      <c r="O1386" s="313">
        <v>4580243</v>
      </c>
      <c r="P1386" s="313">
        <v>561</v>
      </c>
      <c r="Q1386" s="313"/>
      <c r="R1386" s="313">
        <v>4580243</v>
      </c>
      <c r="S1386" s="313">
        <v>0</v>
      </c>
      <c r="T1386" s="313" t="s">
        <v>1784</v>
      </c>
      <c r="U1386" s="319"/>
      <c r="W1386" s="319"/>
      <c r="X1386" s="319"/>
      <c r="Y1386" s="319"/>
    </row>
    <row r="1387" spans="1:25" x14ac:dyDescent="0.2">
      <c r="A1387" s="312">
        <v>3</v>
      </c>
      <c r="B1387" s="423" t="s">
        <v>1217</v>
      </c>
      <c r="C1387" s="424" t="s">
        <v>2136</v>
      </c>
      <c r="D1387" s="313">
        <v>474856</v>
      </c>
      <c r="E1387" s="313"/>
      <c r="F1387" s="313">
        <v>424026</v>
      </c>
      <c r="G1387" s="313"/>
      <c r="H1387" s="313">
        <v>50830</v>
      </c>
      <c r="I1387" s="313"/>
      <c r="J1387" s="313">
        <v>0</v>
      </c>
      <c r="K1387" s="313">
        <v>0</v>
      </c>
      <c r="L1387" s="313">
        <v>0</v>
      </c>
      <c r="M1387" s="313"/>
      <c r="N1387" s="313"/>
      <c r="O1387" s="313">
        <v>474856</v>
      </c>
      <c r="P1387" s="313">
        <v>562</v>
      </c>
      <c r="Q1387" s="313"/>
      <c r="R1387" s="313">
        <v>474856</v>
      </c>
      <c r="S1387" s="313">
        <v>0</v>
      </c>
      <c r="T1387" s="313" t="s">
        <v>1784</v>
      </c>
      <c r="U1387" s="319"/>
      <c r="W1387" s="319"/>
      <c r="X1387" s="319"/>
      <c r="Y1387" s="319"/>
    </row>
    <row r="1388" spans="1:25" x14ac:dyDescent="0.2">
      <c r="A1388" s="312">
        <v>4</v>
      </c>
      <c r="B1388" s="423" t="s">
        <v>1218</v>
      </c>
      <c r="C1388" s="424" t="s">
        <v>2136</v>
      </c>
      <c r="D1388" s="313">
        <v>51502</v>
      </c>
      <c r="E1388" s="313"/>
      <c r="F1388" s="313">
        <v>45989</v>
      </c>
      <c r="G1388" s="313"/>
      <c r="H1388" s="313">
        <v>5513</v>
      </c>
      <c r="I1388" s="313"/>
      <c r="J1388" s="313">
        <v>0</v>
      </c>
      <c r="K1388" s="313">
        <v>0</v>
      </c>
      <c r="L1388" s="313">
        <v>0</v>
      </c>
      <c r="M1388" s="313"/>
      <c r="N1388" s="313"/>
      <c r="O1388" s="313">
        <v>51502</v>
      </c>
      <c r="P1388" s="313">
        <v>563</v>
      </c>
      <c r="Q1388" s="313"/>
      <c r="R1388" s="313">
        <v>51502</v>
      </c>
      <c r="S1388" s="313">
        <v>0</v>
      </c>
      <c r="T1388" s="313" t="s">
        <v>1784</v>
      </c>
      <c r="U1388" s="319"/>
      <c r="W1388" s="319"/>
      <c r="X1388" s="319"/>
      <c r="Y1388" s="319"/>
    </row>
    <row r="1389" spans="1:25" x14ac:dyDescent="0.2">
      <c r="A1389" s="312">
        <v>5</v>
      </c>
      <c r="B1389" s="423" t="s">
        <v>1219</v>
      </c>
      <c r="C1389" s="424" t="s">
        <v>2136</v>
      </c>
      <c r="D1389" s="313">
        <v>0</v>
      </c>
      <c r="E1389" s="313"/>
      <c r="F1389" s="313">
        <v>0</v>
      </c>
      <c r="G1389" s="313"/>
      <c r="H1389" s="313">
        <v>0</v>
      </c>
      <c r="I1389" s="313"/>
      <c r="J1389" s="313">
        <v>0</v>
      </c>
      <c r="K1389" s="313">
        <v>0</v>
      </c>
      <c r="L1389" s="313">
        <v>0</v>
      </c>
      <c r="M1389" s="313"/>
      <c r="N1389" s="313"/>
      <c r="O1389" s="313">
        <v>0</v>
      </c>
      <c r="P1389" s="313">
        <v>565</v>
      </c>
      <c r="Q1389" s="313"/>
      <c r="R1389" s="313">
        <v>0</v>
      </c>
      <c r="S1389" s="313">
        <v>0</v>
      </c>
      <c r="T1389" s="313" t="s">
        <v>1784</v>
      </c>
      <c r="U1389" s="319"/>
      <c r="W1389" s="319"/>
      <c r="X1389" s="319"/>
      <c r="Y1389" s="319"/>
    </row>
    <row r="1390" spans="1:25" x14ac:dyDescent="0.2">
      <c r="A1390" s="312">
        <v>6</v>
      </c>
      <c r="B1390" s="423" t="s">
        <v>1220</v>
      </c>
      <c r="C1390" s="424" t="s">
        <v>2136</v>
      </c>
      <c r="D1390" s="313">
        <v>441175</v>
      </c>
      <c r="E1390" s="313"/>
      <c r="F1390" s="313">
        <v>393950</v>
      </c>
      <c r="G1390" s="313"/>
      <c r="H1390" s="313">
        <v>47225</v>
      </c>
      <c r="I1390" s="313"/>
      <c r="J1390" s="313">
        <v>0</v>
      </c>
      <c r="K1390" s="313">
        <v>0</v>
      </c>
      <c r="L1390" s="313">
        <v>0</v>
      </c>
      <c r="M1390" s="313"/>
      <c r="N1390" s="313"/>
      <c r="O1390" s="313">
        <v>441175</v>
      </c>
      <c r="P1390" s="313">
        <v>566</v>
      </c>
      <c r="Q1390" s="313"/>
      <c r="R1390" s="313">
        <v>441175</v>
      </c>
      <c r="S1390" s="313">
        <v>0</v>
      </c>
      <c r="T1390" s="313" t="s">
        <v>1784</v>
      </c>
      <c r="U1390" s="319"/>
      <c r="W1390" s="319"/>
      <c r="X1390" s="319"/>
      <c r="Y1390" s="319"/>
    </row>
    <row r="1391" spans="1:25" x14ac:dyDescent="0.2">
      <c r="A1391" s="312">
        <v>7</v>
      </c>
      <c r="B1391" s="423" t="s">
        <v>1221</v>
      </c>
      <c r="C1391" s="424" t="s">
        <v>2136</v>
      </c>
      <c r="D1391" s="313">
        <v>0</v>
      </c>
      <c r="E1391" s="313"/>
      <c r="F1391" s="313">
        <v>0</v>
      </c>
      <c r="G1391" s="313"/>
      <c r="H1391" s="313">
        <v>0</v>
      </c>
      <c r="I1391" s="313"/>
      <c r="J1391" s="313">
        <v>0</v>
      </c>
      <c r="K1391" s="313">
        <v>0</v>
      </c>
      <c r="L1391" s="313">
        <v>0</v>
      </c>
      <c r="M1391" s="313"/>
      <c r="N1391" s="313"/>
      <c r="O1391" s="313">
        <v>0</v>
      </c>
      <c r="P1391" s="313">
        <v>567</v>
      </c>
      <c r="Q1391" s="313"/>
      <c r="R1391" s="313">
        <v>0</v>
      </c>
      <c r="S1391" s="313">
        <v>0</v>
      </c>
      <c r="T1391" s="313" t="s">
        <v>1784</v>
      </c>
      <c r="U1391" s="319"/>
      <c r="W1391" s="319"/>
      <c r="X1391" s="319"/>
      <c r="Y1391" s="319"/>
    </row>
    <row r="1392" spans="1:25" x14ac:dyDescent="0.2">
      <c r="A1392" s="45">
        <v>8</v>
      </c>
      <c r="B1392" s="45" t="s">
        <v>1222</v>
      </c>
      <c r="C1392" s="424" t="s">
        <v>2136</v>
      </c>
      <c r="D1392" s="313">
        <v>0</v>
      </c>
      <c r="E1392" s="313"/>
      <c r="F1392" s="313">
        <v>0</v>
      </c>
      <c r="G1392" s="313"/>
      <c r="H1392" s="313">
        <v>0</v>
      </c>
      <c r="I1392" s="313"/>
      <c r="J1392" s="313">
        <v>0</v>
      </c>
      <c r="K1392" s="313">
        <v>0</v>
      </c>
      <c r="L1392" s="313">
        <v>0</v>
      </c>
      <c r="M1392" s="313"/>
      <c r="N1392" s="313"/>
      <c r="O1392" s="313">
        <v>0</v>
      </c>
      <c r="P1392" s="313">
        <v>569</v>
      </c>
      <c r="Q1392" s="313"/>
      <c r="R1392" s="313">
        <v>0</v>
      </c>
      <c r="S1392" s="313">
        <v>0</v>
      </c>
      <c r="T1392" s="313" t="s">
        <v>1784</v>
      </c>
      <c r="U1392" s="319"/>
      <c r="W1392" s="319"/>
      <c r="X1392" s="319"/>
      <c r="Y1392" s="319"/>
    </row>
    <row r="1393" spans="1:25" x14ac:dyDescent="0.2">
      <c r="A1393" s="45">
        <v>9</v>
      </c>
      <c r="B1393" s="45" t="s">
        <v>1223</v>
      </c>
      <c r="C1393" s="424" t="s">
        <v>2136</v>
      </c>
      <c r="D1393" s="313">
        <v>1261739</v>
      </c>
      <c r="E1393" s="313"/>
      <c r="F1393" s="313">
        <v>1126679</v>
      </c>
      <c r="G1393" s="313"/>
      <c r="H1393" s="313">
        <v>135060</v>
      </c>
      <c r="I1393" s="313"/>
      <c r="J1393" s="313">
        <v>0</v>
      </c>
      <c r="K1393" s="313">
        <v>0</v>
      </c>
      <c r="L1393" s="313">
        <v>0</v>
      </c>
      <c r="M1393" s="313"/>
      <c r="N1393" s="313"/>
      <c r="O1393" s="313">
        <v>1261739</v>
      </c>
      <c r="P1393" s="313">
        <v>570</v>
      </c>
      <c r="Q1393" s="313"/>
      <c r="R1393" s="313">
        <v>1261739</v>
      </c>
      <c r="S1393" s="313">
        <v>0</v>
      </c>
      <c r="T1393" s="313" t="s">
        <v>1784</v>
      </c>
      <c r="W1393" s="319"/>
      <c r="X1393" s="319"/>
      <c r="Y1393" s="319"/>
    </row>
    <row r="1394" spans="1:25" x14ac:dyDescent="0.2">
      <c r="A1394" s="45">
        <v>10</v>
      </c>
      <c r="B1394" s="45" t="s">
        <v>1224</v>
      </c>
      <c r="C1394" s="424" t="s">
        <v>2136</v>
      </c>
      <c r="D1394" s="313">
        <v>346156</v>
      </c>
      <c r="E1394" s="313"/>
      <c r="F1394" s="313">
        <v>309102</v>
      </c>
      <c r="G1394" s="313"/>
      <c r="H1394" s="313">
        <v>37054</v>
      </c>
      <c r="I1394" s="313"/>
      <c r="J1394" s="313">
        <v>0</v>
      </c>
      <c r="K1394" s="313">
        <v>0</v>
      </c>
      <c r="L1394" s="313">
        <v>0</v>
      </c>
      <c r="M1394" s="313"/>
      <c r="N1394" s="313"/>
      <c r="O1394" s="313">
        <v>346156</v>
      </c>
      <c r="P1394" s="313">
        <v>571</v>
      </c>
      <c r="Q1394" s="313"/>
      <c r="R1394" s="313">
        <v>346156</v>
      </c>
      <c r="S1394" s="313">
        <v>0</v>
      </c>
      <c r="T1394" s="313" t="s">
        <v>1784</v>
      </c>
      <c r="W1394" s="319"/>
      <c r="X1394" s="319"/>
      <c r="Y1394" s="319"/>
    </row>
    <row r="1395" spans="1:25" x14ac:dyDescent="0.2">
      <c r="A1395" s="45">
        <v>11</v>
      </c>
      <c r="B1395" s="45" t="s">
        <v>1225</v>
      </c>
      <c r="C1395" s="424" t="s">
        <v>2136</v>
      </c>
      <c r="D1395" s="313">
        <v>0</v>
      </c>
      <c r="E1395" s="313"/>
      <c r="F1395" s="313">
        <v>0</v>
      </c>
      <c r="G1395" s="313"/>
      <c r="H1395" s="313">
        <v>0</v>
      </c>
      <c r="I1395" s="313"/>
      <c r="J1395" s="313">
        <v>0</v>
      </c>
      <c r="K1395" s="313">
        <v>0</v>
      </c>
      <c r="L1395" s="313">
        <v>0</v>
      </c>
      <c r="M1395" s="313"/>
      <c r="N1395" s="313"/>
      <c r="O1395" s="313">
        <v>0</v>
      </c>
      <c r="P1395" s="313">
        <v>572</v>
      </c>
      <c r="Q1395" s="313"/>
      <c r="R1395" s="313">
        <v>0</v>
      </c>
      <c r="S1395" s="313">
        <v>0</v>
      </c>
      <c r="T1395" s="313" t="s">
        <v>1784</v>
      </c>
      <c r="U1395" s="319"/>
      <c r="W1395" s="319"/>
      <c r="X1395" s="319"/>
      <c r="Y1395" s="319"/>
    </row>
    <row r="1396" spans="1:25" x14ac:dyDescent="0.2">
      <c r="A1396" s="45">
        <v>12</v>
      </c>
      <c r="B1396" s="45" t="s">
        <v>1226</v>
      </c>
      <c r="C1396" s="424" t="s">
        <v>2136</v>
      </c>
      <c r="D1396" s="313">
        <v>0</v>
      </c>
      <c r="E1396" s="313"/>
      <c r="F1396" s="313">
        <v>0</v>
      </c>
      <c r="G1396" s="313"/>
      <c r="H1396" s="313">
        <v>0</v>
      </c>
      <c r="I1396" s="313"/>
      <c r="J1396" s="313">
        <v>0</v>
      </c>
      <c r="K1396" s="313">
        <v>0</v>
      </c>
      <c r="L1396" s="313">
        <v>0</v>
      </c>
      <c r="M1396" s="313"/>
      <c r="N1396" s="313"/>
      <c r="O1396" s="313">
        <v>0</v>
      </c>
      <c r="P1396" s="313">
        <v>573</v>
      </c>
      <c r="Q1396" s="313"/>
      <c r="R1396" s="313">
        <v>0</v>
      </c>
      <c r="S1396" s="313">
        <v>0</v>
      </c>
      <c r="T1396" s="313" t="s">
        <v>1784</v>
      </c>
      <c r="U1396" s="319"/>
      <c r="W1396" s="319"/>
      <c r="X1396" s="319"/>
      <c r="Y1396" s="319"/>
    </row>
    <row r="1397" spans="1:25" x14ac:dyDescent="0.2">
      <c r="A1397" s="45"/>
      <c r="B1397" s="45"/>
      <c r="C1397" s="437"/>
      <c r="D1397" s="313"/>
      <c r="E1397" s="313"/>
      <c r="F1397" s="313"/>
      <c r="G1397" s="313"/>
      <c r="H1397" s="313"/>
      <c r="I1397" s="313"/>
      <c r="J1397" s="313"/>
      <c r="K1397" s="313"/>
      <c r="L1397" s="313"/>
      <c r="M1397" s="313"/>
      <c r="N1397" s="313"/>
      <c r="O1397" s="313"/>
      <c r="P1397" s="313"/>
      <c r="Q1397" s="313"/>
      <c r="R1397" s="313"/>
      <c r="S1397" s="313"/>
      <c r="T1397" s="313"/>
      <c r="U1397" s="319"/>
      <c r="W1397" s="319"/>
      <c r="X1397" s="319"/>
      <c r="Y1397" s="319"/>
    </row>
    <row r="1398" spans="1:25" x14ac:dyDescent="0.2">
      <c r="A1398" s="312">
        <v>13</v>
      </c>
      <c r="B1398" s="423" t="s">
        <v>1227</v>
      </c>
      <c r="C1398" s="424" t="s">
        <v>2136</v>
      </c>
      <c r="D1398" s="313">
        <v>8937860</v>
      </c>
      <c r="E1398" s="313"/>
      <c r="F1398" s="313">
        <v>7981124</v>
      </c>
      <c r="G1398" s="313"/>
      <c r="H1398" s="313">
        <v>956736</v>
      </c>
      <c r="I1398" s="313"/>
      <c r="J1398" s="313">
        <v>0</v>
      </c>
      <c r="K1398" s="313">
        <v>0</v>
      </c>
      <c r="L1398" s="313">
        <v>0</v>
      </c>
      <c r="M1398" s="313"/>
      <c r="N1398" s="313"/>
      <c r="O1398" s="313"/>
      <c r="P1398" s="313"/>
      <c r="Q1398" s="313"/>
      <c r="R1398" s="313"/>
      <c r="S1398" s="313"/>
      <c r="T1398" s="313"/>
      <c r="U1398" s="319"/>
      <c r="W1398" s="319"/>
      <c r="X1398" s="319"/>
      <c r="Y1398" s="319"/>
    </row>
    <row r="1399" spans="1:25" x14ac:dyDescent="0.2">
      <c r="A1399" s="45"/>
      <c r="B1399" s="45"/>
      <c r="C1399" s="311"/>
      <c r="D1399" s="313"/>
      <c r="E1399" s="313"/>
      <c r="F1399" s="313"/>
      <c r="G1399" s="313"/>
      <c r="H1399" s="313"/>
      <c r="I1399" s="313"/>
      <c r="J1399" s="313"/>
      <c r="K1399" s="313"/>
      <c r="L1399" s="313"/>
      <c r="M1399" s="313"/>
      <c r="N1399" s="313"/>
      <c r="O1399" s="313"/>
      <c r="P1399" s="313"/>
      <c r="Q1399" s="313"/>
      <c r="R1399" s="313"/>
      <c r="S1399" s="313"/>
      <c r="T1399" s="313"/>
      <c r="W1399" s="319"/>
    </row>
    <row r="1400" spans="1:25" x14ac:dyDescent="0.2">
      <c r="A1400" s="45"/>
      <c r="B1400" s="45" t="s">
        <v>2473</v>
      </c>
      <c r="C1400" s="311"/>
      <c r="D1400" s="313"/>
      <c r="E1400" s="313"/>
      <c r="F1400" s="313"/>
      <c r="G1400" s="313"/>
      <c r="H1400" s="313"/>
      <c r="I1400" s="313"/>
      <c r="J1400" s="313"/>
      <c r="K1400" s="313"/>
      <c r="L1400" s="313"/>
      <c r="M1400" s="313"/>
      <c r="N1400" s="313"/>
      <c r="O1400" s="313"/>
      <c r="P1400" s="313"/>
      <c r="Q1400" s="313"/>
      <c r="R1400" s="313"/>
      <c r="S1400" s="313"/>
      <c r="T1400" s="313"/>
      <c r="U1400" s="319"/>
      <c r="W1400" s="319"/>
      <c r="X1400" s="319"/>
      <c r="Y1400" s="319"/>
    </row>
    <row r="1401" spans="1:25" x14ac:dyDescent="0.2">
      <c r="A1401" s="45">
        <v>1</v>
      </c>
      <c r="B1401" s="45" t="s">
        <v>1228</v>
      </c>
      <c r="C1401" s="311" t="s">
        <v>1443</v>
      </c>
      <c r="D1401" s="313">
        <v>1332697</v>
      </c>
      <c r="E1401" s="313"/>
      <c r="F1401" s="313">
        <v>1268655</v>
      </c>
      <c r="G1401" s="313"/>
      <c r="H1401" s="313">
        <v>61992</v>
      </c>
      <c r="I1401" s="313"/>
      <c r="J1401" s="313">
        <v>2050</v>
      </c>
      <c r="K1401" s="313">
        <v>2034</v>
      </c>
      <c r="L1401" s="313">
        <v>16</v>
      </c>
      <c r="M1401" s="313"/>
      <c r="N1401" s="313"/>
      <c r="O1401" s="313">
        <v>1332697</v>
      </c>
      <c r="P1401" s="313">
        <v>580</v>
      </c>
      <c r="Q1401" s="313"/>
      <c r="R1401" s="313">
        <v>1332697</v>
      </c>
      <c r="S1401" s="313">
        <v>0</v>
      </c>
      <c r="T1401" s="313" t="s">
        <v>1784</v>
      </c>
      <c r="U1401" s="319"/>
      <c r="W1401" s="319"/>
      <c r="X1401" s="319"/>
      <c r="Y1401" s="319"/>
    </row>
    <row r="1402" spans="1:25" x14ac:dyDescent="0.2">
      <c r="A1402" s="45">
        <v>2</v>
      </c>
      <c r="B1402" s="432" t="s">
        <v>1229</v>
      </c>
      <c r="C1402" s="311" t="s">
        <v>1443</v>
      </c>
      <c r="D1402" s="313">
        <v>352767</v>
      </c>
      <c r="E1402" s="313"/>
      <c r="F1402" s="313">
        <v>335815</v>
      </c>
      <c r="G1402" s="313"/>
      <c r="H1402" s="313">
        <v>16409</v>
      </c>
      <c r="I1402" s="313"/>
      <c r="J1402" s="313">
        <v>543</v>
      </c>
      <c r="K1402" s="313">
        <v>539</v>
      </c>
      <c r="L1402" s="313">
        <v>4</v>
      </c>
      <c r="M1402" s="313"/>
      <c r="N1402" s="313"/>
      <c r="O1402" s="313">
        <v>352767</v>
      </c>
      <c r="P1402" s="313">
        <v>581</v>
      </c>
      <c r="Q1402" s="313"/>
      <c r="R1402" s="313">
        <v>352767</v>
      </c>
      <c r="S1402" s="313">
        <v>0</v>
      </c>
      <c r="T1402" s="313" t="s">
        <v>1784</v>
      </c>
      <c r="U1402" s="319"/>
      <c r="W1402" s="319"/>
      <c r="X1402" s="319"/>
      <c r="Y1402" s="319"/>
    </row>
    <row r="1403" spans="1:25" x14ac:dyDescent="0.2">
      <c r="A1403" s="45">
        <v>3</v>
      </c>
      <c r="B1403" s="45" t="s">
        <v>1230</v>
      </c>
      <c r="C1403" s="311" t="s">
        <v>1443</v>
      </c>
      <c r="D1403" s="313">
        <v>1213331</v>
      </c>
      <c r="E1403" s="313"/>
      <c r="F1403" s="313">
        <v>1155025</v>
      </c>
      <c r="G1403" s="313"/>
      <c r="H1403" s="313">
        <v>56440</v>
      </c>
      <c r="I1403" s="313"/>
      <c r="J1403" s="313">
        <v>1866</v>
      </c>
      <c r="K1403" s="313">
        <v>1852</v>
      </c>
      <c r="L1403" s="313">
        <v>14</v>
      </c>
      <c r="M1403" s="313"/>
      <c r="N1403" s="313"/>
      <c r="O1403" s="313">
        <v>1213331</v>
      </c>
      <c r="P1403" s="313">
        <v>582</v>
      </c>
      <c r="Q1403" s="313"/>
      <c r="R1403" s="313">
        <v>1213331</v>
      </c>
      <c r="S1403" s="313">
        <v>0</v>
      </c>
      <c r="T1403" s="313" t="s">
        <v>1784</v>
      </c>
      <c r="U1403" s="319"/>
      <c r="W1403" s="319"/>
      <c r="X1403" s="319"/>
      <c r="Y1403" s="319"/>
    </row>
    <row r="1404" spans="1:25" x14ac:dyDescent="0.2">
      <c r="A1404" s="45">
        <v>4</v>
      </c>
      <c r="B1404" s="45" t="s">
        <v>1231</v>
      </c>
      <c r="C1404" s="311" t="s">
        <v>1443</v>
      </c>
      <c r="D1404" s="313">
        <v>3221429</v>
      </c>
      <c r="E1404" s="313"/>
      <c r="F1404" s="313">
        <v>3066624</v>
      </c>
      <c r="G1404" s="313"/>
      <c r="H1404" s="313">
        <v>149850</v>
      </c>
      <c r="I1404" s="313"/>
      <c r="J1404" s="313">
        <v>4955</v>
      </c>
      <c r="K1404" s="313">
        <v>4918</v>
      </c>
      <c r="L1404" s="313">
        <v>38</v>
      </c>
      <c r="M1404" s="313"/>
      <c r="N1404" s="313"/>
      <c r="O1404" s="313">
        <v>3221429</v>
      </c>
      <c r="P1404" s="313">
        <v>583</v>
      </c>
      <c r="Q1404" s="313"/>
      <c r="R1404" s="313">
        <v>3221429</v>
      </c>
      <c r="S1404" s="313">
        <v>0</v>
      </c>
      <c r="T1404" s="313" t="s">
        <v>1784</v>
      </c>
      <c r="U1404" s="319"/>
      <c r="W1404" s="319"/>
      <c r="X1404" s="319"/>
      <c r="Y1404" s="319"/>
    </row>
    <row r="1405" spans="1:25" x14ac:dyDescent="0.2">
      <c r="A1405" s="45">
        <v>5</v>
      </c>
      <c r="B1405" s="45" t="s">
        <v>1232</v>
      </c>
      <c r="C1405" s="311" t="s">
        <v>1443</v>
      </c>
      <c r="D1405" s="313">
        <v>30446</v>
      </c>
      <c r="E1405" s="313"/>
      <c r="F1405" s="313">
        <v>28983</v>
      </c>
      <c r="G1405" s="313"/>
      <c r="H1405" s="313">
        <v>1416</v>
      </c>
      <c r="I1405" s="313"/>
      <c r="J1405" s="313">
        <v>47</v>
      </c>
      <c r="K1405" s="313">
        <v>46</v>
      </c>
      <c r="L1405" s="313">
        <v>0</v>
      </c>
      <c r="M1405" s="313"/>
      <c r="N1405" s="313"/>
      <c r="O1405" s="313">
        <v>30446</v>
      </c>
      <c r="P1405" s="313">
        <v>584</v>
      </c>
      <c r="Q1405" s="313"/>
      <c r="R1405" s="313">
        <v>30446</v>
      </c>
      <c r="S1405" s="313">
        <v>0</v>
      </c>
      <c r="T1405" s="313" t="s">
        <v>1784</v>
      </c>
      <c r="U1405" s="319"/>
      <c r="W1405" s="319"/>
      <c r="X1405" s="319"/>
      <c r="Y1405" s="319"/>
    </row>
    <row r="1406" spans="1:25" x14ac:dyDescent="0.2">
      <c r="A1406" s="45">
        <v>6</v>
      </c>
      <c r="B1406" s="45" t="s">
        <v>1233</v>
      </c>
      <c r="C1406" s="311" t="s">
        <v>1443</v>
      </c>
      <c r="D1406" s="313">
        <v>0</v>
      </c>
      <c r="E1406" s="313"/>
      <c r="F1406" s="313">
        <v>0</v>
      </c>
      <c r="G1406" s="313"/>
      <c r="H1406" s="313">
        <v>0</v>
      </c>
      <c r="I1406" s="313"/>
      <c r="J1406" s="313">
        <v>0</v>
      </c>
      <c r="K1406" s="313">
        <v>0</v>
      </c>
      <c r="L1406" s="313">
        <v>0</v>
      </c>
      <c r="M1406" s="313"/>
      <c r="N1406" s="313"/>
      <c r="O1406" s="313">
        <v>0</v>
      </c>
      <c r="P1406" s="313">
        <v>585</v>
      </c>
      <c r="Q1406" s="313"/>
      <c r="R1406" s="313">
        <v>0</v>
      </c>
      <c r="S1406" s="313">
        <v>0</v>
      </c>
      <c r="T1406" s="313" t="s">
        <v>1784</v>
      </c>
      <c r="U1406" s="319"/>
      <c r="W1406" s="319"/>
      <c r="X1406" s="319"/>
      <c r="Y1406" s="319"/>
    </row>
    <row r="1407" spans="1:25" x14ac:dyDescent="0.2">
      <c r="A1407" s="45">
        <v>7</v>
      </c>
      <c r="B1407" s="45" t="s">
        <v>1234</v>
      </c>
      <c r="C1407" s="311" t="s">
        <v>1443</v>
      </c>
      <c r="D1407" s="313">
        <v>5257660</v>
      </c>
      <c r="E1407" s="313"/>
      <c r="F1407" s="313">
        <v>5005004</v>
      </c>
      <c r="G1407" s="313"/>
      <c r="H1407" s="313">
        <v>244568</v>
      </c>
      <c r="I1407" s="313"/>
      <c r="J1407" s="313">
        <v>8087</v>
      </c>
      <c r="K1407" s="313">
        <v>8026</v>
      </c>
      <c r="L1407" s="313">
        <v>62</v>
      </c>
      <c r="M1407" s="313"/>
      <c r="N1407" s="313"/>
      <c r="O1407" s="313">
        <v>5257660</v>
      </c>
      <c r="P1407" s="313">
        <v>586</v>
      </c>
      <c r="Q1407" s="313"/>
      <c r="R1407" s="313">
        <v>5257660</v>
      </c>
      <c r="S1407" s="313">
        <v>0</v>
      </c>
      <c r="T1407" s="313" t="s">
        <v>1784</v>
      </c>
      <c r="U1407" s="319"/>
      <c r="W1407" s="319"/>
      <c r="X1407" s="319"/>
      <c r="Y1407" s="319"/>
    </row>
    <row r="1408" spans="1:25" x14ac:dyDescent="0.2">
      <c r="A1408" s="45">
        <v>8</v>
      </c>
      <c r="B1408" s="45" t="s">
        <v>1235</v>
      </c>
      <c r="C1408" s="311" t="s">
        <v>1443</v>
      </c>
      <c r="D1408" s="313">
        <v>0</v>
      </c>
      <c r="E1408" s="313"/>
      <c r="F1408" s="313">
        <v>0</v>
      </c>
      <c r="G1408" s="313"/>
      <c r="H1408" s="313">
        <v>0</v>
      </c>
      <c r="I1408" s="313"/>
      <c r="J1408" s="313">
        <v>0</v>
      </c>
      <c r="K1408" s="313">
        <v>0</v>
      </c>
      <c r="L1408" s="313">
        <v>0</v>
      </c>
      <c r="M1408" s="313"/>
      <c r="N1408" s="313"/>
      <c r="O1408" s="313">
        <v>0</v>
      </c>
      <c r="P1408" s="313">
        <v>587</v>
      </c>
      <c r="Q1408" s="313"/>
      <c r="R1408" s="313">
        <v>0</v>
      </c>
      <c r="S1408" s="313">
        <v>0</v>
      </c>
      <c r="T1408" s="313" t="s">
        <v>1784</v>
      </c>
      <c r="U1408" s="319"/>
      <c r="W1408" s="319"/>
      <c r="X1408" s="319"/>
      <c r="Y1408" s="319"/>
    </row>
    <row r="1409" spans="1:25" x14ac:dyDescent="0.2">
      <c r="A1409" s="45">
        <v>9</v>
      </c>
      <c r="B1409" s="45" t="s">
        <v>1236</v>
      </c>
      <c r="C1409" s="311" t="s">
        <v>1443</v>
      </c>
      <c r="D1409" s="313">
        <v>3197096</v>
      </c>
      <c r="E1409" s="313"/>
      <c r="F1409" s="313">
        <v>3043460</v>
      </c>
      <c r="G1409" s="313"/>
      <c r="H1409" s="313">
        <v>148718</v>
      </c>
      <c r="I1409" s="313"/>
      <c r="J1409" s="313">
        <v>4918</v>
      </c>
      <c r="K1409" s="313">
        <v>4880</v>
      </c>
      <c r="L1409" s="313">
        <v>37</v>
      </c>
      <c r="M1409" s="313"/>
      <c r="N1409" s="313"/>
      <c r="O1409" s="313">
        <v>3197096</v>
      </c>
      <c r="P1409" s="313">
        <v>588</v>
      </c>
      <c r="Q1409" s="313"/>
      <c r="R1409" s="313">
        <v>3197096</v>
      </c>
      <c r="S1409" s="313">
        <v>0</v>
      </c>
      <c r="T1409" s="313" t="s">
        <v>1784</v>
      </c>
      <c r="U1409" s="319"/>
      <c r="W1409" s="319"/>
      <c r="X1409" s="319"/>
      <c r="Y1409" s="319"/>
    </row>
    <row r="1410" spans="1:25" x14ac:dyDescent="0.2">
      <c r="A1410" s="45">
        <v>10</v>
      </c>
      <c r="B1410" s="45" t="s">
        <v>1237</v>
      </c>
      <c r="C1410" s="311" t="s">
        <v>1443</v>
      </c>
      <c r="D1410" s="313">
        <v>0</v>
      </c>
      <c r="E1410" s="313"/>
      <c r="F1410" s="313">
        <v>0</v>
      </c>
      <c r="G1410" s="313"/>
      <c r="H1410" s="313">
        <v>0</v>
      </c>
      <c r="I1410" s="313"/>
      <c r="J1410" s="313">
        <v>0</v>
      </c>
      <c r="K1410" s="313">
        <v>0</v>
      </c>
      <c r="L1410" s="313">
        <v>0</v>
      </c>
      <c r="M1410" s="313"/>
      <c r="N1410" s="313"/>
      <c r="O1410" s="313">
        <v>0</v>
      </c>
      <c r="P1410" s="313">
        <v>589</v>
      </c>
      <c r="Q1410" s="313"/>
      <c r="R1410" s="313">
        <v>0</v>
      </c>
      <c r="S1410" s="313">
        <v>0</v>
      </c>
      <c r="T1410" s="313" t="s">
        <v>1784</v>
      </c>
      <c r="U1410" s="319"/>
      <c r="W1410" s="319"/>
      <c r="X1410" s="319"/>
      <c r="Y1410" s="319"/>
    </row>
    <row r="1411" spans="1:25" x14ac:dyDescent="0.2">
      <c r="A1411" s="45">
        <v>11</v>
      </c>
      <c r="B1411" s="45" t="s">
        <v>1238</v>
      </c>
      <c r="C1411" s="311" t="s">
        <v>1443</v>
      </c>
      <c r="D1411" s="313">
        <v>0</v>
      </c>
      <c r="E1411" s="313"/>
      <c r="F1411" s="313">
        <v>0</v>
      </c>
      <c r="G1411" s="313"/>
      <c r="H1411" s="313">
        <v>0</v>
      </c>
      <c r="I1411" s="313"/>
      <c r="J1411" s="313">
        <v>0</v>
      </c>
      <c r="K1411" s="313">
        <v>0</v>
      </c>
      <c r="L1411" s="313">
        <v>0</v>
      </c>
      <c r="M1411" s="313"/>
      <c r="N1411" s="313"/>
      <c r="O1411" s="313">
        <v>0</v>
      </c>
      <c r="P1411" s="313">
        <v>590</v>
      </c>
      <c r="Q1411" s="313"/>
      <c r="R1411" s="313">
        <v>0</v>
      </c>
      <c r="S1411" s="313">
        <v>0</v>
      </c>
      <c r="T1411" s="313" t="s">
        <v>1784</v>
      </c>
      <c r="U1411" s="319"/>
      <c r="W1411" s="319"/>
      <c r="X1411" s="319"/>
      <c r="Y1411" s="319"/>
    </row>
    <row r="1412" spans="1:25" x14ac:dyDescent="0.2">
      <c r="A1412" s="45">
        <v>12</v>
      </c>
      <c r="B1412" s="432" t="s">
        <v>1468</v>
      </c>
      <c r="C1412" s="311" t="s">
        <v>1443</v>
      </c>
      <c r="D1412" s="313">
        <v>0</v>
      </c>
      <c r="E1412" s="313"/>
      <c r="F1412" s="313">
        <v>0</v>
      </c>
      <c r="G1412" s="313"/>
      <c r="H1412" s="313">
        <v>0</v>
      </c>
      <c r="I1412" s="313"/>
      <c r="J1412" s="313">
        <v>0</v>
      </c>
      <c r="K1412" s="313">
        <v>0</v>
      </c>
      <c r="L1412" s="313">
        <v>0</v>
      </c>
      <c r="M1412" s="313"/>
      <c r="N1412" s="313"/>
      <c r="O1412" s="313">
        <v>0</v>
      </c>
      <c r="P1412" s="313">
        <v>591</v>
      </c>
      <c r="Q1412" s="313"/>
      <c r="R1412" s="313">
        <v>0</v>
      </c>
      <c r="S1412" s="313">
        <v>0</v>
      </c>
      <c r="T1412" s="313" t="s">
        <v>1784</v>
      </c>
      <c r="U1412" s="319"/>
      <c r="W1412" s="319"/>
      <c r="X1412" s="319"/>
      <c r="Y1412" s="319"/>
    </row>
    <row r="1413" spans="1:25" x14ac:dyDescent="0.2">
      <c r="A1413" s="45">
        <v>13</v>
      </c>
      <c r="B1413" s="45" t="s">
        <v>1239</v>
      </c>
      <c r="C1413" s="311" t="s">
        <v>1443</v>
      </c>
      <c r="D1413" s="313">
        <v>653756</v>
      </c>
      <c r="E1413" s="313"/>
      <c r="F1413" s="313">
        <v>622340</v>
      </c>
      <c r="G1413" s="313"/>
      <c r="H1413" s="313">
        <v>30410</v>
      </c>
      <c r="I1413" s="313"/>
      <c r="J1413" s="313">
        <v>1006</v>
      </c>
      <c r="K1413" s="313">
        <v>998</v>
      </c>
      <c r="L1413" s="313">
        <v>8</v>
      </c>
      <c r="M1413" s="313"/>
      <c r="N1413" s="313"/>
      <c r="O1413" s="313">
        <v>653756</v>
      </c>
      <c r="P1413" s="313">
        <v>592</v>
      </c>
      <c r="Q1413" s="313"/>
      <c r="R1413" s="313">
        <v>653756</v>
      </c>
      <c r="S1413" s="313">
        <v>0</v>
      </c>
      <c r="T1413" s="313" t="s">
        <v>1784</v>
      </c>
      <c r="U1413" s="319"/>
      <c r="W1413" s="319"/>
      <c r="X1413" s="319"/>
      <c r="Y1413" s="319"/>
    </row>
    <row r="1414" spans="1:25" x14ac:dyDescent="0.2">
      <c r="A1414" s="45">
        <v>14</v>
      </c>
      <c r="B1414" s="45" t="s">
        <v>1240</v>
      </c>
      <c r="C1414" s="311" t="s">
        <v>1443</v>
      </c>
      <c r="D1414" s="313">
        <v>6808860</v>
      </c>
      <c r="E1414" s="313"/>
      <c r="F1414" s="313">
        <v>6481662</v>
      </c>
      <c r="G1414" s="313"/>
      <c r="H1414" s="313">
        <v>316725</v>
      </c>
      <c r="I1414" s="313"/>
      <c r="J1414" s="313">
        <v>10474</v>
      </c>
      <c r="K1414" s="313">
        <v>10394</v>
      </c>
      <c r="L1414" s="313">
        <v>80</v>
      </c>
      <c r="M1414" s="313"/>
      <c r="N1414" s="313"/>
      <c r="O1414" s="313">
        <v>6808860</v>
      </c>
      <c r="P1414" s="313">
        <v>593</v>
      </c>
      <c r="Q1414" s="313"/>
      <c r="R1414" s="313">
        <v>6808860</v>
      </c>
      <c r="S1414" s="313">
        <v>0</v>
      </c>
      <c r="T1414" s="313" t="s">
        <v>1784</v>
      </c>
      <c r="U1414" s="319"/>
      <c r="W1414" s="319"/>
      <c r="X1414" s="319"/>
      <c r="Y1414" s="319"/>
    </row>
    <row r="1415" spans="1:25" x14ac:dyDescent="0.2">
      <c r="A1415" s="45">
        <v>15</v>
      </c>
      <c r="B1415" s="45" t="s">
        <v>1241</v>
      </c>
      <c r="C1415" s="311" t="s">
        <v>1443</v>
      </c>
      <c r="D1415" s="313">
        <v>261456</v>
      </c>
      <c r="E1415" s="313"/>
      <c r="F1415" s="313">
        <v>248892</v>
      </c>
      <c r="G1415" s="313"/>
      <c r="H1415" s="313">
        <v>12162</v>
      </c>
      <c r="I1415" s="313"/>
      <c r="J1415" s="313">
        <v>402</v>
      </c>
      <c r="K1415" s="313">
        <v>399</v>
      </c>
      <c r="L1415" s="313">
        <v>3</v>
      </c>
      <c r="M1415" s="313"/>
      <c r="N1415" s="313"/>
      <c r="O1415" s="313">
        <v>261456</v>
      </c>
      <c r="P1415" s="313">
        <v>594</v>
      </c>
      <c r="Q1415" s="313"/>
      <c r="R1415" s="313">
        <v>261456</v>
      </c>
      <c r="S1415" s="313">
        <v>0</v>
      </c>
      <c r="T1415" s="313" t="s">
        <v>1784</v>
      </c>
      <c r="U1415" s="319"/>
      <c r="W1415" s="319"/>
      <c r="X1415" s="319"/>
      <c r="Y1415" s="319"/>
    </row>
    <row r="1416" spans="1:25" x14ac:dyDescent="0.2">
      <c r="A1416" s="45">
        <v>16</v>
      </c>
      <c r="B1416" s="45" t="s">
        <v>1242</v>
      </c>
      <c r="C1416" s="311" t="s">
        <v>1443</v>
      </c>
      <c r="D1416" s="313">
        <v>56103</v>
      </c>
      <c r="E1416" s="313"/>
      <c r="F1416" s="313">
        <v>53407</v>
      </c>
      <c r="G1416" s="313"/>
      <c r="H1416" s="313">
        <v>2610</v>
      </c>
      <c r="I1416" s="313"/>
      <c r="J1416" s="313">
        <v>86</v>
      </c>
      <c r="K1416" s="313">
        <v>86</v>
      </c>
      <c r="L1416" s="313">
        <v>1</v>
      </c>
      <c r="M1416" s="313"/>
      <c r="N1416" s="313"/>
      <c r="O1416" s="313">
        <v>56103</v>
      </c>
      <c r="P1416" s="313">
        <v>595</v>
      </c>
      <c r="Q1416" s="313"/>
      <c r="R1416" s="313">
        <v>56103</v>
      </c>
      <c r="S1416" s="313">
        <v>0</v>
      </c>
      <c r="T1416" s="313" t="s">
        <v>1784</v>
      </c>
      <c r="U1416" s="319"/>
      <c r="W1416" s="319"/>
      <c r="X1416" s="319"/>
      <c r="Y1416" s="319"/>
    </row>
    <row r="1417" spans="1:25" x14ac:dyDescent="0.2">
      <c r="A1417" s="45">
        <v>17</v>
      </c>
      <c r="B1417" s="45" t="s">
        <v>1243</v>
      </c>
      <c r="C1417" s="311" t="s">
        <v>1443</v>
      </c>
      <c r="D1417" s="313">
        <v>0</v>
      </c>
      <c r="E1417" s="313"/>
      <c r="F1417" s="313">
        <v>0</v>
      </c>
      <c r="G1417" s="313"/>
      <c r="H1417" s="313">
        <v>0</v>
      </c>
      <c r="I1417" s="313"/>
      <c r="J1417" s="313">
        <v>0</v>
      </c>
      <c r="K1417" s="313">
        <v>0</v>
      </c>
      <c r="L1417" s="313">
        <v>0</v>
      </c>
      <c r="M1417" s="313"/>
      <c r="N1417" s="313"/>
      <c r="O1417" s="313">
        <v>0</v>
      </c>
      <c r="P1417" s="313">
        <v>596</v>
      </c>
      <c r="Q1417" s="313"/>
      <c r="R1417" s="313">
        <v>0</v>
      </c>
      <c r="S1417" s="313">
        <v>0</v>
      </c>
      <c r="T1417" s="313" t="s">
        <v>1784</v>
      </c>
      <c r="U1417" s="319"/>
      <c r="W1417" s="319"/>
      <c r="X1417" s="319"/>
      <c r="Y1417" s="319"/>
    </row>
    <row r="1418" spans="1:25" x14ac:dyDescent="0.2">
      <c r="A1418" s="45">
        <v>18</v>
      </c>
      <c r="B1418" s="45" t="s">
        <v>1244</v>
      </c>
      <c r="C1418" s="311" t="s">
        <v>1443</v>
      </c>
      <c r="D1418" s="313">
        <v>0</v>
      </c>
      <c r="E1418" s="313"/>
      <c r="F1418" s="313">
        <v>0</v>
      </c>
      <c r="G1418" s="313"/>
      <c r="H1418" s="313">
        <v>0</v>
      </c>
      <c r="I1418" s="313"/>
      <c r="J1418" s="313">
        <v>0</v>
      </c>
      <c r="K1418" s="313">
        <v>0</v>
      </c>
      <c r="L1418" s="313">
        <v>0</v>
      </c>
      <c r="M1418" s="313"/>
      <c r="N1418" s="313"/>
      <c r="O1418" s="313">
        <v>0</v>
      </c>
      <c r="P1418" s="313">
        <v>597</v>
      </c>
      <c r="Q1418" s="313"/>
      <c r="R1418" s="313">
        <v>0</v>
      </c>
      <c r="S1418" s="313">
        <v>0</v>
      </c>
      <c r="T1418" s="313" t="s">
        <v>1784</v>
      </c>
      <c r="U1418" s="319"/>
      <c r="W1418" s="319"/>
      <c r="X1418" s="319"/>
      <c r="Y1418" s="319"/>
    </row>
    <row r="1419" spans="1:25" x14ac:dyDescent="0.2">
      <c r="A1419" s="45">
        <v>19</v>
      </c>
      <c r="B1419" s="45" t="s">
        <v>881</v>
      </c>
      <c r="C1419" s="311" t="s">
        <v>1443</v>
      </c>
      <c r="D1419" s="313">
        <v>3720</v>
      </c>
      <c r="E1419" s="313"/>
      <c r="F1419" s="313">
        <v>3541</v>
      </c>
      <c r="G1419" s="313"/>
      <c r="H1419" s="313">
        <v>173</v>
      </c>
      <c r="I1419" s="313"/>
      <c r="J1419" s="313">
        <v>6</v>
      </c>
      <c r="K1419" s="313">
        <v>6</v>
      </c>
      <c r="L1419" s="313">
        <v>0</v>
      </c>
      <c r="M1419" s="313"/>
      <c r="N1419" s="313"/>
      <c r="O1419" s="313">
        <v>3720</v>
      </c>
      <c r="P1419" s="313">
        <v>598</v>
      </c>
      <c r="Q1419" s="313"/>
      <c r="R1419" s="313">
        <v>3720</v>
      </c>
      <c r="S1419" s="313">
        <v>0</v>
      </c>
      <c r="T1419" s="313" t="s">
        <v>1784</v>
      </c>
      <c r="U1419" s="319"/>
      <c r="W1419" s="319"/>
      <c r="X1419" s="319"/>
      <c r="Y1419" s="319"/>
    </row>
    <row r="1420" spans="1:25" x14ac:dyDescent="0.2">
      <c r="A1420" s="45"/>
      <c r="B1420" s="45"/>
      <c r="C1420" s="311"/>
      <c r="D1420" s="313"/>
      <c r="E1420" s="313"/>
      <c r="F1420" s="313"/>
      <c r="G1420" s="313"/>
      <c r="H1420" s="313"/>
      <c r="I1420" s="313"/>
      <c r="J1420" s="313"/>
      <c r="K1420" s="313"/>
      <c r="L1420" s="313"/>
      <c r="M1420" s="313"/>
      <c r="N1420" s="313"/>
      <c r="O1420" s="313"/>
      <c r="P1420" s="313"/>
      <c r="Q1420" s="313"/>
      <c r="R1420" s="313"/>
      <c r="S1420" s="313"/>
      <c r="T1420" s="313"/>
      <c r="U1420" s="319"/>
      <c r="W1420" s="319"/>
      <c r="X1420" s="319"/>
      <c r="Y1420" s="319"/>
    </row>
    <row r="1421" spans="1:25" x14ac:dyDescent="0.2">
      <c r="A1421" s="312">
        <v>20</v>
      </c>
      <c r="B1421" s="423" t="s">
        <v>882</v>
      </c>
      <c r="C1421" s="424" t="s">
        <v>1443</v>
      </c>
      <c r="D1421" s="313">
        <v>22389321</v>
      </c>
      <c r="E1421" s="313"/>
      <c r="F1421" s="313">
        <v>21313408</v>
      </c>
      <c r="G1421" s="313"/>
      <c r="H1421" s="313">
        <v>1041474</v>
      </c>
      <c r="I1421" s="313"/>
      <c r="J1421" s="313">
        <v>34440</v>
      </c>
      <c r="K1421" s="313">
        <v>34178</v>
      </c>
      <c r="L1421" s="313">
        <v>262</v>
      </c>
      <c r="M1421" s="313"/>
      <c r="N1421" s="313"/>
      <c r="O1421" s="313"/>
      <c r="P1421" s="313"/>
      <c r="Q1421" s="313"/>
      <c r="R1421" s="313"/>
      <c r="S1421" s="313"/>
      <c r="T1421" s="313"/>
      <c r="U1421" s="319"/>
      <c r="W1421" s="319"/>
      <c r="X1421" s="319"/>
      <c r="Y1421" s="319"/>
    </row>
    <row r="1422" spans="1:25" x14ac:dyDescent="0.2">
      <c r="A1422" s="45"/>
      <c r="B1422" s="45"/>
      <c r="C1422" s="311"/>
      <c r="D1422" s="313"/>
      <c r="E1422" s="313"/>
      <c r="F1422" s="313"/>
      <c r="G1422" s="313"/>
      <c r="H1422" s="313"/>
      <c r="I1422" s="313"/>
      <c r="J1422" s="313"/>
      <c r="K1422" s="313"/>
      <c r="L1422" s="313"/>
      <c r="M1422" s="313"/>
      <c r="N1422" s="313"/>
      <c r="O1422" s="313"/>
      <c r="P1422" s="313"/>
      <c r="Q1422" s="313"/>
      <c r="R1422" s="313"/>
      <c r="S1422" s="313"/>
      <c r="T1422" s="313"/>
      <c r="U1422" s="319"/>
      <c r="W1422" s="319"/>
      <c r="X1422" s="319"/>
      <c r="Y1422" s="319"/>
    </row>
    <row r="1423" spans="1:25" x14ac:dyDescent="0.2">
      <c r="A1423" s="312">
        <v>21</v>
      </c>
      <c r="B1423" s="423" t="s">
        <v>883</v>
      </c>
      <c r="C1423" s="45"/>
      <c r="D1423" s="313">
        <v>96926052</v>
      </c>
      <c r="E1423" s="313"/>
      <c r="F1423" s="313">
        <v>90909156</v>
      </c>
      <c r="G1423" s="313"/>
      <c r="H1423" s="313">
        <v>4670387</v>
      </c>
      <c r="I1423" s="313"/>
      <c r="J1423" s="313">
        <v>1346509</v>
      </c>
      <c r="K1423" s="313">
        <v>703022</v>
      </c>
      <c r="L1423" s="313">
        <v>643487</v>
      </c>
      <c r="M1423" s="313"/>
      <c r="N1423" s="313"/>
      <c r="O1423" s="313"/>
      <c r="P1423" s="313"/>
      <c r="Q1423" s="313"/>
      <c r="R1423" s="313"/>
      <c r="S1423" s="313"/>
      <c r="T1423" s="313"/>
      <c r="U1423" s="319"/>
      <c r="W1423" s="319"/>
      <c r="X1423" s="319"/>
      <c r="Y1423" s="319"/>
    </row>
    <row r="1424" spans="1:25" x14ac:dyDescent="0.2">
      <c r="A1424" s="312"/>
      <c r="B1424" s="423"/>
      <c r="C1424" s="45"/>
      <c r="D1424" s="313"/>
      <c r="E1424" s="313"/>
      <c r="F1424" s="313"/>
      <c r="G1424" s="313"/>
      <c r="H1424" s="313"/>
      <c r="I1424" s="313"/>
      <c r="J1424" s="313"/>
      <c r="K1424" s="313"/>
      <c r="L1424" s="313"/>
      <c r="M1424" s="313"/>
      <c r="N1424" s="313"/>
      <c r="O1424" s="313"/>
      <c r="P1424" s="313"/>
      <c r="Q1424" s="313"/>
      <c r="R1424" s="313"/>
      <c r="S1424" s="313"/>
      <c r="T1424" s="313"/>
      <c r="U1424" s="319"/>
      <c r="W1424" s="319"/>
      <c r="X1424" s="319"/>
      <c r="Y1424" s="319"/>
    </row>
    <row r="1425" spans="1:25" x14ac:dyDescent="0.2">
      <c r="A1425" s="312"/>
      <c r="B1425" s="423"/>
      <c r="C1425" s="45"/>
      <c r="D1425" s="313"/>
      <c r="E1425" s="313"/>
      <c r="F1425" s="313"/>
      <c r="G1425" s="313"/>
      <c r="H1425" s="313"/>
      <c r="I1425" s="313"/>
      <c r="J1425" s="313"/>
      <c r="K1425" s="313"/>
      <c r="L1425" s="313"/>
      <c r="M1425" s="313"/>
      <c r="N1425" s="313"/>
      <c r="O1425" s="313"/>
      <c r="P1425" s="313"/>
      <c r="Q1425" s="313"/>
      <c r="R1425" s="313"/>
      <c r="S1425" s="313"/>
      <c r="T1425" s="313"/>
      <c r="W1425" s="319"/>
    </row>
    <row r="1426" spans="1:25" x14ac:dyDescent="0.2">
      <c r="A1426" s="312"/>
      <c r="B1426" s="423"/>
      <c r="C1426" s="45"/>
      <c r="D1426" s="313"/>
      <c r="E1426" s="313"/>
      <c r="F1426" s="313"/>
      <c r="G1426" s="313"/>
      <c r="H1426" s="313"/>
      <c r="I1426" s="313"/>
      <c r="J1426" s="313"/>
      <c r="K1426" s="313"/>
      <c r="L1426" s="313"/>
      <c r="M1426" s="313"/>
      <c r="N1426" s="313"/>
      <c r="O1426" s="313"/>
      <c r="P1426" s="313"/>
      <c r="Q1426" s="313"/>
      <c r="R1426" s="313"/>
      <c r="S1426" s="313"/>
      <c r="T1426" s="313"/>
      <c r="W1426" s="319"/>
    </row>
    <row r="1427" spans="1:25" x14ac:dyDescent="0.2">
      <c r="A1427" s="312"/>
      <c r="B1427" s="423"/>
      <c r="C1427" s="45"/>
      <c r="D1427" s="313"/>
      <c r="E1427" s="313"/>
      <c r="F1427" s="313"/>
      <c r="G1427" s="313"/>
      <c r="H1427" s="313"/>
      <c r="I1427" s="313"/>
      <c r="J1427" s="313"/>
      <c r="K1427" s="313"/>
      <c r="L1427" s="313"/>
      <c r="M1427" s="313"/>
      <c r="N1427" s="313"/>
      <c r="O1427" s="313"/>
      <c r="P1427" s="313"/>
      <c r="Q1427" s="313"/>
      <c r="R1427" s="313"/>
      <c r="S1427" s="313"/>
      <c r="T1427" s="313"/>
      <c r="W1427" s="319"/>
    </row>
    <row r="1428" spans="1:25" x14ac:dyDescent="0.2">
      <c r="A1428" s="45"/>
      <c r="B1428" s="423" t="s">
        <v>884</v>
      </c>
      <c r="C1428" s="45"/>
      <c r="D1428" s="313"/>
      <c r="E1428" s="313"/>
      <c r="F1428" s="313"/>
      <c r="G1428" s="313"/>
      <c r="H1428" s="313"/>
      <c r="I1428" s="313"/>
      <c r="J1428" s="313"/>
      <c r="K1428" s="313"/>
      <c r="L1428" s="313"/>
      <c r="M1428" s="313"/>
      <c r="N1428" s="313"/>
      <c r="O1428" s="313"/>
      <c r="P1428" s="313"/>
      <c r="Q1428" s="313"/>
      <c r="R1428" s="313"/>
      <c r="S1428" s="313"/>
      <c r="T1428" s="313"/>
      <c r="W1428" s="319"/>
    </row>
    <row r="1429" spans="1:25" x14ac:dyDescent="0.2">
      <c r="A1429" s="312">
        <v>1</v>
      </c>
      <c r="B1429" s="423" t="s">
        <v>885</v>
      </c>
      <c r="C1429" s="427" t="s">
        <v>1940</v>
      </c>
      <c r="D1429" s="313">
        <v>4212138</v>
      </c>
      <c r="E1429" s="313"/>
      <c r="F1429" s="313">
        <v>4005700</v>
      </c>
      <c r="G1429" s="313"/>
      <c r="H1429" s="313">
        <v>204741</v>
      </c>
      <c r="I1429" s="313"/>
      <c r="J1429" s="313">
        <v>1697</v>
      </c>
      <c r="K1429" s="313">
        <v>679</v>
      </c>
      <c r="L1429" s="313">
        <v>1018</v>
      </c>
      <c r="M1429" s="313"/>
      <c r="N1429" s="313"/>
      <c r="O1429" s="313">
        <v>4212138</v>
      </c>
      <c r="P1429" s="313">
        <v>901</v>
      </c>
      <c r="Q1429" s="313"/>
      <c r="R1429" s="313">
        <v>4212138</v>
      </c>
      <c r="S1429" s="313">
        <v>0</v>
      </c>
      <c r="T1429" s="313" t="s">
        <v>1784</v>
      </c>
      <c r="W1429" s="319"/>
    </row>
    <row r="1430" spans="1:25" x14ac:dyDescent="0.2">
      <c r="A1430" s="45">
        <v>2</v>
      </c>
      <c r="B1430" s="423" t="s">
        <v>886</v>
      </c>
      <c r="C1430" s="427" t="s">
        <v>1940</v>
      </c>
      <c r="D1430" s="313">
        <v>791136</v>
      </c>
      <c r="E1430" s="313"/>
      <c r="F1430" s="313">
        <v>752362</v>
      </c>
      <c r="G1430" s="313"/>
      <c r="H1430" s="313">
        <v>38455</v>
      </c>
      <c r="I1430" s="313"/>
      <c r="J1430" s="313">
        <v>319</v>
      </c>
      <c r="K1430" s="313">
        <v>128</v>
      </c>
      <c r="L1430" s="313">
        <v>191</v>
      </c>
      <c r="M1430" s="313"/>
      <c r="N1430" s="313"/>
      <c r="O1430" s="313">
        <v>791136</v>
      </c>
      <c r="P1430" s="313">
        <v>902</v>
      </c>
      <c r="Q1430" s="313"/>
      <c r="R1430" s="313">
        <v>791136</v>
      </c>
      <c r="S1430" s="313">
        <v>0</v>
      </c>
      <c r="T1430" s="313" t="s">
        <v>1784</v>
      </c>
      <c r="W1430" s="319"/>
      <c r="X1430" s="319"/>
      <c r="Y1430" s="319"/>
    </row>
    <row r="1431" spans="1:25" x14ac:dyDescent="0.2">
      <c r="A1431" s="312">
        <v>3</v>
      </c>
      <c r="B1431" s="45" t="s">
        <v>887</v>
      </c>
      <c r="C1431" s="427" t="s">
        <v>1940</v>
      </c>
      <c r="D1431" s="313">
        <v>14131600</v>
      </c>
      <c r="E1431" s="313"/>
      <c r="F1431" s="313">
        <v>13439006</v>
      </c>
      <c r="G1431" s="313"/>
      <c r="H1431" s="313">
        <v>686900</v>
      </c>
      <c r="I1431" s="313"/>
      <c r="J1431" s="313">
        <v>5695</v>
      </c>
      <c r="K1431" s="313">
        <v>2278</v>
      </c>
      <c r="L1431" s="313">
        <v>3417</v>
      </c>
      <c r="M1431" s="313"/>
      <c r="N1431" s="313"/>
      <c r="O1431" s="313">
        <v>14131600</v>
      </c>
      <c r="P1431" s="313">
        <v>903</v>
      </c>
      <c r="Q1431" s="313"/>
      <c r="R1431" s="313">
        <v>14131600</v>
      </c>
      <c r="S1431" s="313">
        <v>0</v>
      </c>
      <c r="T1431" s="313" t="s">
        <v>1784</v>
      </c>
      <c r="U1431" s="319"/>
      <c r="W1431" s="319"/>
      <c r="X1431" s="319"/>
      <c r="Y1431" s="319"/>
    </row>
    <row r="1432" spans="1:25" x14ac:dyDescent="0.2">
      <c r="A1432" s="45">
        <v>4</v>
      </c>
      <c r="B1432" s="423" t="s">
        <v>888</v>
      </c>
      <c r="C1432" s="427" t="s">
        <v>1940</v>
      </c>
      <c r="D1432" s="313">
        <v>0</v>
      </c>
      <c r="E1432" s="313"/>
      <c r="F1432" s="313">
        <v>0</v>
      </c>
      <c r="G1432" s="313"/>
      <c r="H1432" s="313">
        <v>0</v>
      </c>
      <c r="I1432" s="313"/>
      <c r="J1432" s="313">
        <v>0</v>
      </c>
      <c r="K1432" s="313">
        <v>0</v>
      </c>
      <c r="L1432" s="313">
        <v>0</v>
      </c>
      <c r="M1432" s="313"/>
      <c r="N1432" s="313"/>
      <c r="O1432" s="313">
        <v>0</v>
      </c>
      <c r="P1432" s="313">
        <v>904</v>
      </c>
      <c r="Q1432" s="313"/>
      <c r="R1432" s="313">
        <v>0</v>
      </c>
      <c r="S1432" s="313">
        <v>0</v>
      </c>
      <c r="T1432" s="313" t="s">
        <v>1784</v>
      </c>
      <c r="W1432" s="319"/>
      <c r="X1432" s="319"/>
      <c r="Y1432" s="319"/>
    </row>
    <row r="1433" spans="1:25" x14ac:dyDescent="0.2">
      <c r="A1433" s="312">
        <v>5</v>
      </c>
      <c r="B1433" s="45" t="s">
        <v>889</v>
      </c>
      <c r="C1433" s="427" t="s">
        <v>1940</v>
      </c>
      <c r="D1433" s="313">
        <v>0</v>
      </c>
      <c r="E1433" s="313"/>
      <c r="F1433" s="313">
        <v>0</v>
      </c>
      <c r="G1433" s="313"/>
      <c r="H1433" s="313">
        <v>0</v>
      </c>
      <c r="I1433" s="313"/>
      <c r="J1433" s="313">
        <v>0</v>
      </c>
      <c r="K1433" s="313">
        <v>0</v>
      </c>
      <c r="L1433" s="313">
        <v>0</v>
      </c>
      <c r="M1433" s="313"/>
      <c r="N1433" s="313"/>
      <c r="O1433" s="313">
        <v>0</v>
      </c>
      <c r="P1433" s="313">
        <v>905</v>
      </c>
      <c r="Q1433" s="313"/>
      <c r="R1433" s="313">
        <v>0</v>
      </c>
      <c r="S1433" s="313">
        <v>0</v>
      </c>
      <c r="T1433" s="313" t="s">
        <v>1784</v>
      </c>
      <c r="U1433" s="319"/>
      <c r="W1433" s="319"/>
      <c r="X1433" s="319"/>
      <c r="Y1433" s="319"/>
    </row>
    <row r="1434" spans="1:25" x14ac:dyDescent="0.2">
      <c r="A1434" s="45"/>
      <c r="B1434" s="423"/>
      <c r="C1434" s="424"/>
      <c r="D1434" s="313"/>
      <c r="E1434" s="313"/>
      <c r="F1434" s="313"/>
      <c r="G1434" s="313"/>
      <c r="H1434" s="313"/>
      <c r="I1434" s="313"/>
      <c r="J1434" s="313"/>
      <c r="K1434" s="313"/>
      <c r="L1434" s="313"/>
      <c r="M1434" s="313"/>
      <c r="N1434" s="313"/>
      <c r="O1434" s="313"/>
      <c r="P1434" s="313"/>
      <c r="Q1434" s="313"/>
      <c r="R1434" s="313"/>
      <c r="S1434" s="313"/>
      <c r="T1434" s="313"/>
      <c r="W1434" s="319"/>
      <c r="X1434" s="319"/>
      <c r="Y1434" s="319"/>
    </row>
    <row r="1435" spans="1:25" x14ac:dyDescent="0.2">
      <c r="A1435" s="312">
        <v>6</v>
      </c>
      <c r="B1435" s="45" t="s">
        <v>890</v>
      </c>
      <c r="C1435" s="311"/>
      <c r="D1435" s="313">
        <v>19134874</v>
      </c>
      <c r="E1435" s="313"/>
      <c r="F1435" s="313">
        <v>18197068</v>
      </c>
      <c r="G1435" s="313"/>
      <c r="H1435" s="313">
        <v>930095</v>
      </c>
      <c r="I1435" s="313"/>
      <c r="J1435" s="313">
        <v>7711</v>
      </c>
      <c r="K1435" s="313">
        <v>3084</v>
      </c>
      <c r="L1435" s="313">
        <v>4626</v>
      </c>
      <c r="M1435" s="313"/>
      <c r="N1435" s="313"/>
      <c r="O1435" s="313"/>
      <c r="P1435" s="313"/>
      <c r="Q1435" s="313"/>
      <c r="R1435" s="313"/>
      <c r="S1435" s="313"/>
      <c r="T1435" s="313"/>
      <c r="U1435" s="319"/>
      <c r="W1435" s="319"/>
    </row>
    <row r="1436" spans="1:25" x14ac:dyDescent="0.2">
      <c r="A1436" s="312"/>
      <c r="B1436" s="45"/>
      <c r="C1436" s="311"/>
      <c r="D1436" s="313"/>
      <c r="E1436" s="313"/>
      <c r="F1436" s="313"/>
      <c r="G1436" s="313"/>
      <c r="H1436" s="313"/>
      <c r="I1436" s="313"/>
      <c r="J1436" s="313"/>
      <c r="K1436" s="313"/>
      <c r="L1436" s="313"/>
      <c r="M1436" s="313"/>
      <c r="N1436" s="313"/>
      <c r="O1436" s="313"/>
      <c r="P1436" s="313"/>
      <c r="Q1436" s="313"/>
      <c r="R1436" s="313"/>
      <c r="S1436" s="313"/>
      <c r="T1436" s="313"/>
      <c r="W1436" s="319"/>
    </row>
    <row r="1437" spans="1:25" x14ac:dyDescent="0.2">
      <c r="A1437" s="45"/>
      <c r="B1437" s="423" t="s">
        <v>891</v>
      </c>
      <c r="C1437" s="45"/>
      <c r="D1437" s="313"/>
      <c r="E1437" s="313"/>
      <c r="F1437" s="313"/>
      <c r="G1437" s="313"/>
      <c r="H1437" s="313"/>
      <c r="I1437" s="313"/>
      <c r="J1437" s="313"/>
      <c r="K1437" s="313"/>
      <c r="L1437" s="313"/>
      <c r="M1437" s="313"/>
      <c r="N1437" s="313"/>
      <c r="O1437" s="313"/>
      <c r="P1437" s="313"/>
      <c r="Q1437" s="313"/>
      <c r="R1437" s="313"/>
      <c r="S1437" s="313"/>
      <c r="T1437" s="313"/>
      <c r="W1437" s="319"/>
    </row>
    <row r="1438" spans="1:25" x14ac:dyDescent="0.2">
      <c r="A1438" s="45">
        <v>7</v>
      </c>
      <c r="B1438" s="45" t="s">
        <v>892</v>
      </c>
      <c r="C1438" s="427" t="s">
        <v>1941</v>
      </c>
      <c r="D1438" s="313">
        <v>354341</v>
      </c>
      <c r="E1438" s="313"/>
      <c r="F1438" s="313">
        <v>350160</v>
      </c>
      <c r="G1438" s="313"/>
      <c r="H1438" s="313">
        <v>4181</v>
      </c>
      <c r="I1438" s="313"/>
      <c r="J1438" s="313">
        <v>0</v>
      </c>
      <c r="K1438" s="313">
        <v>0</v>
      </c>
      <c r="L1438" s="313">
        <v>0</v>
      </c>
      <c r="M1438" s="313"/>
      <c r="N1438" s="313"/>
      <c r="O1438" s="313">
        <v>354341</v>
      </c>
      <c r="P1438" s="313">
        <v>907</v>
      </c>
      <c r="Q1438" s="313"/>
      <c r="R1438" s="313">
        <v>354341</v>
      </c>
      <c r="S1438" s="313">
        <v>0</v>
      </c>
      <c r="T1438" s="313" t="s">
        <v>1784</v>
      </c>
      <c r="W1438" s="319"/>
    </row>
    <row r="1439" spans="1:25" x14ac:dyDescent="0.2">
      <c r="A1439" s="45">
        <v>8</v>
      </c>
      <c r="B1439" s="423" t="s">
        <v>893</v>
      </c>
      <c r="C1439" s="427" t="s">
        <v>1941</v>
      </c>
      <c r="D1439" s="313">
        <v>1321702</v>
      </c>
      <c r="E1439" s="313"/>
      <c r="F1439" s="313">
        <v>1306105</v>
      </c>
      <c r="G1439" s="313"/>
      <c r="H1439" s="313">
        <v>15597</v>
      </c>
      <c r="I1439" s="313"/>
      <c r="J1439" s="313">
        <v>0</v>
      </c>
      <c r="K1439" s="313">
        <v>0</v>
      </c>
      <c r="L1439" s="313">
        <v>0</v>
      </c>
      <c r="M1439" s="313"/>
      <c r="N1439" s="313"/>
      <c r="O1439" s="313">
        <v>1321702</v>
      </c>
      <c r="P1439" s="313">
        <v>908</v>
      </c>
      <c r="Q1439" s="313"/>
      <c r="R1439" s="313">
        <v>1321702</v>
      </c>
      <c r="S1439" s="313">
        <v>0</v>
      </c>
      <c r="T1439" s="313" t="s">
        <v>1784</v>
      </c>
      <c r="W1439" s="319"/>
      <c r="X1439" s="319"/>
      <c r="Y1439" s="319"/>
    </row>
    <row r="1440" spans="1:25" x14ac:dyDescent="0.2">
      <c r="A1440" s="45">
        <v>9</v>
      </c>
      <c r="B1440" s="45" t="s">
        <v>894</v>
      </c>
      <c r="C1440" s="427" t="s">
        <v>1941</v>
      </c>
      <c r="D1440" s="313">
        <v>0</v>
      </c>
      <c r="E1440" s="313"/>
      <c r="F1440" s="313">
        <v>0</v>
      </c>
      <c r="G1440" s="313"/>
      <c r="H1440" s="313">
        <v>0</v>
      </c>
      <c r="I1440" s="313"/>
      <c r="J1440" s="313">
        <v>0</v>
      </c>
      <c r="K1440" s="313">
        <v>0</v>
      </c>
      <c r="L1440" s="313">
        <v>0</v>
      </c>
      <c r="M1440" s="313"/>
      <c r="N1440" s="313"/>
      <c r="O1440" s="313">
        <v>0</v>
      </c>
      <c r="P1440" s="313">
        <v>909</v>
      </c>
      <c r="Q1440" s="313"/>
      <c r="R1440" s="313">
        <v>0</v>
      </c>
      <c r="S1440" s="313">
        <v>0</v>
      </c>
      <c r="T1440" s="313" t="s">
        <v>1784</v>
      </c>
      <c r="W1440" s="319"/>
      <c r="X1440" s="319"/>
      <c r="Y1440" s="319"/>
    </row>
    <row r="1441" spans="1:25" x14ac:dyDescent="0.2">
      <c r="A1441" s="45">
        <v>10</v>
      </c>
      <c r="B1441" s="423" t="s">
        <v>895</v>
      </c>
      <c r="C1441" s="427" t="s">
        <v>1941</v>
      </c>
      <c r="D1441" s="313">
        <v>522747</v>
      </c>
      <c r="E1441" s="313"/>
      <c r="F1441" s="313">
        <v>516578</v>
      </c>
      <c r="G1441" s="313"/>
      <c r="H1441" s="313">
        <v>6169</v>
      </c>
      <c r="I1441" s="313"/>
      <c r="J1441" s="313">
        <v>0</v>
      </c>
      <c r="K1441" s="313">
        <v>0</v>
      </c>
      <c r="L1441" s="313">
        <v>0</v>
      </c>
      <c r="M1441" s="313"/>
      <c r="N1441" s="313"/>
      <c r="O1441" s="313">
        <v>522747</v>
      </c>
      <c r="P1441" s="313">
        <v>910</v>
      </c>
      <c r="Q1441" s="313"/>
      <c r="R1441" s="313">
        <v>522747</v>
      </c>
      <c r="S1441" s="313">
        <v>0</v>
      </c>
      <c r="T1441" s="313" t="s">
        <v>1784</v>
      </c>
      <c r="W1441" s="319"/>
      <c r="X1441" s="319"/>
      <c r="Y1441" s="319"/>
    </row>
    <row r="1442" spans="1:25" x14ac:dyDescent="0.2">
      <c r="A1442" s="45">
        <v>11</v>
      </c>
      <c r="B1442" s="45" t="s">
        <v>1039</v>
      </c>
      <c r="C1442" s="427" t="s">
        <v>1941</v>
      </c>
      <c r="D1442" s="313">
        <v>0</v>
      </c>
      <c r="E1442" s="313"/>
      <c r="F1442" s="313">
        <v>0</v>
      </c>
      <c r="G1442" s="313"/>
      <c r="H1442" s="313">
        <v>0</v>
      </c>
      <c r="I1442" s="313"/>
      <c r="J1442" s="313">
        <v>0</v>
      </c>
      <c r="K1442" s="313">
        <v>0</v>
      </c>
      <c r="L1442" s="313">
        <v>0</v>
      </c>
      <c r="M1442" s="313"/>
      <c r="N1442" s="313"/>
      <c r="O1442" s="313">
        <v>0</v>
      </c>
      <c r="P1442" s="313">
        <v>912</v>
      </c>
      <c r="Q1442" s="313"/>
      <c r="R1442" s="313">
        <v>0</v>
      </c>
      <c r="S1442" s="313">
        <v>0</v>
      </c>
      <c r="T1442" s="313" t="s">
        <v>1784</v>
      </c>
      <c r="W1442" s="319"/>
      <c r="X1442" s="319"/>
      <c r="Y1442" s="319"/>
    </row>
    <row r="1443" spans="1:25" x14ac:dyDescent="0.2">
      <c r="A1443" s="45">
        <v>12</v>
      </c>
      <c r="B1443" s="423" t="s">
        <v>1040</v>
      </c>
      <c r="C1443" s="427" t="s">
        <v>1941</v>
      </c>
      <c r="D1443" s="313">
        <v>0</v>
      </c>
      <c r="E1443" s="313"/>
      <c r="F1443" s="313">
        <v>0</v>
      </c>
      <c r="G1443" s="313"/>
      <c r="H1443" s="313">
        <v>0</v>
      </c>
      <c r="I1443" s="313"/>
      <c r="J1443" s="313">
        <v>0</v>
      </c>
      <c r="K1443" s="313">
        <v>0</v>
      </c>
      <c r="L1443" s="313">
        <v>0</v>
      </c>
      <c r="M1443" s="313"/>
      <c r="N1443" s="313"/>
      <c r="O1443" s="313">
        <v>0</v>
      </c>
      <c r="P1443" s="313">
        <v>913</v>
      </c>
      <c r="Q1443" s="313"/>
      <c r="R1443" s="313">
        <v>0</v>
      </c>
      <c r="S1443" s="313">
        <v>0</v>
      </c>
      <c r="T1443" s="313" t="s">
        <v>1784</v>
      </c>
      <c r="W1443" s="319"/>
      <c r="X1443" s="319"/>
      <c r="Y1443" s="319"/>
    </row>
    <row r="1444" spans="1:25" x14ac:dyDescent="0.2">
      <c r="A1444" s="45">
        <v>13</v>
      </c>
      <c r="B1444" s="45" t="s">
        <v>1041</v>
      </c>
      <c r="C1444" s="427" t="s">
        <v>1941</v>
      </c>
      <c r="D1444" s="313">
        <v>0</v>
      </c>
      <c r="E1444" s="313"/>
      <c r="F1444" s="313">
        <v>0</v>
      </c>
      <c r="G1444" s="313"/>
      <c r="H1444" s="313">
        <v>0</v>
      </c>
      <c r="I1444" s="313"/>
      <c r="J1444" s="313">
        <v>0</v>
      </c>
      <c r="K1444" s="313">
        <v>0</v>
      </c>
      <c r="L1444" s="313">
        <v>0</v>
      </c>
      <c r="M1444" s="313"/>
      <c r="N1444" s="313"/>
      <c r="O1444" s="313">
        <v>0</v>
      </c>
      <c r="P1444" s="313">
        <v>916</v>
      </c>
      <c r="Q1444" s="313"/>
      <c r="R1444" s="313">
        <v>0</v>
      </c>
      <c r="S1444" s="313">
        <v>0</v>
      </c>
      <c r="T1444" s="313" t="s">
        <v>1784</v>
      </c>
      <c r="W1444" s="319"/>
      <c r="X1444" s="319"/>
      <c r="Y1444" s="319"/>
    </row>
    <row r="1445" spans="1:25" x14ac:dyDescent="0.2">
      <c r="A1445" s="45"/>
      <c r="B1445" s="423"/>
      <c r="C1445" s="45"/>
      <c r="D1445" s="313"/>
      <c r="E1445" s="313"/>
      <c r="F1445" s="313"/>
      <c r="G1445" s="313"/>
      <c r="H1445" s="313"/>
      <c r="I1445" s="313"/>
      <c r="J1445" s="313"/>
      <c r="K1445" s="313"/>
      <c r="L1445" s="313"/>
      <c r="M1445" s="313"/>
      <c r="N1445" s="313"/>
      <c r="O1445" s="313"/>
      <c r="P1445" s="313"/>
      <c r="Q1445" s="313"/>
      <c r="R1445" s="313"/>
      <c r="S1445" s="313"/>
      <c r="T1445" s="313"/>
      <c r="W1445" s="319"/>
      <c r="X1445" s="319"/>
      <c r="Y1445" s="319"/>
    </row>
    <row r="1446" spans="1:25" x14ac:dyDescent="0.2">
      <c r="A1446" s="45">
        <v>14</v>
      </c>
      <c r="B1446" s="432" t="s">
        <v>1327</v>
      </c>
      <c r="C1446" s="45"/>
      <c r="D1446" s="313">
        <v>2198790</v>
      </c>
      <c r="E1446" s="313"/>
      <c r="F1446" s="313">
        <v>2172843</v>
      </c>
      <c r="G1446" s="313"/>
      <c r="H1446" s="313">
        <v>25947</v>
      </c>
      <c r="I1446" s="313"/>
      <c r="J1446" s="313">
        <v>0</v>
      </c>
      <c r="K1446" s="313">
        <v>0</v>
      </c>
      <c r="L1446" s="313">
        <v>0</v>
      </c>
      <c r="M1446" s="313"/>
      <c r="N1446" s="313"/>
      <c r="O1446" s="313"/>
      <c r="P1446" s="313"/>
      <c r="Q1446" s="313"/>
      <c r="R1446" s="313"/>
      <c r="S1446" s="313"/>
      <c r="T1446" s="313"/>
      <c r="W1446" s="319"/>
    </row>
    <row r="1447" spans="1:25" x14ac:dyDescent="0.2">
      <c r="A1447" s="45"/>
      <c r="B1447" s="45"/>
      <c r="C1447" s="45"/>
      <c r="D1447" s="313"/>
      <c r="E1447" s="313"/>
      <c r="F1447" s="313"/>
      <c r="G1447" s="313"/>
      <c r="H1447" s="313"/>
      <c r="I1447" s="313"/>
      <c r="J1447" s="313"/>
      <c r="K1447" s="313"/>
      <c r="L1447" s="313"/>
      <c r="M1447" s="313"/>
      <c r="N1447" s="313"/>
      <c r="O1447" s="313"/>
      <c r="P1447" s="313"/>
      <c r="Q1447" s="313"/>
      <c r="R1447" s="313"/>
      <c r="S1447" s="313"/>
      <c r="T1447" s="313"/>
      <c r="W1447" s="319"/>
    </row>
    <row r="1448" spans="1:25" x14ac:dyDescent="0.2">
      <c r="A1448" s="45">
        <v>15</v>
      </c>
      <c r="B1448" s="438" t="s">
        <v>1328</v>
      </c>
      <c r="C1448" s="45"/>
      <c r="D1448" s="313">
        <v>118259716</v>
      </c>
      <c r="E1448" s="313"/>
      <c r="F1448" s="313">
        <v>111279067</v>
      </c>
      <c r="G1448" s="313"/>
      <c r="H1448" s="313">
        <v>5626429</v>
      </c>
      <c r="I1448" s="313"/>
      <c r="J1448" s="313">
        <v>1354219</v>
      </c>
      <c r="K1448" s="313">
        <v>706106</v>
      </c>
      <c r="L1448" s="313">
        <v>648114</v>
      </c>
      <c r="M1448" s="313"/>
      <c r="N1448" s="313"/>
      <c r="O1448" s="313"/>
      <c r="P1448" s="313"/>
      <c r="Q1448" s="313"/>
      <c r="R1448" s="313"/>
      <c r="S1448" s="313"/>
      <c r="T1448" s="313"/>
      <c r="W1448" s="319"/>
    </row>
    <row r="1449" spans="1:25" x14ac:dyDescent="0.2">
      <c r="A1449" s="45"/>
      <c r="B1449" s="45"/>
      <c r="C1449" s="45"/>
      <c r="D1449" s="313"/>
      <c r="E1449" s="313"/>
      <c r="F1449" s="313"/>
      <c r="G1449" s="313"/>
      <c r="H1449" s="313"/>
      <c r="I1449" s="313"/>
      <c r="J1449" s="313"/>
      <c r="K1449" s="313"/>
      <c r="L1449" s="313"/>
      <c r="M1449" s="313"/>
      <c r="N1449" s="313"/>
      <c r="O1449" s="313"/>
      <c r="P1449" s="313"/>
      <c r="Q1449" s="313"/>
      <c r="R1449" s="313"/>
      <c r="S1449" s="313"/>
      <c r="T1449" s="313"/>
      <c r="W1449" s="319"/>
    </row>
    <row r="1450" spans="1:25" x14ac:dyDescent="0.2">
      <c r="A1450" s="45"/>
      <c r="B1450" s="45" t="s">
        <v>1329</v>
      </c>
      <c r="C1450" s="45"/>
      <c r="D1450" s="313"/>
      <c r="E1450" s="313"/>
      <c r="F1450" s="313"/>
      <c r="G1450" s="313"/>
      <c r="H1450" s="313"/>
      <c r="I1450" s="313"/>
      <c r="J1450" s="313"/>
      <c r="K1450" s="313"/>
      <c r="L1450" s="313"/>
      <c r="M1450" s="313"/>
      <c r="N1450" s="313"/>
      <c r="O1450" s="313"/>
      <c r="P1450" s="313"/>
      <c r="Q1450" s="313"/>
      <c r="R1450" s="313"/>
      <c r="S1450" s="313"/>
      <c r="T1450" s="313"/>
      <c r="W1450" s="319"/>
    </row>
    <row r="1451" spans="1:25" x14ac:dyDescent="0.2">
      <c r="A1451" s="45">
        <v>16</v>
      </c>
      <c r="B1451" s="45" t="s">
        <v>1330</v>
      </c>
      <c r="C1451" s="427" t="s">
        <v>1431</v>
      </c>
      <c r="D1451" s="313">
        <v>35051942</v>
      </c>
      <c r="E1451" s="313"/>
      <c r="F1451" s="313">
        <v>32982892</v>
      </c>
      <c r="G1451" s="313"/>
      <c r="H1451" s="313">
        <v>1667662</v>
      </c>
      <c r="I1451" s="313"/>
      <c r="J1451" s="313">
        <v>401388</v>
      </c>
      <c r="K1451" s="313">
        <v>209288</v>
      </c>
      <c r="L1451" s="313">
        <v>192100</v>
      </c>
      <c r="M1451" s="313"/>
      <c r="N1451" s="313"/>
      <c r="O1451" s="313">
        <v>35051942</v>
      </c>
      <c r="P1451" s="313">
        <v>920</v>
      </c>
      <c r="Q1451" s="313"/>
      <c r="R1451" s="313">
        <v>35051942</v>
      </c>
      <c r="S1451" s="313">
        <v>0</v>
      </c>
      <c r="T1451" s="313" t="s">
        <v>1784</v>
      </c>
      <c r="W1451" s="319"/>
    </row>
    <row r="1452" spans="1:25" x14ac:dyDescent="0.2">
      <c r="A1452" s="45">
        <v>17</v>
      </c>
      <c r="B1452" s="45" t="s">
        <v>1331</v>
      </c>
      <c r="C1452" s="427" t="s">
        <v>1431</v>
      </c>
      <c r="D1452" s="313">
        <v>4790</v>
      </c>
      <c r="E1452" s="313"/>
      <c r="F1452" s="313">
        <v>4507</v>
      </c>
      <c r="G1452" s="313"/>
      <c r="H1452" s="313">
        <v>228</v>
      </c>
      <c r="I1452" s="313"/>
      <c r="J1452" s="313">
        <v>55</v>
      </c>
      <c r="K1452" s="313">
        <v>29</v>
      </c>
      <c r="L1452" s="313">
        <v>26</v>
      </c>
      <c r="M1452" s="313"/>
      <c r="N1452" s="313"/>
      <c r="O1452" s="313">
        <v>4790</v>
      </c>
      <c r="P1452" s="313">
        <v>921</v>
      </c>
      <c r="Q1452" s="313"/>
      <c r="R1452" s="313">
        <v>4790</v>
      </c>
      <c r="S1452" s="313">
        <v>0</v>
      </c>
      <c r="T1452" s="313" t="s">
        <v>1784</v>
      </c>
      <c r="W1452" s="319"/>
      <c r="X1452" s="319"/>
      <c r="Y1452" s="319"/>
    </row>
    <row r="1453" spans="1:25" x14ac:dyDescent="0.2">
      <c r="A1453" s="45">
        <v>18</v>
      </c>
      <c r="B1453" s="45" t="s">
        <v>1332</v>
      </c>
      <c r="C1453" s="427" t="s">
        <v>1431</v>
      </c>
      <c r="D1453" s="313">
        <v>-4647475</v>
      </c>
      <c r="E1453" s="313"/>
      <c r="F1453" s="313">
        <v>-4373143</v>
      </c>
      <c r="G1453" s="313"/>
      <c r="H1453" s="313">
        <v>-221112</v>
      </c>
      <c r="I1453" s="313"/>
      <c r="J1453" s="313">
        <v>-53219</v>
      </c>
      <c r="K1453" s="313">
        <v>-27749</v>
      </c>
      <c r="L1453" s="313">
        <v>-25470</v>
      </c>
      <c r="M1453" s="313"/>
      <c r="N1453" s="313"/>
      <c r="O1453" s="313">
        <v>-4647475</v>
      </c>
      <c r="P1453" s="313">
        <v>922</v>
      </c>
      <c r="Q1453" s="313"/>
      <c r="R1453" s="313">
        <v>-4647475</v>
      </c>
      <c r="S1453" s="313">
        <v>0</v>
      </c>
      <c r="T1453" s="313" t="s">
        <v>1784</v>
      </c>
      <c r="W1453" s="319"/>
      <c r="X1453" s="319"/>
      <c r="Y1453" s="319"/>
    </row>
    <row r="1454" spans="1:25" x14ac:dyDescent="0.2">
      <c r="A1454" s="45">
        <v>19</v>
      </c>
      <c r="B1454" s="45" t="s">
        <v>1333</v>
      </c>
      <c r="C1454" s="427" t="s">
        <v>1431</v>
      </c>
      <c r="D1454" s="313">
        <v>0</v>
      </c>
      <c r="E1454" s="313"/>
      <c r="F1454" s="313">
        <v>0</v>
      </c>
      <c r="G1454" s="313"/>
      <c r="H1454" s="313">
        <v>0</v>
      </c>
      <c r="I1454" s="313"/>
      <c r="J1454" s="313">
        <v>0</v>
      </c>
      <c r="K1454" s="313">
        <v>0</v>
      </c>
      <c r="L1454" s="313">
        <v>0</v>
      </c>
      <c r="M1454" s="313"/>
      <c r="N1454" s="313"/>
      <c r="O1454" s="313">
        <v>0</v>
      </c>
      <c r="P1454" s="313">
        <v>923</v>
      </c>
      <c r="Q1454" s="313"/>
      <c r="R1454" s="313">
        <v>0</v>
      </c>
      <c r="S1454" s="313">
        <v>0</v>
      </c>
      <c r="T1454" s="313" t="s">
        <v>1784</v>
      </c>
      <c r="W1454" s="319"/>
      <c r="X1454" s="319"/>
      <c r="Y1454" s="319"/>
    </row>
    <row r="1455" spans="1:25" x14ac:dyDescent="0.2">
      <c r="A1455" s="45">
        <v>20</v>
      </c>
      <c r="B1455" s="45" t="s">
        <v>1334</v>
      </c>
      <c r="C1455" s="427" t="s">
        <v>1431</v>
      </c>
      <c r="D1455" s="313">
        <v>0</v>
      </c>
      <c r="E1455" s="313"/>
      <c r="F1455" s="313">
        <v>0</v>
      </c>
      <c r="G1455" s="313"/>
      <c r="H1455" s="313">
        <v>0</v>
      </c>
      <c r="I1455" s="313"/>
      <c r="J1455" s="313">
        <v>0</v>
      </c>
      <c r="K1455" s="313">
        <v>0</v>
      </c>
      <c r="L1455" s="313">
        <v>0</v>
      </c>
      <c r="M1455" s="313"/>
      <c r="N1455" s="313"/>
      <c r="O1455" s="313">
        <v>0</v>
      </c>
      <c r="P1455" s="313">
        <v>924</v>
      </c>
      <c r="Q1455" s="313"/>
      <c r="R1455" s="313">
        <v>0</v>
      </c>
      <c r="S1455" s="313">
        <v>0</v>
      </c>
      <c r="T1455" s="313" t="s">
        <v>1784</v>
      </c>
      <c r="W1455" s="319"/>
      <c r="X1455" s="319"/>
      <c r="Y1455" s="319"/>
    </row>
    <row r="1456" spans="1:25" x14ac:dyDescent="0.2">
      <c r="A1456" s="45">
        <v>21</v>
      </c>
      <c r="B1456" s="45" t="s">
        <v>1335</v>
      </c>
      <c r="C1456" s="427" t="s">
        <v>1431</v>
      </c>
      <c r="D1456" s="313">
        <v>654397</v>
      </c>
      <c r="E1456" s="313"/>
      <c r="F1456" s="313">
        <v>615769</v>
      </c>
      <c r="G1456" s="313"/>
      <c r="H1456" s="313">
        <v>31134</v>
      </c>
      <c r="I1456" s="313"/>
      <c r="J1456" s="313">
        <v>7494</v>
      </c>
      <c r="K1456" s="313">
        <v>3907</v>
      </c>
      <c r="L1456" s="313">
        <v>3586</v>
      </c>
      <c r="M1456" s="313"/>
      <c r="N1456" s="313"/>
      <c r="O1456" s="313">
        <v>654397</v>
      </c>
      <c r="P1456" s="313">
        <v>925</v>
      </c>
      <c r="Q1456" s="313"/>
      <c r="R1456" s="313">
        <v>654397</v>
      </c>
      <c r="S1456" s="313">
        <v>0</v>
      </c>
      <c r="T1456" s="313" t="s">
        <v>1784</v>
      </c>
      <c r="W1456" s="319"/>
      <c r="X1456" s="319"/>
      <c r="Y1456" s="319"/>
    </row>
    <row r="1457" spans="1:25" x14ac:dyDescent="0.2">
      <c r="A1457" s="45">
        <v>22</v>
      </c>
      <c r="B1457" s="45" t="s">
        <v>1336</v>
      </c>
      <c r="C1457" s="427" t="s">
        <v>1431</v>
      </c>
      <c r="D1457" s="313">
        <v>33659765</v>
      </c>
      <c r="E1457" s="313"/>
      <c r="F1457" s="313">
        <v>31672892</v>
      </c>
      <c r="G1457" s="313"/>
      <c r="H1457" s="313">
        <v>1601427</v>
      </c>
      <c r="I1457" s="313"/>
      <c r="J1457" s="313">
        <v>385446</v>
      </c>
      <c r="K1457" s="313">
        <v>200976</v>
      </c>
      <c r="L1457" s="313">
        <v>184470</v>
      </c>
      <c r="M1457" s="313"/>
      <c r="N1457" s="313"/>
      <c r="O1457" s="313">
        <v>33659765</v>
      </c>
      <c r="P1457" s="313">
        <v>926</v>
      </c>
      <c r="Q1457" s="313"/>
      <c r="R1457" s="313">
        <v>33659765</v>
      </c>
      <c r="S1457" s="313">
        <v>0</v>
      </c>
      <c r="T1457" s="313" t="s">
        <v>1784</v>
      </c>
      <c r="W1457" s="319"/>
      <c r="X1457" s="319"/>
      <c r="Y1457" s="319"/>
    </row>
    <row r="1458" spans="1:25" x14ac:dyDescent="0.2">
      <c r="A1458" s="45">
        <v>23</v>
      </c>
      <c r="B1458" s="45" t="s">
        <v>1337</v>
      </c>
      <c r="C1458" s="427" t="s">
        <v>1431</v>
      </c>
      <c r="D1458" s="313">
        <v>0</v>
      </c>
      <c r="E1458" s="313"/>
      <c r="F1458" s="313">
        <v>0</v>
      </c>
      <c r="G1458" s="313"/>
      <c r="H1458" s="313">
        <v>0</v>
      </c>
      <c r="I1458" s="313"/>
      <c r="J1458" s="313">
        <v>0</v>
      </c>
      <c r="K1458" s="313">
        <v>0</v>
      </c>
      <c r="L1458" s="313">
        <v>0</v>
      </c>
      <c r="M1458" s="313"/>
      <c r="N1458" s="313"/>
      <c r="O1458" s="313">
        <v>0</v>
      </c>
      <c r="P1458" s="313">
        <v>927</v>
      </c>
      <c r="Q1458" s="313"/>
      <c r="R1458" s="313">
        <v>0</v>
      </c>
      <c r="S1458" s="313">
        <v>0</v>
      </c>
      <c r="T1458" s="313" t="s">
        <v>1784</v>
      </c>
      <c r="W1458" s="319"/>
      <c r="X1458" s="319"/>
      <c r="Y1458" s="319"/>
    </row>
    <row r="1459" spans="1:25" x14ac:dyDescent="0.2">
      <c r="A1459" s="45">
        <v>24</v>
      </c>
      <c r="B1459" s="45" t="s">
        <v>1338</v>
      </c>
      <c r="C1459" s="427" t="s">
        <v>1431</v>
      </c>
      <c r="D1459" s="313">
        <v>0</v>
      </c>
      <c r="E1459" s="313"/>
      <c r="F1459" s="313">
        <v>0</v>
      </c>
      <c r="G1459" s="313"/>
      <c r="H1459" s="313">
        <v>0</v>
      </c>
      <c r="I1459" s="313"/>
      <c r="J1459" s="313">
        <v>0</v>
      </c>
      <c r="K1459" s="313">
        <v>0</v>
      </c>
      <c r="L1459" s="313">
        <v>0</v>
      </c>
      <c r="M1459" s="313"/>
      <c r="N1459" s="313"/>
      <c r="O1459" s="313">
        <v>0</v>
      </c>
      <c r="P1459" s="313">
        <v>929</v>
      </c>
      <c r="Q1459" s="313"/>
      <c r="R1459" s="313">
        <v>0</v>
      </c>
      <c r="S1459" s="313">
        <v>0</v>
      </c>
      <c r="T1459" s="313" t="s">
        <v>1784</v>
      </c>
      <c r="W1459" s="319"/>
      <c r="X1459" s="319"/>
      <c r="Y1459" s="319"/>
    </row>
    <row r="1460" spans="1:25" x14ac:dyDescent="0.2">
      <c r="A1460" s="45">
        <v>25</v>
      </c>
      <c r="B1460" s="45" t="s">
        <v>1339</v>
      </c>
      <c r="C1460" s="427" t="s">
        <v>1431</v>
      </c>
      <c r="D1460" s="313">
        <v>334191</v>
      </c>
      <c r="E1460" s="313"/>
      <c r="F1460" s="313">
        <v>314464</v>
      </c>
      <c r="G1460" s="313"/>
      <c r="H1460" s="313">
        <v>15900</v>
      </c>
      <c r="I1460" s="313"/>
      <c r="J1460" s="313">
        <v>3827</v>
      </c>
      <c r="K1460" s="313">
        <v>1995</v>
      </c>
      <c r="L1460" s="313">
        <v>1832</v>
      </c>
      <c r="M1460" s="313"/>
      <c r="N1460" s="313"/>
      <c r="O1460" s="313">
        <v>334191</v>
      </c>
      <c r="P1460" s="313">
        <v>930.1</v>
      </c>
      <c r="Q1460" s="313">
        <v>930.2</v>
      </c>
      <c r="R1460" s="313">
        <v>334191</v>
      </c>
      <c r="S1460" s="313">
        <v>0</v>
      </c>
      <c r="T1460" s="313" t="s">
        <v>1784</v>
      </c>
      <c r="W1460" s="319"/>
      <c r="X1460" s="319"/>
      <c r="Y1460" s="319"/>
    </row>
    <row r="1461" spans="1:25" x14ac:dyDescent="0.2">
      <c r="A1461" s="45">
        <v>26</v>
      </c>
      <c r="B1461" s="45" t="s">
        <v>1340</v>
      </c>
      <c r="C1461" s="427" t="s">
        <v>1431</v>
      </c>
      <c r="D1461" s="313">
        <v>0</v>
      </c>
      <c r="E1461" s="313"/>
      <c r="F1461" s="313">
        <v>0</v>
      </c>
      <c r="G1461" s="313"/>
      <c r="H1461" s="313">
        <v>0</v>
      </c>
      <c r="I1461" s="313"/>
      <c r="J1461" s="313">
        <v>0</v>
      </c>
      <c r="K1461" s="313">
        <v>0</v>
      </c>
      <c r="L1461" s="313">
        <v>0</v>
      </c>
      <c r="M1461" s="313"/>
      <c r="N1461" s="313"/>
      <c r="O1461" s="313">
        <v>0</v>
      </c>
      <c r="P1461" s="313">
        <v>931</v>
      </c>
      <c r="Q1461" s="313"/>
      <c r="R1461" s="313">
        <v>0</v>
      </c>
      <c r="S1461" s="313">
        <v>0</v>
      </c>
      <c r="T1461" s="313" t="s">
        <v>1784</v>
      </c>
      <c r="V1461" s="353"/>
      <c r="W1461" s="319"/>
      <c r="X1461" s="319"/>
      <c r="Y1461" s="319"/>
    </row>
    <row r="1462" spans="1:25" x14ac:dyDescent="0.2">
      <c r="A1462" s="45">
        <v>27</v>
      </c>
      <c r="B1462" s="45" t="s">
        <v>1341</v>
      </c>
      <c r="C1462" s="427" t="s">
        <v>1431</v>
      </c>
      <c r="D1462" s="313">
        <v>777903</v>
      </c>
      <c r="E1462" s="313"/>
      <c r="F1462" s="313">
        <v>731985</v>
      </c>
      <c r="G1462" s="313"/>
      <c r="H1462" s="313">
        <v>37010</v>
      </c>
      <c r="I1462" s="313"/>
      <c r="J1462" s="313">
        <v>8908</v>
      </c>
      <c r="K1462" s="313">
        <v>4645</v>
      </c>
      <c r="L1462" s="313">
        <v>4263</v>
      </c>
      <c r="M1462" s="313"/>
      <c r="N1462" s="313"/>
      <c r="O1462" s="313">
        <v>777903</v>
      </c>
      <c r="P1462" s="313">
        <v>935</v>
      </c>
      <c r="Q1462" s="313"/>
      <c r="R1462" s="313">
        <v>777903</v>
      </c>
      <c r="S1462" s="313">
        <v>0</v>
      </c>
      <c r="T1462" s="313" t="s">
        <v>1784</v>
      </c>
      <c r="U1462" s="353"/>
      <c r="W1462" s="319"/>
      <c r="X1462" s="319"/>
      <c r="Y1462" s="319"/>
    </row>
    <row r="1463" spans="1:25" x14ac:dyDescent="0.2">
      <c r="A1463" s="45"/>
      <c r="B1463" s="45"/>
      <c r="C1463" s="45"/>
      <c r="D1463" s="313"/>
      <c r="E1463" s="313"/>
      <c r="F1463" s="313"/>
      <c r="G1463" s="313"/>
      <c r="H1463" s="313"/>
      <c r="I1463" s="313"/>
      <c r="J1463" s="313"/>
      <c r="K1463" s="313"/>
      <c r="L1463" s="313"/>
      <c r="M1463" s="313"/>
      <c r="N1463" s="313"/>
      <c r="O1463" s="313"/>
      <c r="P1463" s="313"/>
      <c r="Q1463" s="313"/>
      <c r="R1463" s="313"/>
      <c r="S1463" s="313"/>
      <c r="T1463" s="313"/>
      <c r="V1463" s="353"/>
      <c r="W1463" s="319"/>
      <c r="X1463" s="319"/>
      <c r="Y1463" s="319"/>
    </row>
    <row r="1464" spans="1:25" x14ac:dyDescent="0.2">
      <c r="A1464" s="45">
        <v>28</v>
      </c>
      <c r="B1464" s="45" t="s">
        <v>1342</v>
      </c>
      <c r="C1464" s="45"/>
      <c r="D1464" s="313">
        <v>65835513</v>
      </c>
      <c r="E1464" s="313"/>
      <c r="F1464" s="313">
        <v>61949366</v>
      </c>
      <c r="G1464" s="313"/>
      <c r="H1464" s="313">
        <v>3132249</v>
      </c>
      <c r="I1464" s="313"/>
      <c r="J1464" s="313">
        <v>753898</v>
      </c>
      <c r="K1464" s="313">
        <v>393091</v>
      </c>
      <c r="L1464" s="313">
        <v>360807</v>
      </c>
      <c r="M1464" s="313"/>
      <c r="N1464" s="313"/>
      <c r="O1464" s="313"/>
      <c r="P1464" s="313"/>
      <c r="Q1464" s="313"/>
      <c r="R1464" s="313"/>
      <c r="S1464" s="313"/>
      <c r="T1464" s="313"/>
      <c r="U1464" s="353"/>
      <c r="W1464" s="319"/>
    </row>
    <row r="1465" spans="1:25" x14ac:dyDescent="0.2">
      <c r="A1465" s="45"/>
      <c r="B1465" s="45"/>
      <c r="C1465" s="45"/>
      <c r="D1465" s="313"/>
      <c r="E1465" s="313"/>
      <c r="F1465" s="313"/>
      <c r="G1465" s="313"/>
      <c r="H1465" s="313"/>
      <c r="I1465" s="313"/>
      <c r="J1465" s="313"/>
      <c r="K1465" s="313"/>
      <c r="L1465" s="313"/>
      <c r="M1465" s="313"/>
      <c r="N1465" s="313"/>
      <c r="O1465" s="313"/>
      <c r="P1465" s="313"/>
      <c r="Q1465" s="313"/>
      <c r="R1465" s="313"/>
      <c r="S1465" s="313"/>
      <c r="T1465" s="313"/>
      <c r="W1465" s="319"/>
    </row>
    <row r="1466" spans="1:25" x14ac:dyDescent="0.2">
      <c r="A1466" s="45">
        <v>29</v>
      </c>
      <c r="B1466" s="45" t="s">
        <v>1343</v>
      </c>
      <c r="C1466" s="45"/>
      <c r="D1466" s="313">
        <v>184095229</v>
      </c>
      <c r="E1466" s="313"/>
      <c r="F1466" s="313">
        <v>173228434</v>
      </c>
      <c r="G1466" s="313"/>
      <c r="H1466" s="313">
        <v>8758678</v>
      </c>
      <c r="I1466" s="313"/>
      <c r="J1466" s="313">
        <v>2108117</v>
      </c>
      <c r="K1466" s="313">
        <v>1099197</v>
      </c>
      <c r="L1466" s="313">
        <v>1008920</v>
      </c>
      <c r="M1466" s="313"/>
      <c r="N1466" s="313"/>
      <c r="O1466" s="313"/>
      <c r="P1466" s="313" t="s">
        <v>557</v>
      </c>
      <c r="Q1466" s="313"/>
      <c r="R1466" s="313">
        <v>0</v>
      </c>
      <c r="S1466" s="313"/>
      <c r="T1466" s="313"/>
      <c r="W1466" s="319"/>
    </row>
    <row r="1467" spans="1:25" x14ac:dyDescent="0.2">
      <c r="A1467" s="45"/>
      <c r="B1467" s="45"/>
      <c r="C1467" s="45"/>
      <c r="D1467" s="313"/>
      <c r="E1467" s="313"/>
      <c r="F1467" s="313"/>
      <c r="G1467" s="313"/>
      <c r="H1467" s="313"/>
      <c r="I1467" s="313"/>
      <c r="J1467" s="313"/>
      <c r="K1467" s="313"/>
      <c r="L1467" s="313"/>
      <c r="M1467" s="313"/>
      <c r="N1467" s="313"/>
      <c r="O1467" s="313"/>
      <c r="P1467" s="313"/>
      <c r="Q1467" s="313"/>
      <c r="R1467" s="313"/>
      <c r="S1467" s="313"/>
      <c r="T1467" s="313"/>
      <c r="W1467" s="319">
        <v>0</v>
      </c>
    </row>
    <row r="1468" spans="1:25" x14ac:dyDescent="0.2">
      <c r="D1468" s="313"/>
      <c r="E1468" s="313"/>
      <c r="F1468" s="313"/>
      <c r="G1468" s="313"/>
      <c r="H1468" s="313"/>
      <c r="I1468" s="313"/>
      <c r="J1468" s="313"/>
      <c r="K1468" s="313"/>
      <c r="L1468" s="313"/>
      <c r="M1468" s="313"/>
      <c r="N1468" s="313"/>
      <c r="O1468" s="313"/>
      <c r="P1468" s="313"/>
      <c r="Q1468" s="313"/>
      <c r="R1468" s="313"/>
      <c r="S1468" s="313"/>
      <c r="T1468" s="313"/>
      <c r="W1468" s="319"/>
    </row>
    <row r="1469" spans="1:25" x14ac:dyDescent="0.2">
      <c r="W1469" s="319"/>
    </row>
    <row r="1470" spans="1:25" x14ac:dyDescent="0.2">
      <c r="W1470" s="319"/>
    </row>
    <row r="1471" spans="1:25" x14ac:dyDescent="0.2">
      <c r="W1471" s="319"/>
    </row>
    <row r="1472" spans="1:25" x14ac:dyDescent="0.2">
      <c r="W1472" s="319"/>
    </row>
    <row r="1473" spans="23:23" x14ac:dyDescent="0.2">
      <c r="W1473" s="319"/>
    </row>
    <row r="1474" spans="23:23" x14ac:dyDescent="0.2">
      <c r="W1474" s="319"/>
    </row>
    <row r="1475" spans="23:23" x14ac:dyDescent="0.2">
      <c r="W1475" s="319"/>
    </row>
    <row r="1476" spans="23:23" x14ac:dyDescent="0.2">
      <c r="W1476" s="319"/>
    </row>
    <row r="1477" spans="23:23" x14ac:dyDescent="0.2">
      <c r="W1477" s="319"/>
    </row>
    <row r="1478" spans="23:23" x14ac:dyDescent="0.2">
      <c r="W1478" s="319"/>
    </row>
    <row r="1479" spans="23:23" x14ac:dyDescent="0.2">
      <c r="W1479" s="319"/>
    </row>
    <row r="1480" spans="23:23" x14ac:dyDescent="0.2">
      <c r="W1480" s="319"/>
    </row>
    <row r="1481" spans="23:23" x14ac:dyDescent="0.2">
      <c r="W1481" s="319"/>
    </row>
    <row r="1482" spans="23:23" x14ac:dyDescent="0.2">
      <c r="W1482" s="319"/>
    </row>
    <row r="1483" spans="23:23" x14ac:dyDescent="0.2">
      <c r="W1483" s="319"/>
    </row>
    <row r="1484" spans="23:23" x14ac:dyDescent="0.2">
      <c r="W1484" s="319"/>
    </row>
    <row r="1485" spans="23:23" x14ac:dyDescent="0.2">
      <c r="W1485" s="319"/>
    </row>
    <row r="1486" spans="23:23" x14ac:dyDescent="0.2">
      <c r="W1486" s="319"/>
    </row>
    <row r="1487" spans="23:23" x14ac:dyDescent="0.2">
      <c r="W1487" s="319"/>
    </row>
    <row r="1488" spans="23:23" x14ac:dyDescent="0.2">
      <c r="W1488" s="319"/>
    </row>
    <row r="1489" spans="23:23" x14ac:dyDescent="0.2">
      <c r="W1489" s="319"/>
    </row>
    <row r="1490" spans="23:23" x14ac:dyDescent="0.2">
      <c r="W1490" s="319"/>
    </row>
    <row r="1491" spans="23:23" x14ac:dyDescent="0.2">
      <c r="W1491" s="319"/>
    </row>
    <row r="1492" spans="23:23" x14ac:dyDescent="0.2">
      <c r="W1492" s="319"/>
    </row>
    <row r="1493" spans="23:23" x14ac:dyDescent="0.2">
      <c r="W1493" s="319"/>
    </row>
    <row r="1494" spans="23:23" x14ac:dyDescent="0.2">
      <c r="W1494" s="319"/>
    </row>
    <row r="1495" spans="23:23" x14ac:dyDescent="0.2">
      <c r="W1495" s="319"/>
    </row>
    <row r="1496" spans="23:23" x14ac:dyDescent="0.2">
      <c r="W1496" s="319"/>
    </row>
    <row r="1497" spans="23:23" x14ac:dyDescent="0.2">
      <c r="W1497" s="319"/>
    </row>
    <row r="1498" spans="23:23" x14ac:dyDescent="0.2">
      <c r="W1498" s="319"/>
    </row>
    <row r="1499" spans="23:23" x14ac:dyDescent="0.2">
      <c r="W1499" s="319"/>
    </row>
    <row r="1500" spans="23:23" x14ac:dyDescent="0.2">
      <c r="W1500" s="319"/>
    </row>
    <row r="1501" spans="23:23" x14ac:dyDescent="0.2">
      <c r="W1501" s="319"/>
    </row>
    <row r="1502" spans="23:23" x14ac:dyDescent="0.2">
      <c r="W1502" s="319"/>
    </row>
    <row r="1503" spans="23:23" x14ac:dyDescent="0.2">
      <c r="W1503" s="319"/>
    </row>
    <row r="1504" spans="23:23" x14ac:dyDescent="0.2">
      <c r="W1504" s="319"/>
    </row>
    <row r="1505" spans="23:23" x14ac:dyDescent="0.2">
      <c r="W1505" s="319"/>
    </row>
    <row r="1506" spans="23:23" x14ac:dyDescent="0.2">
      <c r="W1506" s="319"/>
    </row>
    <row r="1507" spans="23:23" x14ac:dyDescent="0.2">
      <c r="W1507" s="319"/>
    </row>
    <row r="1508" spans="23:23" x14ac:dyDescent="0.2">
      <c r="W1508" s="319"/>
    </row>
    <row r="1509" spans="23:23" x14ac:dyDescent="0.2">
      <c r="W1509" s="319"/>
    </row>
    <row r="1510" spans="23:23" x14ac:dyDescent="0.2">
      <c r="W1510" s="319"/>
    </row>
    <row r="1511" spans="23:23" x14ac:dyDescent="0.2">
      <c r="W1511" s="319"/>
    </row>
    <row r="1512" spans="23:23" x14ac:dyDescent="0.2">
      <c r="W1512" s="319"/>
    </row>
    <row r="1513" spans="23:23" x14ac:dyDescent="0.2">
      <c r="W1513" s="319"/>
    </row>
    <row r="1514" spans="23:23" x14ac:dyDescent="0.2">
      <c r="W1514" s="319"/>
    </row>
    <row r="1515" spans="23:23" x14ac:dyDescent="0.2">
      <c r="W1515" s="319"/>
    </row>
    <row r="1516" spans="23:23" x14ac:dyDescent="0.2">
      <c r="W1516" s="319"/>
    </row>
    <row r="1517" spans="23:23" x14ac:dyDescent="0.2">
      <c r="W1517" s="319"/>
    </row>
    <row r="1518" spans="23:23" x14ac:dyDescent="0.2">
      <c r="W1518" s="319"/>
    </row>
    <row r="1519" spans="23:23" x14ac:dyDescent="0.2">
      <c r="W1519" s="319"/>
    </row>
    <row r="1520" spans="23:23" x14ac:dyDescent="0.2">
      <c r="W1520" s="319"/>
    </row>
    <row r="1521" spans="23:23" x14ac:dyDescent="0.2">
      <c r="W1521" s="319"/>
    </row>
    <row r="1522" spans="23:23" x14ac:dyDescent="0.2">
      <c r="W1522" s="319"/>
    </row>
    <row r="1523" spans="23:23" x14ac:dyDescent="0.2">
      <c r="W1523" s="319"/>
    </row>
    <row r="1524" spans="23:23" x14ac:dyDescent="0.2">
      <c r="W1524" s="319"/>
    </row>
    <row r="1525" spans="23:23" x14ac:dyDescent="0.2">
      <c r="W1525" s="319"/>
    </row>
    <row r="1526" spans="23:23" x14ac:dyDescent="0.2">
      <c r="W1526" s="319"/>
    </row>
    <row r="1527" spans="23:23" x14ac:dyDescent="0.2">
      <c r="W1527" s="319"/>
    </row>
    <row r="1528" spans="23:23" x14ac:dyDescent="0.2">
      <c r="W1528" s="319"/>
    </row>
    <row r="1529" spans="23:23" x14ac:dyDescent="0.2">
      <c r="W1529" s="319"/>
    </row>
    <row r="1530" spans="23:23" x14ac:dyDescent="0.2">
      <c r="W1530" s="319"/>
    </row>
    <row r="1531" spans="23:23" x14ac:dyDescent="0.2">
      <c r="W1531" s="319"/>
    </row>
    <row r="1532" spans="23:23" x14ac:dyDescent="0.2">
      <c r="W1532" s="319"/>
    </row>
    <row r="1533" spans="23:23" x14ac:dyDescent="0.2">
      <c r="W1533" s="319"/>
    </row>
    <row r="1534" spans="23:23" x14ac:dyDescent="0.2">
      <c r="W1534" s="319"/>
    </row>
    <row r="1535" spans="23:23" x14ac:dyDescent="0.2">
      <c r="W1535" s="319"/>
    </row>
    <row r="1536" spans="23:23" x14ac:dyDescent="0.2">
      <c r="W1536" s="319"/>
    </row>
    <row r="1537" spans="23:23" x14ac:dyDescent="0.2">
      <c r="W1537" s="319"/>
    </row>
    <row r="1538" spans="23:23" x14ac:dyDescent="0.2">
      <c r="W1538" s="319"/>
    </row>
    <row r="1539" spans="23:23" x14ac:dyDescent="0.2">
      <c r="W1539" s="319"/>
    </row>
    <row r="1540" spans="23:23" x14ac:dyDescent="0.2">
      <c r="W1540" s="319"/>
    </row>
    <row r="1541" spans="23:23" x14ac:dyDescent="0.2">
      <c r="W1541" s="319"/>
    </row>
    <row r="1542" spans="23:23" x14ac:dyDescent="0.2">
      <c r="W1542" s="319"/>
    </row>
    <row r="1543" spans="23:23" x14ac:dyDescent="0.2">
      <c r="W1543" s="319"/>
    </row>
    <row r="1544" spans="23:23" x14ac:dyDescent="0.2">
      <c r="W1544" s="319"/>
    </row>
    <row r="1545" spans="23:23" x14ac:dyDescent="0.2">
      <c r="W1545" s="319"/>
    </row>
    <row r="1546" spans="23:23" x14ac:dyDescent="0.2">
      <c r="W1546" s="319"/>
    </row>
    <row r="1547" spans="23:23" x14ac:dyDescent="0.2">
      <c r="W1547" s="319"/>
    </row>
    <row r="1548" spans="23:23" x14ac:dyDescent="0.2">
      <c r="W1548" s="319"/>
    </row>
    <row r="1549" spans="23:23" x14ac:dyDescent="0.2">
      <c r="W1549" s="319"/>
    </row>
    <row r="1550" spans="23:23" x14ac:dyDescent="0.2">
      <c r="W1550" s="319"/>
    </row>
    <row r="1551" spans="23:23" x14ac:dyDescent="0.2">
      <c r="W1551" s="319"/>
    </row>
    <row r="1552" spans="23:23" x14ac:dyDescent="0.2">
      <c r="W1552" s="319"/>
    </row>
    <row r="1553" spans="23:23" x14ac:dyDescent="0.2">
      <c r="W1553" s="319"/>
    </row>
    <row r="1554" spans="23:23" x14ac:dyDescent="0.2">
      <c r="W1554" s="319"/>
    </row>
    <row r="1555" spans="23:23" x14ac:dyDescent="0.2">
      <c r="W1555" s="319"/>
    </row>
    <row r="1556" spans="23:23" x14ac:dyDescent="0.2">
      <c r="W1556" s="319"/>
    </row>
    <row r="1557" spans="23:23" x14ac:dyDescent="0.2">
      <c r="W1557" s="319"/>
    </row>
    <row r="1558" spans="23:23" x14ac:dyDescent="0.2">
      <c r="W1558" s="319"/>
    </row>
    <row r="1559" spans="23:23" x14ac:dyDescent="0.2">
      <c r="W1559" s="319"/>
    </row>
    <row r="1560" spans="23:23" x14ac:dyDescent="0.2">
      <c r="W1560" s="319"/>
    </row>
    <row r="1561" spans="23:23" x14ac:dyDescent="0.2">
      <c r="W1561" s="319"/>
    </row>
    <row r="1562" spans="23:23" x14ac:dyDescent="0.2">
      <c r="W1562" s="319"/>
    </row>
    <row r="1563" spans="23:23" x14ac:dyDescent="0.2">
      <c r="W1563" s="319"/>
    </row>
    <row r="1564" spans="23:23" x14ac:dyDescent="0.2">
      <c r="W1564" s="319"/>
    </row>
    <row r="1565" spans="23:23" x14ac:dyDescent="0.2">
      <c r="W1565" s="319"/>
    </row>
    <row r="1566" spans="23:23" x14ac:dyDescent="0.2">
      <c r="W1566" s="319"/>
    </row>
    <row r="1567" spans="23:23" x14ac:dyDescent="0.2">
      <c r="W1567" s="319"/>
    </row>
    <row r="1568" spans="23:23" x14ac:dyDescent="0.2">
      <c r="W1568" s="319"/>
    </row>
    <row r="1569" spans="23:23" x14ac:dyDescent="0.2">
      <c r="W1569" s="319"/>
    </row>
    <row r="1570" spans="23:23" x14ac:dyDescent="0.2">
      <c r="W1570" s="319"/>
    </row>
    <row r="1571" spans="23:23" x14ac:dyDescent="0.2">
      <c r="W1571" s="319"/>
    </row>
    <row r="1572" spans="23:23" x14ac:dyDescent="0.2">
      <c r="W1572" s="319"/>
    </row>
    <row r="1573" spans="23:23" x14ac:dyDescent="0.2">
      <c r="W1573" s="319"/>
    </row>
    <row r="1574" spans="23:23" x14ac:dyDescent="0.2">
      <c r="W1574" s="319"/>
    </row>
    <row r="1575" spans="23:23" x14ac:dyDescent="0.2">
      <c r="W1575" s="319"/>
    </row>
    <row r="1576" spans="23:23" x14ac:dyDescent="0.2">
      <c r="W1576" s="319"/>
    </row>
    <row r="1577" spans="23:23" x14ac:dyDescent="0.2">
      <c r="W1577" s="319"/>
    </row>
    <row r="1578" spans="23:23" x14ac:dyDescent="0.2">
      <c r="W1578" s="319"/>
    </row>
    <row r="1579" spans="23:23" x14ac:dyDescent="0.2">
      <c r="W1579" s="319"/>
    </row>
    <row r="1580" spans="23:23" x14ac:dyDescent="0.2">
      <c r="W1580" s="319"/>
    </row>
    <row r="1581" spans="23:23" x14ac:dyDescent="0.2">
      <c r="W1581" s="319"/>
    </row>
    <row r="1582" spans="23:23" x14ac:dyDescent="0.2">
      <c r="W1582" s="319"/>
    </row>
    <row r="1583" spans="23:23" x14ac:dyDescent="0.2">
      <c r="W1583" s="319"/>
    </row>
    <row r="1584" spans="23:23" x14ac:dyDescent="0.2">
      <c r="W1584" s="319"/>
    </row>
    <row r="1585" spans="23:23" x14ac:dyDescent="0.2">
      <c r="W1585" s="319"/>
    </row>
    <row r="1586" spans="23:23" x14ac:dyDescent="0.2">
      <c r="W1586" s="319"/>
    </row>
    <row r="1587" spans="23:23" x14ac:dyDescent="0.2">
      <c r="W1587" s="319"/>
    </row>
    <row r="1588" spans="23:23" x14ac:dyDescent="0.2">
      <c r="W1588" s="319"/>
    </row>
    <row r="1589" spans="23:23" x14ac:dyDescent="0.2">
      <c r="W1589" s="319"/>
    </row>
    <row r="1590" spans="23:23" x14ac:dyDescent="0.2">
      <c r="W1590" s="319"/>
    </row>
    <row r="1591" spans="23:23" x14ac:dyDescent="0.2">
      <c r="W1591" s="319"/>
    </row>
    <row r="1592" spans="23:23" x14ac:dyDescent="0.2">
      <c r="W1592" s="319"/>
    </row>
    <row r="1593" spans="23:23" x14ac:dyDescent="0.2">
      <c r="W1593" s="319"/>
    </row>
    <row r="1594" spans="23:23" x14ac:dyDescent="0.2">
      <c r="W1594" s="319"/>
    </row>
    <row r="1595" spans="23:23" x14ac:dyDescent="0.2">
      <c r="W1595" s="319"/>
    </row>
    <row r="1596" spans="23:23" x14ac:dyDescent="0.2">
      <c r="W1596" s="319"/>
    </row>
    <row r="1597" spans="23:23" x14ac:dyDescent="0.2">
      <c r="W1597" s="319"/>
    </row>
    <row r="1598" spans="23:23" x14ac:dyDescent="0.2">
      <c r="W1598" s="319"/>
    </row>
    <row r="1599" spans="23:23" x14ac:dyDescent="0.2">
      <c r="W1599" s="319"/>
    </row>
    <row r="1600" spans="23:23" x14ac:dyDescent="0.2">
      <c r="W1600" s="319"/>
    </row>
    <row r="1601" spans="23:23" x14ac:dyDescent="0.2">
      <c r="W1601" s="319"/>
    </row>
    <row r="1602" spans="23:23" x14ac:dyDescent="0.2">
      <c r="W1602" s="319"/>
    </row>
    <row r="1603" spans="23:23" x14ac:dyDescent="0.2">
      <c r="W1603" s="319"/>
    </row>
    <row r="1604" spans="23:23" x14ac:dyDescent="0.2">
      <c r="W1604" s="319"/>
    </row>
    <row r="1605" spans="23:23" x14ac:dyDescent="0.2">
      <c r="W1605" s="319"/>
    </row>
    <row r="1606" spans="23:23" x14ac:dyDescent="0.2">
      <c r="W1606" s="319"/>
    </row>
    <row r="1607" spans="23:23" x14ac:dyDescent="0.2">
      <c r="W1607" s="319"/>
    </row>
    <row r="1608" spans="23:23" x14ac:dyDescent="0.2">
      <c r="W1608" s="319"/>
    </row>
    <row r="1609" spans="23:23" x14ac:dyDescent="0.2">
      <c r="W1609" s="319"/>
    </row>
    <row r="1610" spans="23:23" x14ac:dyDescent="0.2">
      <c r="W1610" s="319"/>
    </row>
    <row r="1611" spans="23:23" x14ac:dyDescent="0.2">
      <c r="W1611" s="319"/>
    </row>
    <row r="1612" spans="23:23" x14ac:dyDescent="0.2">
      <c r="W1612" s="319"/>
    </row>
    <row r="1613" spans="23:23" x14ac:dyDescent="0.2">
      <c r="W1613" s="319"/>
    </row>
    <row r="1614" spans="23:23" x14ac:dyDescent="0.2">
      <c r="W1614" s="319"/>
    </row>
    <row r="1615" spans="23:23" x14ac:dyDescent="0.2">
      <c r="W1615" s="319"/>
    </row>
    <row r="1616" spans="23:23" x14ac:dyDescent="0.2">
      <c r="W1616" s="319"/>
    </row>
    <row r="1617" spans="23:23" x14ac:dyDescent="0.2">
      <c r="W1617" s="319"/>
    </row>
    <row r="1618" spans="23:23" x14ac:dyDescent="0.2">
      <c r="W1618" s="319"/>
    </row>
    <row r="1619" spans="23:23" x14ac:dyDescent="0.2">
      <c r="W1619" s="319"/>
    </row>
    <row r="1620" spans="23:23" x14ac:dyDescent="0.2">
      <c r="W1620" s="319"/>
    </row>
    <row r="1621" spans="23:23" x14ac:dyDescent="0.2">
      <c r="W1621" s="319"/>
    </row>
    <row r="1622" spans="23:23" x14ac:dyDescent="0.2">
      <c r="W1622" s="319"/>
    </row>
    <row r="1623" spans="23:23" x14ac:dyDescent="0.2">
      <c r="W1623" s="319"/>
    </row>
    <row r="1624" spans="23:23" x14ac:dyDescent="0.2">
      <c r="W1624" s="319"/>
    </row>
    <row r="1625" spans="23:23" x14ac:dyDescent="0.2">
      <c r="W1625" s="319"/>
    </row>
    <row r="1626" spans="23:23" x14ac:dyDescent="0.2">
      <c r="W1626" s="319"/>
    </row>
    <row r="1627" spans="23:23" x14ac:dyDescent="0.2">
      <c r="W1627" s="319"/>
    </row>
    <row r="1628" spans="23:23" x14ac:dyDescent="0.2">
      <c r="W1628" s="319"/>
    </row>
    <row r="1629" spans="23:23" x14ac:dyDescent="0.2">
      <c r="W1629" s="319"/>
    </row>
    <row r="1630" spans="23:23" x14ac:dyDescent="0.2">
      <c r="W1630" s="319"/>
    </row>
    <row r="1631" spans="23:23" x14ac:dyDescent="0.2">
      <c r="W1631" s="319"/>
    </row>
    <row r="1632" spans="23:23" x14ac:dyDescent="0.2">
      <c r="W1632" s="319"/>
    </row>
    <row r="1633" spans="23:23" x14ac:dyDescent="0.2">
      <c r="W1633" s="319"/>
    </row>
    <row r="1634" spans="23:23" x14ac:dyDescent="0.2">
      <c r="W1634" s="319"/>
    </row>
    <row r="1635" spans="23:23" x14ac:dyDescent="0.2">
      <c r="W1635" s="319"/>
    </row>
    <row r="1636" spans="23:23" x14ac:dyDescent="0.2">
      <c r="W1636" s="319"/>
    </row>
    <row r="1637" spans="23:23" x14ac:dyDescent="0.2">
      <c r="W1637" s="319"/>
    </row>
    <row r="1638" spans="23:23" x14ac:dyDescent="0.2">
      <c r="W1638" s="319"/>
    </row>
    <row r="1639" spans="23:23" x14ac:dyDescent="0.2">
      <c r="W1639" s="319"/>
    </row>
    <row r="1640" spans="23:23" x14ac:dyDescent="0.2">
      <c r="W1640" s="319"/>
    </row>
    <row r="1641" spans="23:23" x14ac:dyDescent="0.2">
      <c r="W1641" s="319"/>
    </row>
    <row r="1642" spans="23:23" x14ac:dyDescent="0.2">
      <c r="W1642" s="319"/>
    </row>
    <row r="1643" spans="23:23" x14ac:dyDescent="0.2">
      <c r="W1643" s="319"/>
    </row>
    <row r="1644" spans="23:23" x14ac:dyDescent="0.2">
      <c r="W1644" s="319"/>
    </row>
    <row r="1645" spans="23:23" x14ac:dyDescent="0.2">
      <c r="W1645" s="319"/>
    </row>
    <row r="1646" spans="23:23" x14ac:dyDescent="0.2">
      <c r="W1646" s="319"/>
    </row>
    <row r="1647" spans="23:23" x14ac:dyDescent="0.2">
      <c r="W1647" s="319"/>
    </row>
    <row r="1648" spans="23:23" x14ac:dyDescent="0.2">
      <c r="W1648" s="319"/>
    </row>
    <row r="1649" spans="23:23" x14ac:dyDescent="0.2">
      <c r="W1649" s="319"/>
    </row>
    <row r="1650" spans="23:23" x14ac:dyDescent="0.2">
      <c r="W1650" s="319"/>
    </row>
    <row r="1651" spans="23:23" x14ac:dyDescent="0.2">
      <c r="W1651" s="319"/>
    </row>
    <row r="1652" spans="23:23" x14ac:dyDescent="0.2">
      <c r="W1652" s="319"/>
    </row>
    <row r="1653" spans="23:23" x14ac:dyDescent="0.2">
      <c r="W1653" s="319"/>
    </row>
    <row r="1654" spans="23:23" x14ac:dyDescent="0.2">
      <c r="W1654" s="319"/>
    </row>
    <row r="1655" spans="23:23" x14ac:dyDescent="0.2">
      <c r="W1655" s="319"/>
    </row>
    <row r="1656" spans="23:23" x14ac:dyDescent="0.2">
      <c r="W1656" s="319"/>
    </row>
    <row r="1657" spans="23:23" x14ac:dyDescent="0.2">
      <c r="W1657" s="319"/>
    </row>
    <row r="1658" spans="23:23" x14ac:dyDescent="0.2">
      <c r="W1658" s="319"/>
    </row>
    <row r="1659" spans="23:23" x14ac:dyDescent="0.2">
      <c r="W1659" s="319"/>
    </row>
    <row r="1660" spans="23:23" x14ac:dyDescent="0.2">
      <c r="W1660" s="319"/>
    </row>
    <row r="1661" spans="23:23" x14ac:dyDescent="0.2">
      <c r="W1661" s="319"/>
    </row>
    <row r="1662" spans="23:23" x14ac:dyDescent="0.2">
      <c r="W1662" s="319"/>
    </row>
    <row r="1663" spans="23:23" x14ac:dyDescent="0.2">
      <c r="W1663" s="319"/>
    </row>
    <row r="1664" spans="23:23" x14ac:dyDescent="0.2">
      <c r="W1664" s="319"/>
    </row>
    <row r="1665" spans="23:23" x14ac:dyDescent="0.2">
      <c r="W1665" s="319"/>
    </row>
    <row r="1666" spans="23:23" x14ac:dyDescent="0.2">
      <c r="W1666" s="319"/>
    </row>
    <row r="1667" spans="23:23" x14ac:dyDescent="0.2">
      <c r="W1667" s="319"/>
    </row>
    <row r="1668" spans="23:23" x14ac:dyDescent="0.2">
      <c r="W1668" s="319"/>
    </row>
    <row r="1669" spans="23:23" x14ac:dyDescent="0.2">
      <c r="W1669" s="319"/>
    </row>
    <row r="1670" spans="23:23" x14ac:dyDescent="0.2">
      <c r="W1670" s="319"/>
    </row>
    <row r="1671" spans="23:23" x14ac:dyDescent="0.2">
      <c r="W1671" s="319"/>
    </row>
    <row r="1672" spans="23:23" x14ac:dyDescent="0.2">
      <c r="W1672" s="319"/>
    </row>
    <row r="1673" spans="23:23" x14ac:dyDescent="0.2">
      <c r="W1673" s="319"/>
    </row>
    <row r="1674" spans="23:23" x14ac:dyDescent="0.2">
      <c r="W1674" s="319"/>
    </row>
    <row r="1675" spans="23:23" x14ac:dyDescent="0.2">
      <c r="W1675" s="319"/>
    </row>
    <row r="1676" spans="23:23" x14ac:dyDescent="0.2">
      <c r="W1676" s="319"/>
    </row>
    <row r="1677" spans="23:23" x14ac:dyDescent="0.2">
      <c r="W1677" s="319"/>
    </row>
    <row r="1678" spans="23:23" x14ac:dyDescent="0.2">
      <c r="W1678" s="319"/>
    </row>
    <row r="1679" spans="23:23" x14ac:dyDescent="0.2">
      <c r="W1679" s="319"/>
    </row>
    <row r="1680" spans="23:23" x14ac:dyDescent="0.2">
      <c r="W1680" s="319"/>
    </row>
    <row r="1681" spans="23:23" x14ac:dyDescent="0.2">
      <c r="W1681" s="319"/>
    </row>
    <row r="1682" spans="23:23" x14ac:dyDescent="0.2">
      <c r="W1682" s="319"/>
    </row>
    <row r="1683" spans="23:23" x14ac:dyDescent="0.2">
      <c r="W1683" s="319"/>
    </row>
    <row r="1684" spans="23:23" x14ac:dyDescent="0.2">
      <c r="W1684" s="319"/>
    </row>
    <row r="1685" spans="23:23" x14ac:dyDescent="0.2">
      <c r="W1685" s="319"/>
    </row>
    <row r="1686" spans="23:23" x14ac:dyDescent="0.2">
      <c r="W1686" s="319"/>
    </row>
    <row r="1687" spans="23:23" x14ac:dyDescent="0.2">
      <c r="W1687" s="319"/>
    </row>
    <row r="1688" spans="23:23" x14ac:dyDescent="0.2">
      <c r="W1688" s="319"/>
    </row>
    <row r="1689" spans="23:23" x14ac:dyDescent="0.2">
      <c r="W1689" s="319"/>
    </row>
    <row r="1690" spans="23:23" x14ac:dyDescent="0.2">
      <c r="W1690" s="319"/>
    </row>
    <row r="1691" spans="23:23" x14ac:dyDescent="0.2">
      <c r="W1691" s="319"/>
    </row>
    <row r="1692" spans="23:23" x14ac:dyDescent="0.2">
      <c r="W1692" s="319"/>
    </row>
    <row r="1693" spans="23:23" x14ac:dyDescent="0.2">
      <c r="W1693" s="319"/>
    </row>
    <row r="1694" spans="23:23" x14ac:dyDescent="0.2">
      <c r="W1694" s="319"/>
    </row>
    <row r="1695" spans="23:23" x14ac:dyDescent="0.2">
      <c r="W1695" s="319"/>
    </row>
    <row r="1696" spans="23:23" x14ac:dyDescent="0.2">
      <c r="W1696" s="319"/>
    </row>
    <row r="1697" spans="23:23" x14ac:dyDescent="0.2">
      <c r="W1697" s="319"/>
    </row>
    <row r="1698" spans="23:23" x14ac:dyDescent="0.2">
      <c r="W1698" s="319"/>
    </row>
    <row r="1699" spans="23:23" x14ac:dyDescent="0.2">
      <c r="W1699" s="319"/>
    </row>
    <row r="1700" spans="23:23" x14ac:dyDescent="0.2">
      <c r="W1700" s="319"/>
    </row>
    <row r="1701" spans="23:23" x14ac:dyDescent="0.2">
      <c r="W1701" s="319"/>
    </row>
    <row r="1702" spans="23:23" x14ac:dyDescent="0.2">
      <c r="W1702" s="319"/>
    </row>
    <row r="1703" spans="23:23" x14ac:dyDescent="0.2">
      <c r="W1703" s="319"/>
    </row>
    <row r="1704" spans="23:23" x14ac:dyDescent="0.2">
      <c r="W1704" s="319"/>
    </row>
    <row r="1705" spans="23:23" x14ac:dyDescent="0.2">
      <c r="W1705" s="319"/>
    </row>
    <row r="1706" spans="23:23" x14ac:dyDescent="0.2">
      <c r="W1706" s="319"/>
    </row>
    <row r="1707" spans="23:23" x14ac:dyDescent="0.2">
      <c r="W1707" s="319"/>
    </row>
    <row r="1708" spans="23:23" x14ac:dyDescent="0.2">
      <c r="W1708" s="319"/>
    </row>
    <row r="1709" spans="23:23" x14ac:dyDescent="0.2">
      <c r="W1709" s="319"/>
    </row>
    <row r="1710" spans="23:23" x14ac:dyDescent="0.2">
      <c r="W1710" s="319"/>
    </row>
    <row r="1711" spans="23:23" x14ac:dyDescent="0.2">
      <c r="W1711" s="319"/>
    </row>
    <row r="1712" spans="23:23" x14ac:dyDescent="0.2">
      <c r="W1712" s="319"/>
    </row>
    <row r="1713" spans="23:23" x14ac:dyDescent="0.2">
      <c r="W1713" s="319"/>
    </row>
    <row r="1714" spans="23:23" x14ac:dyDescent="0.2">
      <c r="W1714" s="319"/>
    </row>
    <row r="1715" spans="23:23" x14ac:dyDescent="0.2">
      <c r="W1715" s="319"/>
    </row>
    <row r="1716" spans="23:23" x14ac:dyDescent="0.2">
      <c r="W1716" s="319"/>
    </row>
    <row r="1717" spans="23:23" x14ac:dyDescent="0.2">
      <c r="W1717" s="319"/>
    </row>
    <row r="1718" spans="23:23" x14ac:dyDescent="0.2">
      <c r="W1718" s="319"/>
    </row>
    <row r="1719" spans="23:23" x14ac:dyDescent="0.2">
      <c r="W1719" s="319"/>
    </row>
    <row r="1720" spans="23:23" x14ac:dyDescent="0.2">
      <c r="W1720" s="319"/>
    </row>
    <row r="1721" spans="23:23" x14ac:dyDescent="0.2">
      <c r="W1721" s="319"/>
    </row>
    <row r="1722" spans="23:23" x14ac:dyDescent="0.2">
      <c r="W1722" s="319"/>
    </row>
    <row r="1723" spans="23:23" x14ac:dyDescent="0.2">
      <c r="W1723" s="319"/>
    </row>
    <row r="1724" spans="23:23" x14ac:dyDescent="0.2">
      <c r="W1724" s="319"/>
    </row>
    <row r="1725" spans="23:23" x14ac:dyDescent="0.2">
      <c r="W1725" s="319"/>
    </row>
    <row r="1726" spans="23:23" x14ac:dyDescent="0.2">
      <c r="W1726" s="319"/>
    </row>
    <row r="1727" spans="23:23" x14ac:dyDescent="0.2">
      <c r="W1727" s="319"/>
    </row>
    <row r="1728" spans="23:23" x14ac:dyDescent="0.2">
      <c r="W1728" s="319"/>
    </row>
    <row r="1729" spans="23:23" x14ac:dyDescent="0.2">
      <c r="W1729" s="319"/>
    </row>
    <row r="1730" spans="23:23" x14ac:dyDescent="0.2">
      <c r="W1730" s="319"/>
    </row>
    <row r="1731" spans="23:23" x14ac:dyDescent="0.2">
      <c r="W1731" s="319"/>
    </row>
    <row r="1732" spans="23:23" x14ac:dyDescent="0.2">
      <c r="W1732" s="319"/>
    </row>
    <row r="1733" spans="23:23" x14ac:dyDescent="0.2">
      <c r="W1733" s="319"/>
    </row>
    <row r="1734" spans="23:23" x14ac:dyDescent="0.2">
      <c r="W1734" s="319"/>
    </row>
    <row r="1735" spans="23:23" x14ac:dyDescent="0.2">
      <c r="W1735" s="319"/>
    </row>
    <row r="1736" spans="23:23" x14ac:dyDescent="0.2">
      <c r="W1736" s="319"/>
    </row>
    <row r="1737" spans="23:23" x14ac:dyDescent="0.2">
      <c r="W1737" s="319"/>
    </row>
    <row r="1738" spans="23:23" x14ac:dyDescent="0.2">
      <c r="W1738" s="319"/>
    </row>
    <row r="1739" spans="23:23" x14ac:dyDescent="0.2">
      <c r="W1739" s="319"/>
    </row>
    <row r="1740" spans="23:23" x14ac:dyDescent="0.2">
      <c r="W1740" s="319"/>
    </row>
    <row r="1741" spans="23:23" x14ac:dyDescent="0.2">
      <c r="W1741" s="319"/>
    </row>
    <row r="1742" spans="23:23" x14ac:dyDescent="0.2">
      <c r="W1742" s="319"/>
    </row>
    <row r="1743" spans="23:23" x14ac:dyDescent="0.2">
      <c r="W1743" s="319"/>
    </row>
    <row r="1744" spans="23:23" x14ac:dyDescent="0.2">
      <c r="W1744" s="319"/>
    </row>
    <row r="1745" spans="23:23" x14ac:dyDescent="0.2">
      <c r="W1745" s="319"/>
    </row>
    <row r="1746" spans="23:23" x14ac:dyDescent="0.2">
      <c r="W1746" s="319"/>
    </row>
    <row r="1747" spans="23:23" x14ac:dyDescent="0.2">
      <c r="W1747" s="319"/>
    </row>
    <row r="1748" spans="23:23" x14ac:dyDescent="0.2">
      <c r="W1748" s="319"/>
    </row>
    <row r="1749" spans="23:23" x14ac:dyDescent="0.2">
      <c r="W1749" s="319"/>
    </row>
    <row r="1750" spans="23:23" x14ac:dyDescent="0.2">
      <c r="W1750" s="319"/>
    </row>
    <row r="1751" spans="23:23" x14ac:dyDescent="0.2">
      <c r="W1751" s="319"/>
    </row>
    <row r="1752" spans="23:23" x14ac:dyDescent="0.2">
      <c r="W1752" s="319"/>
    </row>
    <row r="1753" spans="23:23" x14ac:dyDescent="0.2">
      <c r="W1753" s="319"/>
    </row>
    <row r="1754" spans="23:23" x14ac:dyDescent="0.2">
      <c r="W1754" s="319"/>
    </row>
    <row r="1755" spans="23:23" x14ac:dyDescent="0.2">
      <c r="W1755" s="319"/>
    </row>
    <row r="1756" spans="23:23" x14ac:dyDescent="0.2">
      <c r="W1756" s="319"/>
    </row>
    <row r="1757" spans="23:23" x14ac:dyDescent="0.2">
      <c r="W1757" s="319"/>
    </row>
    <row r="1758" spans="23:23" x14ac:dyDescent="0.2">
      <c r="W1758" s="319"/>
    </row>
    <row r="1759" spans="23:23" x14ac:dyDescent="0.2">
      <c r="W1759" s="319"/>
    </row>
    <row r="1760" spans="23:23" x14ac:dyDescent="0.2">
      <c r="W1760" s="319"/>
    </row>
    <row r="1761" spans="23:23" x14ac:dyDescent="0.2">
      <c r="W1761" s="319"/>
    </row>
    <row r="1762" spans="23:23" x14ac:dyDescent="0.2">
      <c r="W1762" s="319"/>
    </row>
    <row r="1763" spans="23:23" x14ac:dyDescent="0.2">
      <c r="W1763" s="319"/>
    </row>
    <row r="1764" spans="23:23" x14ac:dyDescent="0.2">
      <c r="W1764" s="319"/>
    </row>
    <row r="1765" spans="23:23" x14ac:dyDescent="0.2">
      <c r="W1765" s="319"/>
    </row>
    <row r="1766" spans="23:23" x14ac:dyDescent="0.2">
      <c r="W1766" s="319"/>
    </row>
    <row r="1767" spans="23:23" x14ac:dyDescent="0.2">
      <c r="W1767" s="319"/>
    </row>
    <row r="1768" spans="23:23" x14ac:dyDescent="0.2">
      <c r="W1768" s="319"/>
    </row>
    <row r="1769" spans="23:23" x14ac:dyDescent="0.2">
      <c r="W1769" s="319"/>
    </row>
    <row r="1770" spans="23:23" x14ac:dyDescent="0.2">
      <c r="W1770" s="319"/>
    </row>
    <row r="1771" spans="23:23" x14ac:dyDescent="0.2">
      <c r="W1771" s="319"/>
    </row>
    <row r="1772" spans="23:23" x14ac:dyDescent="0.2">
      <c r="W1772" s="319"/>
    </row>
    <row r="1773" spans="23:23" x14ac:dyDescent="0.2">
      <c r="W1773" s="319"/>
    </row>
    <row r="1774" spans="23:23" x14ac:dyDescent="0.2">
      <c r="W1774" s="319"/>
    </row>
    <row r="1775" spans="23:23" x14ac:dyDescent="0.2">
      <c r="W1775" s="319"/>
    </row>
    <row r="1776" spans="23:23" x14ac:dyDescent="0.2">
      <c r="W1776" s="319"/>
    </row>
    <row r="1777" spans="23:23" x14ac:dyDescent="0.2">
      <c r="W1777" s="319"/>
    </row>
    <row r="1778" spans="23:23" x14ac:dyDescent="0.2">
      <c r="W1778" s="319"/>
    </row>
    <row r="1779" spans="23:23" x14ac:dyDescent="0.2">
      <c r="W1779" s="319"/>
    </row>
    <row r="1780" spans="23:23" x14ac:dyDescent="0.2">
      <c r="W1780" s="319"/>
    </row>
    <row r="1781" spans="23:23" x14ac:dyDescent="0.2">
      <c r="W1781" s="319"/>
    </row>
    <row r="1782" spans="23:23" x14ac:dyDescent="0.2">
      <c r="W1782" s="319"/>
    </row>
    <row r="1783" spans="23:23" x14ac:dyDescent="0.2">
      <c r="W1783" s="319"/>
    </row>
    <row r="1784" spans="23:23" x14ac:dyDescent="0.2">
      <c r="W1784" s="319"/>
    </row>
    <row r="1785" spans="23:23" x14ac:dyDescent="0.2">
      <c r="W1785" s="319"/>
    </row>
    <row r="1786" spans="23:23" x14ac:dyDescent="0.2">
      <c r="W1786" s="319"/>
    </row>
    <row r="1787" spans="23:23" x14ac:dyDescent="0.2">
      <c r="W1787" s="319"/>
    </row>
    <row r="1788" spans="23:23" x14ac:dyDescent="0.2">
      <c r="W1788" s="319"/>
    </row>
    <row r="1789" spans="23:23" x14ac:dyDescent="0.2">
      <c r="W1789" s="319"/>
    </row>
    <row r="1790" spans="23:23" x14ac:dyDescent="0.2">
      <c r="W1790" s="319"/>
    </row>
    <row r="1791" spans="23:23" x14ac:dyDescent="0.2">
      <c r="W1791" s="319"/>
    </row>
    <row r="1792" spans="23:23" x14ac:dyDescent="0.2">
      <c r="W1792" s="319"/>
    </row>
    <row r="1793" spans="23:23" x14ac:dyDescent="0.2">
      <c r="W1793" s="319"/>
    </row>
    <row r="1794" spans="23:23" x14ac:dyDescent="0.2">
      <c r="W1794" s="319"/>
    </row>
    <row r="1795" spans="23:23" x14ac:dyDescent="0.2">
      <c r="W1795" s="319"/>
    </row>
    <row r="1796" spans="23:23" x14ac:dyDescent="0.2">
      <c r="W1796" s="319"/>
    </row>
    <row r="1797" spans="23:23" x14ac:dyDescent="0.2">
      <c r="W1797" s="319"/>
    </row>
    <row r="1798" spans="23:23" x14ac:dyDescent="0.2">
      <c r="W1798" s="319"/>
    </row>
    <row r="1799" spans="23:23" x14ac:dyDescent="0.2">
      <c r="W1799" s="319"/>
    </row>
    <row r="1800" spans="23:23" x14ac:dyDescent="0.2">
      <c r="W1800" s="319"/>
    </row>
    <row r="1801" spans="23:23" x14ac:dyDescent="0.2">
      <c r="W1801" s="319"/>
    </row>
    <row r="1802" spans="23:23" x14ac:dyDescent="0.2">
      <c r="W1802" s="319"/>
    </row>
    <row r="1803" spans="23:23" x14ac:dyDescent="0.2">
      <c r="W1803" s="319"/>
    </row>
    <row r="1804" spans="23:23" x14ac:dyDescent="0.2">
      <c r="W1804" s="319"/>
    </row>
    <row r="1805" spans="23:23" x14ac:dyDescent="0.2">
      <c r="W1805" s="319"/>
    </row>
    <row r="1806" spans="23:23" x14ac:dyDescent="0.2">
      <c r="W1806" s="319"/>
    </row>
    <row r="1807" spans="23:23" x14ac:dyDescent="0.2">
      <c r="W1807" s="319"/>
    </row>
    <row r="1808" spans="23:23" x14ac:dyDescent="0.2">
      <c r="W1808" s="319"/>
    </row>
    <row r="1809" spans="23:23" x14ac:dyDescent="0.2">
      <c r="W1809" s="319"/>
    </row>
    <row r="1810" spans="23:23" x14ac:dyDescent="0.2">
      <c r="W1810" s="319"/>
    </row>
    <row r="1811" spans="23:23" x14ac:dyDescent="0.2">
      <c r="W1811" s="319"/>
    </row>
    <row r="1812" spans="23:23" x14ac:dyDescent="0.2">
      <c r="W1812" s="319"/>
    </row>
    <row r="1813" spans="23:23" x14ac:dyDescent="0.2">
      <c r="W1813" s="319"/>
    </row>
    <row r="1814" spans="23:23" x14ac:dyDescent="0.2">
      <c r="W1814" s="319"/>
    </row>
    <row r="1815" spans="23:23" x14ac:dyDescent="0.2">
      <c r="W1815" s="319"/>
    </row>
    <row r="1816" spans="23:23" x14ac:dyDescent="0.2">
      <c r="W1816" s="319"/>
    </row>
    <row r="1817" spans="23:23" x14ac:dyDescent="0.2">
      <c r="W1817" s="319"/>
    </row>
    <row r="1818" spans="23:23" x14ac:dyDescent="0.2">
      <c r="W1818" s="319"/>
    </row>
    <row r="1819" spans="23:23" x14ac:dyDescent="0.2">
      <c r="W1819" s="319"/>
    </row>
    <row r="1820" spans="23:23" x14ac:dyDescent="0.2">
      <c r="W1820" s="319"/>
    </row>
    <row r="1821" spans="23:23" x14ac:dyDescent="0.2">
      <c r="W1821" s="319"/>
    </row>
    <row r="1822" spans="23:23" x14ac:dyDescent="0.2">
      <c r="W1822" s="319"/>
    </row>
    <row r="1823" spans="23:23" x14ac:dyDescent="0.2">
      <c r="W1823" s="319"/>
    </row>
    <row r="1824" spans="23:23" x14ac:dyDescent="0.2">
      <c r="W1824" s="319"/>
    </row>
    <row r="1825" spans="23:23" x14ac:dyDescent="0.2">
      <c r="W1825" s="319"/>
    </row>
    <row r="1826" spans="23:23" x14ac:dyDescent="0.2">
      <c r="W1826" s="319"/>
    </row>
    <row r="1827" spans="23:23" x14ac:dyDescent="0.2">
      <c r="W1827" s="319"/>
    </row>
    <row r="1828" spans="23:23" x14ac:dyDescent="0.2">
      <c r="W1828" s="319"/>
    </row>
    <row r="1829" spans="23:23" x14ac:dyDescent="0.2">
      <c r="W1829" s="319"/>
    </row>
    <row r="1830" spans="23:23" x14ac:dyDescent="0.2">
      <c r="W1830" s="319"/>
    </row>
    <row r="1831" spans="23:23" x14ac:dyDescent="0.2">
      <c r="W1831" s="319"/>
    </row>
    <row r="1832" spans="23:23" x14ac:dyDescent="0.2">
      <c r="W1832" s="319"/>
    </row>
    <row r="1833" spans="23:23" x14ac:dyDescent="0.2">
      <c r="W1833" s="319"/>
    </row>
    <row r="1834" spans="23:23" x14ac:dyDescent="0.2">
      <c r="W1834" s="319"/>
    </row>
    <row r="1835" spans="23:23" x14ac:dyDescent="0.2">
      <c r="W1835" s="319"/>
    </row>
    <row r="1836" spans="23:23" x14ac:dyDescent="0.2">
      <c r="W1836" s="319"/>
    </row>
    <row r="1837" spans="23:23" x14ac:dyDescent="0.2">
      <c r="W1837" s="319"/>
    </row>
    <row r="1838" spans="23:23" x14ac:dyDescent="0.2">
      <c r="W1838" s="319"/>
    </row>
    <row r="1839" spans="23:23" x14ac:dyDescent="0.2">
      <c r="W1839" s="319"/>
    </row>
    <row r="1840" spans="23:23" x14ac:dyDescent="0.2">
      <c r="W1840" s="319"/>
    </row>
    <row r="1841" spans="23:23" x14ac:dyDescent="0.2">
      <c r="W1841" s="319"/>
    </row>
    <row r="1842" spans="23:23" x14ac:dyDescent="0.2">
      <c r="W1842" s="319"/>
    </row>
    <row r="1843" spans="23:23" x14ac:dyDescent="0.2">
      <c r="W1843" s="319"/>
    </row>
    <row r="1844" spans="23:23" x14ac:dyDescent="0.2">
      <c r="W1844" s="319"/>
    </row>
    <row r="1845" spans="23:23" x14ac:dyDescent="0.2">
      <c r="W1845" s="319"/>
    </row>
    <row r="1846" spans="23:23" x14ac:dyDescent="0.2">
      <c r="W1846" s="319"/>
    </row>
    <row r="1847" spans="23:23" x14ac:dyDescent="0.2">
      <c r="W1847" s="319"/>
    </row>
    <row r="1848" spans="23:23" x14ac:dyDescent="0.2">
      <c r="W1848" s="319"/>
    </row>
    <row r="1849" spans="23:23" x14ac:dyDescent="0.2">
      <c r="W1849" s="319"/>
    </row>
    <row r="1850" spans="23:23" x14ac:dyDescent="0.2">
      <c r="W1850" s="319"/>
    </row>
    <row r="1851" spans="23:23" x14ac:dyDescent="0.2">
      <c r="W1851" s="319"/>
    </row>
    <row r="1852" spans="23:23" x14ac:dyDescent="0.2">
      <c r="W1852" s="319"/>
    </row>
    <row r="1853" spans="23:23" x14ac:dyDescent="0.2">
      <c r="W1853" s="319"/>
    </row>
    <row r="1854" spans="23:23" x14ac:dyDescent="0.2">
      <c r="W1854" s="319"/>
    </row>
    <row r="1855" spans="23:23" x14ac:dyDescent="0.2">
      <c r="W1855" s="319"/>
    </row>
    <row r="1856" spans="23:23" x14ac:dyDescent="0.2">
      <c r="W1856" s="319"/>
    </row>
    <row r="1857" spans="23:23" x14ac:dyDescent="0.2">
      <c r="W1857" s="319"/>
    </row>
    <row r="1858" spans="23:23" x14ac:dyDescent="0.2">
      <c r="W1858" s="319"/>
    </row>
    <row r="1859" spans="23:23" x14ac:dyDescent="0.2">
      <c r="W1859" s="319"/>
    </row>
    <row r="1860" spans="23:23" x14ac:dyDescent="0.2">
      <c r="W1860" s="319"/>
    </row>
    <row r="1861" spans="23:23" x14ac:dyDescent="0.2">
      <c r="W1861" s="319"/>
    </row>
    <row r="1862" spans="23:23" x14ac:dyDescent="0.2">
      <c r="W1862" s="319"/>
    </row>
    <row r="1863" spans="23:23" x14ac:dyDescent="0.2">
      <c r="W1863" s="319"/>
    </row>
    <row r="1864" spans="23:23" x14ac:dyDescent="0.2">
      <c r="W1864" s="319"/>
    </row>
    <row r="1865" spans="23:23" x14ac:dyDescent="0.2">
      <c r="W1865" s="319"/>
    </row>
    <row r="1866" spans="23:23" x14ac:dyDescent="0.2">
      <c r="W1866" s="319"/>
    </row>
    <row r="1867" spans="23:23" x14ac:dyDescent="0.2">
      <c r="W1867" s="319"/>
    </row>
    <row r="1868" spans="23:23" x14ac:dyDescent="0.2">
      <c r="W1868" s="319"/>
    </row>
    <row r="1869" spans="23:23" x14ac:dyDescent="0.2">
      <c r="W1869" s="319"/>
    </row>
    <row r="1870" spans="23:23" x14ac:dyDescent="0.2">
      <c r="W1870" s="319"/>
    </row>
    <row r="1871" spans="23:23" x14ac:dyDescent="0.2">
      <c r="W1871" s="319"/>
    </row>
    <row r="1872" spans="23:23" x14ac:dyDescent="0.2">
      <c r="W1872" s="319"/>
    </row>
    <row r="1873" spans="23:23" x14ac:dyDescent="0.2">
      <c r="W1873" s="319"/>
    </row>
    <row r="1874" spans="23:23" x14ac:dyDescent="0.2">
      <c r="W1874" s="319"/>
    </row>
    <row r="1875" spans="23:23" x14ac:dyDescent="0.2">
      <c r="W1875" s="319"/>
    </row>
    <row r="1876" spans="23:23" x14ac:dyDescent="0.2">
      <c r="W1876" s="319"/>
    </row>
    <row r="1877" spans="23:23" x14ac:dyDescent="0.2">
      <c r="W1877" s="319"/>
    </row>
    <row r="1878" spans="23:23" x14ac:dyDescent="0.2">
      <c r="W1878" s="319"/>
    </row>
    <row r="1879" spans="23:23" x14ac:dyDescent="0.2">
      <c r="W1879" s="319"/>
    </row>
    <row r="1880" spans="23:23" x14ac:dyDescent="0.2">
      <c r="W1880" s="319"/>
    </row>
    <row r="1881" spans="23:23" x14ac:dyDescent="0.2">
      <c r="W1881" s="319"/>
    </row>
    <row r="1882" spans="23:23" x14ac:dyDescent="0.2">
      <c r="W1882" s="319"/>
    </row>
    <row r="1883" spans="23:23" x14ac:dyDescent="0.2">
      <c r="W1883" s="319"/>
    </row>
    <row r="1884" spans="23:23" x14ac:dyDescent="0.2">
      <c r="W1884" s="319"/>
    </row>
    <row r="1885" spans="23:23" x14ac:dyDescent="0.2">
      <c r="W1885" s="319"/>
    </row>
    <row r="1886" spans="23:23" x14ac:dyDescent="0.2">
      <c r="W1886" s="319"/>
    </row>
    <row r="1887" spans="23:23" x14ac:dyDescent="0.2">
      <c r="W1887" s="319"/>
    </row>
    <row r="1888" spans="23:23" x14ac:dyDescent="0.2">
      <c r="W1888" s="319"/>
    </row>
    <row r="1889" spans="23:23" x14ac:dyDescent="0.2">
      <c r="W1889" s="319"/>
    </row>
    <row r="1890" spans="23:23" x14ac:dyDescent="0.2">
      <c r="W1890" s="319"/>
    </row>
    <row r="1891" spans="23:23" x14ac:dyDescent="0.2">
      <c r="W1891" s="319"/>
    </row>
    <row r="1892" spans="23:23" x14ac:dyDescent="0.2">
      <c r="W1892" s="319"/>
    </row>
    <row r="1893" spans="23:23" x14ac:dyDescent="0.2">
      <c r="W1893" s="319"/>
    </row>
    <row r="1894" spans="23:23" x14ac:dyDescent="0.2">
      <c r="W1894" s="319"/>
    </row>
    <row r="1895" spans="23:23" x14ac:dyDescent="0.2">
      <c r="W1895" s="319"/>
    </row>
    <row r="1896" spans="23:23" x14ac:dyDescent="0.2">
      <c r="W1896" s="319"/>
    </row>
    <row r="1897" spans="23:23" x14ac:dyDescent="0.2">
      <c r="W1897" s="319"/>
    </row>
    <row r="1898" spans="23:23" x14ac:dyDescent="0.2">
      <c r="W1898" s="319"/>
    </row>
    <row r="1899" spans="23:23" x14ac:dyDescent="0.2">
      <c r="W1899" s="319"/>
    </row>
    <row r="1900" spans="23:23" x14ac:dyDescent="0.2">
      <c r="W1900" s="319"/>
    </row>
    <row r="1901" spans="23:23" x14ac:dyDescent="0.2">
      <c r="W1901" s="319"/>
    </row>
    <row r="1902" spans="23:23" x14ac:dyDescent="0.2">
      <c r="W1902" s="319"/>
    </row>
    <row r="1903" spans="23:23" x14ac:dyDescent="0.2">
      <c r="W1903" s="319"/>
    </row>
    <row r="1904" spans="23:23" x14ac:dyDescent="0.2">
      <c r="W1904" s="319"/>
    </row>
    <row r="1905" spans="23:23" x14ac:dyDescent="0.2">
      <c r="W1905" s="319"/>
    </row>
    <row r="1906" spans="23:23" x14ac:dyDescent="0.2">
      <c r="W1906" s="319"/>
    </row>
    <row r="1907" spans="23:23" x14ac:dyDescent="0.2">
      <c r="W1907" s="319"/>
    </row>
    <row r="1908" spans="23:23" x14ac:dyDescent="0.2">
      <c r="W1908" s="319"/>
    </row>
    <row r="1909" spans="23:23" x14ac:dyDescent="0.2">
      <c r="W1909" s="319"/>
    </row>
    <row r="1910" spans="23:23" x14ac:dyDescent="0.2">
      <c r="W1910" s="319"/>
    </row>
    <row r="1911" spans="23:23" x14ac:dyDescent="0.2">
      <c r="W1911" s="319"/>
    </row>
    <row r="1912" spans="23:23" x14ac:dyDescent="0.2">
      <c r="W1912" s="319"/>
    </row>
    <row r="1913" spans="23:23" x14ac:dyDescent="0.2">
      <c r="W1913" s="319"/>
    </row>
    <row r="1914" spans="23:23" x14ac:dyDescent="0.2">
      <c r="W1914" s="319"/>
    </row>
    <row r="1915" spans="23:23" x14ac:dyDescent="0.2">
      <c r="W1915" s="319"/>
    </row>
    <row r="1916" spans="23:23" x14ac:dyDescent="0.2">
      <c r="W1916" s="319"/>
    </row>
    <row r="1917" spans="23:23" x14ac:dyDescent="0.2">
      <c r="W1917" s="319"/>
    </row>
    <row r="1918" spans="23:23" x14ac:dyDescent="0.2">
      <c r="W1918" s="319"/>
    </row>
    <row r="1919" spans="23:23" x14ac:dyDescent="0.2">
      <c r="W1919" s="319"/>
    </row>
    <row r="1920" spans="23:23" x14ac:dyDescent="0.2">
      <c r="W1920" s="319"/>
    </row>
    <row r="1921" spans="23:23" x14ac:dyDescent="0.2">
      <c r="W1921" s="319"/>
    </row>
    <row r="1922" spans="23:23" x14ac:dyDescent="0.2">
      <c r="W1922" s="319"/>
    </row>
    <row r="1923" spans="23:23" x14ac:dyDescent="0.2">
      <c r="W1923" s="319"/>
    </row>
    <row r="1924" spans="23:23" x14ac:dyDescent="0.2">
      <c r="W1924" s="319"/>
    </row>
    <row r="1925" spans="23:23" x14ac:dyDescent="0.2">
      <c r="W1925" s="319"/>
    </row>
    <row r="1926" spans="23:23" x14ac:dyDescent="0.2">
      <c r="W1926" s="319"/>
    </row>
    <row r="1927" spans="23:23" x14ac:dyDescent="0.2">
      <c r="W1927" s="319"/>
    </row>
    <row r="1928" spans="23:23" x14ac:dyDescent="0.2">
      <c r="W1928" s="319"/>
    </row>
    <row r="1929" spans="23:23" x14ac:dyDescent="0.2">
      <c r="W1929" s="319"/>
    </row>
    <row r="1930" spans="23:23" x14ac:dyDescent="0.2">
      <c r="W1930" s="319"/>
    </row>
    <row r="1931" spans="23:23" x14ac:dyDescent="0.2">
      <c r="W1931" s="319"/>
    </row>
    <row r="1932" spans="23:23" x14ac:dyDescent="0.2">
      <c r="W1932" s="319"/>
    </row>
    <row r="1933" spans="23:23" x14ac:dyDescent="0.2">
      <c r="W1933" s="319"/>
    </row>
    <row r="1934" spans="23:23" x14ac:dyDescent="0.2">
      <c r="W1934" s="319"/>
    </row>
    <row r="1935" spans="23:23" x14ac:dyDescent="0.2">
      <c r="W1935" s="319"/>
    </row>
    <row r="1936" spans="23:23" x14ac:dyDescent="0.2">
      <c r="W1936" s="319"/>
    </row>
    <row r="1937" spans="23:23" x14ac:dyDescent="0.2">
      <c r="W1937" s="319"/>
    </row>
    <row r="1938" spans="23:23" x14ac:dyDescent="0.2">
      <c r="W1938" s="319"/>
    </row>
    <row r="1939" spans="23:23" x14ac:dyDescent="0.2">
      <c r="W1939" s="319"/>
    </row>
    <row r="1940" spans="23:23" x14ac:dyDescent="0.2">
      <c r="W1940" s="319"/>
    </row>
    <row r="1941" spans="23:23" x14ac:dyDescent="0.2">
      <c r="W1941" s="319"/>
    </row>
    <row r="1942" spans="23:23" x14ac:dyDescent="0.2">
      <c r="W1942" s="319"/>
    </row>
    <row r="1943" spans="23:23" x14ac:dyDescent="0.2">
      <c r="W1943" s="319"/>
    </row>
    <row r="1944" spans="23:23" x14ac:dyDescent="0.2">
      <c r="W1944" s="319"/>
    </row>
    <row r="1945" spans="23:23" x14ac:dyDescent="0.2">
      <c r="W1945" s="319"/>
    </row>
    <row r="1946" spans="23:23" x14ac:dyDescent="0.2">
      <c r="W1946" s="319"/>
    </row>
    <row r="1947" spans="23:23" x14ac:dyDescent="0.2">
      <c r="W1947" s="319"/>
    </row>
    <row r="1948" spans="23:23" x14ac:dyDescent="0.2">
      <c r="W1948" s="319"/>
    </row>
    <row r="1949" spans="23:23" x14ac:dyDescent="0.2">
      <c r="W1949" s="319"/>
    </row>
    <row r="1950" spans="23:23" x14ac:dyDescent="0.2">
      <c r="W1950" s="319"/>
    </row>
    <row r="1951" spans="23:23" x14ac:dyDescent="0.2">
      <c r="W1951" s="319"/>
    </row>
    <row r="1952" spans="23:23" x14ac:dyDescent="0.2">
      <c r="W1952" s="319"/>
    </row>
    <row r="1953" spans="23:23" x14ac:dyDescent="0.2">
      <c r="W1953" s="319"/>
    </row>
    <row r="1954" spans="23:23" x14ac:dyDescent="0.2">
      <c r="W1954" s="319"/>
    </row>
    <row r="1955" spans="23:23" x14ac:dyDescent="0.2">
      <c r="W1955" s="319"/>
    </row>
    <row r="1956" spans="23:23" x14ac:dyDescent="0.2">
      <c r="W1956" s="319"/>
    </row>
    <row r="1957" spans="23:23" x14ac:dyDescent="0.2">
      <c r="W1957" s="319"/>
    </row>
    <row r="1958" spans="23:23" x14ac:dyDescent="0.2">
      <c r="W1958" s="319"/>
    </row>
    <row r="1959" spans="23:23" x14ac:dyDescent="0.2">
      <c r="W1959" s="319"/>
    </row>
    <row r="1960" spans="23:23" x14ac:dyDescent="0.2">
      <c r="W1960" s="319"/>
    </row>
    <row r="1961" spans="23:23" x14ac:dyDescent="0.2">
      <c r="W1961" s="319"/>
    </row>
    <row r="1962" spans="23:23" x14ac:dyDescent="0.2">
      <c r="W1962" s="319"/>
    </row>
    <row r="1963" spans="23:23" x14ac:dyDescent="0.2">
      <c r="W1963" s="319"/>
    </row>
    <row r="1964" spans="23:23" x14ac:dyDescent="0.2">
      <c r="W1964" s="319"/>
    </row>
    <row r="1965" spans="23:23" x14ac:dyDescent="0.2">
      <c r="W1965" s="319"/>
    </row>
    <row r="1966" spans="23:23" x14ac:dyDescent="0.2">
      <c r="W1966" s="319"/>
    </row>
    <row r="1967" spans="23:23" x14ac:dyDescent="0.2">
      <c r="W1967" s="319"/>
    </row>
    <row r="1968" spans="23:23" x14ac:dyDescent="0.2">
      <c r="W1968" s="319"/>
    </row>
    <row r="1969" spans="23:23" x14ac:dyDescent="0.2">
      <c r="W1969" s="319"/>
    </row>
    <row r="1970" spans="23:23" x14ac:dyDescent="0.2">
      <c r="W1970" s="319"/>
    </row>
    <row r="1971" spans="23:23" x14ac:dyDescent="0.2">
      <c r="W1971" s="319"/>
    </row>
    <row r="1972" spans="23:23" x14ac:dyDescent="0.2">
      <c r="W1972" s="319"/>
    </row>
    <row r="1973" spans="23:23" x14ac:dyDescent="0.2">
      <c r="W1973" s="319"/>
    </row>
    <row r="1974" spans="23:23" x14ac:dyDescent="0.2">
      <c r="W1974" s="319"/>
    </row>
    <row r="1975" spans="23:23" x14ac:dyDescent="0.2">
      <c r="W1975" s="319"/>
    </row>
    <row r="1976" spans="23:23" x14ac:dyDescent="0.2">
      <c r="W1976" s="319"/>
    </row>
    <row r="1977" spans="23:23" x14ac:dyDescent="0.2">
      <c r="W1977" s="319"/>
    </row>
    <row r="1978" spans="23:23" x14ac:dyDescent="0.2">
      <c r="W1978" s="319"/>
    </row>
    <row r="1979" spans="23:23" x14ac:dyDescent="0.2">
      <c r="W1979" s="319"/>
    </row>
    <row r="1980" spans="23:23" x14ac:dyDescent="0.2">
      <c r="W1980" s="319"/>
    </row>
    <row r="1981" spans="23:23" x14ac:dyDescent="0.2">
      <c r="W1981" s="319"/>
    </row>
    <row r="1982" spans="23:23" x14ac:dyDescent="0.2">
      <c r="W1982" s="319"/>
    </row>
    <row r="1983" spans="23:23" x14ac:dyDescent="0.2">
      <c r="W1983" s="319"/>
    </row>
    <row r="1984" spans="23:23" x14ac:dyDescent="0.2">
      <c r="W1984" s="319"/>
    </row>
    <row r="1985" spans="23:23" x14ac:dyDescent="0.2">
      <c r="W1985" s="319"/>
    </row>
    <row r="1986" spans="23:23" x14ac:dyDescent="0.2">
      <c r="W1986" s="319"/>
    </row>
    <row r="1987" spans="23:23" x14ac:dyDescent="0.2">
      <c r="W1987" s="319"/>
    </row>
    <row r="1988" spans="23:23" x14ac:dyDescent="0.2">
      <c r="W1988" s="319"/>
    </row>
    <row r="1989" spans="23:23" x14ac:dyDescent="0.2">
      <c r="W1989" s="319"/>
    </row>
    <row r="1990" spans="23:23" x14ac:dyDescent="0.2">
      <c r="W1990" s="319"/>
    </row>
    <row r="1991" spans="23:23" x14ac:dyDescent="0.2">
      <c r="W1991" s="319"/>
    </row>
    <row r="1992" spans="23:23" x14ac:dyDescent="0.2">
      <c r="W1992" s="319"/>
    </row>
    <row r="1993" spans="23:23" x14ac:dyDescent="0.2">
      <c r="W1993" s="319"/>
    </row>
    <row r="1994" spans="23:23" x14ac:dyDescent="0.2">
      <c r="W1994" s="319"/>
    </row>
    <row r="1995" spans="23:23" x14ac:dyDescent="0.2">
      <c r="W1995" s="319"/>
    </row>
    <row r="1996" spans="23:23" x14ac:dyDescent="0.2">
      <c r="W1996" s="319"/>
    </row>
    <row r="1997" spans="23:23" x14ac:dyDescent="0.2">
      <c r="W1997" s="319"/>
    </row>
    <row r="1998" spans="23:23" x14ac:dyDescent="0.2">
      <c r="W1998" s="319"/>
    </row>
    <row r="1999" spans="23:23" x14ac:dyDescent="0.2">
      <c r="W1999" s="319"/>
    </row>
    <row r="2000" spans="23:23" x14ac:dyDescent="0.2">
      <c r="W2000" s="319"/>
    </row>
    <row r="2001" spans="23:23" x14ac:dyDescent="0.2">
      <c r="W2001" s="319"/>
    </row>
    <row r="2002" spans="23:23" x14ac:dyDescent="0.2">
      <c r="W2002" s="319"/>
    </row>
    <row r="2003" spans="23:23" x14ac:dyDescent="0.2">
      <c r="W2003" s="319"/>
    </row>
    <row r="2004" spans="23:23" x14ac:dyDescent="0.2">
      <c r="W2004" s="319"/>
    </row>
    <row r="2005" spans="23:23" x14ac:dyDescent="0.2">
      <c r="W2005" s="319"/>
    </row>
    <row r="2006" spans="23:23" x14ac:dyDescent="0.2">
      <c r="W2006" s="319"/>
    </row>
    <row r="2007" spans="23:23" x14ac:dyDescent="0.2">
      <c r="W2007" s="319"/>
    </row>
    <row r="2008" spans="23:23" x14ac:dyDescent="0.2">
      <c r="W2008" s="319"/>
    </row>
    <row r="2009" spans="23:23" x14ac:dyDescent="0.2">
      <c r="W2009" s="319"/>
    </row>
    <row r="2010" spans="23:23" x14ac:dyDescent="0.2">
      <c r="W2010" s="319"/>
    </row>
    <row r="2011" spans="23:23" x14ac:dyDescent="0.2">
      <c r="W2011" s="319"/>
    </row>
    <row r="2012" spans="23:23" x14ac:dyDescent="0.2">
      <c r="W2012" s="319"/>
    </row>
    <row r="2013" spans="23:23" x14ac:dyDescent="0.2">
      <c r="W2013" s="319"/>
    </row>
    <row r="2014" spans="23:23" x14ac:dyDescent="0.2">
      <c r="W2014" s="319"/>
    </row>
    <row r="2015" spans="23:23" x14ac:dyDescent="0.2">
      <c r="W2015" s="319"/>
    </row>
    <row r="2016" spans="23:23" x14ac:dyDescent="0.2">
      <c r="W2016" s="319"/>
    </row>
    <row r="2017" spans="23:23" x14ac:dyDescent="0.2">
      <c r="W2017" s="319"/>
    </row>
    <row r="2018" spans="23:23" x14ac:dyDescent="0.2">
      <c r="W2018" s="319"/>
    </row>
    <row r="2019" spans="23:23" x14ac:dyDescent="0.2">
      <c r="W2019" s="319"/>
    </row>
    <row r="2020" spans="23:23" x14ac:dyDescent="0.2">
      <c r="W2020" s="319"/>
    </row>
    <row r="2021" spans="23:23" x14ac:dyDescent="0.2">
      <c r="W2021" s="319"/>
    </row>
    <row r="2022" spans="23:23" x14ac:dyDescent="0.2">
      <c r="W2022" s="319"/>
    </row>
    <row r="2023" spans="23:23" x14ac:dyDescent="0.2">
      <c r="W2023" s="319"/>
    </row>
    <row r="2024" spans="23:23" x14ac:dyDescent="0.2">
      <c r="W2024" s="319"/>
    </row>
    <row r="2025" spans="23:23" x14ac:dyDescent="0.2">
      <c r="W2025" s="319"/>
    </row>
    <row r="2026" spans="23:23" x14ac:dyDescent="0.2">
      <c r="W2026" s="319"/>
    </row>
    <row r="2027" spans="23:23" x14ac:dyDescent="0.2">
      <c r="W2027" s="319"/>
    </row>
    <row r="2028" spans="23:23" x14ac:dyDescent="0.2">
      <c r="W2028" s="319"/>
    </row>
    <row r="2029" spans="23:23" x14ac:dyDescent="0.2">
      <c r="W2029" s="319"/>
    </row>
    <row r="2030" spans="23:23" x14ac:dyDescent="0.2">
      <c r="W2030" s="319"/>
    </row>
    <row r="2031" spans="23:23" x14ac:dyDescent="0.2">
      <c r="W2031" s="319"/>
    </row>
    <row r="2032" spans="23:23" x14ac:dyDescent="0.2">
      <c r="W2032" s="319"/>
    </row>
    <row r="2033" spans="23:23" x14ac:dyDescent="0.2">
      <c r="W2033" s="319"/>
    </row>
    <row r="2034" spans="23:23" x14ac:dyDescent="0.2">
      <c r="W2034" s="319"/>
    </row>
    <row r="2035" spans="23:23" x14ac:dyDescent="0.2">
      <c r="W2035" s="319"/>
    </row>
    <row r="2036" spans="23:23" x14ac:dyDescent="0.2">
      <c r="W2036" s="319"/>
    </row>
    <row r="2037" spans="23:23" x14ac:dyDescent="0.2">
      <c r="W2037" s="319"/>
    </row>
    <row r="2038" spans="23:23" x14ac:dyDescent="0.2">
      <c r="W2038" s="319"/>
    </row>
    <row r="2039" spans="23:23" x14ac:dyDescent="0.2">
      <c r="W2039" s="319"/>
    </row>
    <row r="2040" spans="23:23" x14ac:dyDescent="0.2">
      <c r="W2040" s="319"/>
    </row>
    <row r="2041" spans="23:23" x14ac:dyDescent="0.2">
      <c r="W2041" s="319"/>
    </row>
    <row r="2042" spans="23:23" x14ac:dyDescent="0.2">
      <c r="W2042" s="319"/>
    </row>
    <row r="2043" spans="23:23" x14ac:dyDescent="0.2">
      <c r="W2043" s="319"/>
    </row>
    <row r="2044" spans="23:23" x14ac:dyDescent="0.2">
      <c r="W2044" s="319"/>
    </row>
    <row r="2045" spans="23:23" x14ac:dyDescent="0.2">
      <c r="W2045" s="319"/>
    </row>
    <row r="2046" spans="23:23" x14ac:dyDescent="0.2">
      <c r="W2046" s="319"/>
    </row>
    <row r="2047" spans="23:23" x14ac:dyDescent="0.2">
      <c r="W2047" s="319"/>
    </row>
    <row r="2048" spans="23:23" x14ac:dyDescent="0.2">
      <c r="W2048" s="319"/>
    </row>
    <row r="2049" spans="23:23" x14ac:dyDescent="0.2">
      <c r="W2049" s="319"/>
    </row>
    <row r="2050" spans="23:23" x14ac:dyDescent="0.2">
      <c r="W2050" s="319"/>
    </row>
    <row r="2051" spans="23:23" x14ac:dyDescent="0.2">
      <c r="W2051" s="319"/>
    </row>
    <row r="2052" spans="23:23" x14ac:dyDescent="0.2">
      <c r="W2052" s="319"/>
    </row>
    <row r="2053" spans="23:23" x14ac:dyDescent="0.2">
      <c r="W2053" s="319"/>
    </row>
    <row r="2054" spans="23:23" x14ac:dyDescent="0.2">
      <c r="W2054" s="319"/>
    </row>
    <row r="2055" spans="23:23" x14ac:dyDescent="0.2">
      <c r="W2055" s="319"/>
    </row>
    <row r="2056" spans="23:23" x14ac:dyDescent="0.2">
      <c r="W2056" s="319"/>
    </row>
    <row r="2057" spans="23:23" x14ac:dyDescent="0.2">
      <c r="W2057" s="319"/>
    </row>
    <row r="2058" spans="23:23" x14ac:dyDescent="0.2">
      <c r="W2058" s="319"/>
    </row>
    <row r="2059" spans="23:23" x14ac:dyDescent="0.2">
      <c r="W2059" s="319"/>
    </row>
    <row r="2060" spans="23:23" x14ac:dyDescent="0.2">
      <c r="W2060" s="319"/>
    </row>
    <row r="2061" spans="23:23" x14ac:dyDescent="0.2">
      <c r="W2061" s="319"/>
    </row>
    <row r="2062" spans="23:23" x14ac:dyDescent="0.2">
      <c r="W2062" s="319"/>
    </row>
    <row r="2063" spans="23:23" x14ac:dyDescent="0.2">
      <c r="W2063" s="319"/>
    </row>
    <row r="2064" spans="23:23" x14ac:dyDescent="0.2">
      <c r="W2064" s="319"/>
    </row>
    <row r="2065" spans="23:23" x14ac:dyDescent="0.2">
      <c r="W2065" s="319"/>
    </row>
    <row r="2066" spans="23:23" x14ac:dyDescent="0.2">
      <c r="W2066" s="319"/>
    </row>
    <row r="2067" spans="23:23" x14ac:dyDescent="0.2">
      <c r="W2067" s="319"/>
    </row>
    <row r="2068" spans="23:23" x14ac:dyDescent="0.2">
      <c r="W2068" s="319"/>
    </row>
    <row r="2069" spans="23:23" x14ac:dyDescent="0.2">
      <c r="W2069" s="319"/>
    </row>
    <row r="2070" spans="23:23" x14ac:dyDescent="0.2">
      <c r="W2070" s="319"/>
    </row>
    <row r="2071" spans="23:23" x14ac:dyDescent="0.2">
      <c r="W2071" s="319"/>
    </row>
    <row r="2072" spans="23:23" x14ac:dyDescent="0.2">
      <c r="W2072" s="319"/>
    </row>
    <row r="2073" spans="23:23" x14ac:dyDescent="0.2">
      <c r="W2073" s="319"/>
    </row>
    <row r="2074" spans="23:23" x14ac:dyDescent="0.2">
      <c r="W2074" s="319"/>
    </row>
    <row r="2075" spans="23:23" x14ac:dyDescent="0.2">
      <c r="W2075" s="319"/>
    </row>
    <row r="2076" spans="23:23" x14ac:dyDescent="0.2">
      <c r="W2076" s="319"/>
    </row>
    <row r="2077" spans="23:23" x14ac:dyDescent="0.2">
      <c r="W2077" s="319"/>
    </row>
    <row r="2078" spans="23:23" x14ac:dyDescent="0.2">
      <c r="W2078" s="319"/>
    </row>
    <row r="2079" spans="23:23" x14ac:dyDescent="0.2">
      <c r="W2079" s="319"/>
    </row>
    <row r="2080" spans="23:23" x14ac:dyDescent="0.2">
      <c r="W2080" s="319"/>
    </row>
    <row r="2081" spans="23:23" x14ac:dyDescent="0.2">
      <c r="W2081" s="319"/>
    </row>
    <row r="2082" spans="23:23" x14ac:dyDescent="0.2">
      <c r="W2082" s="319"/>
    </row>
    <row r="2083" spans="23:23" x14ac:dyDescent="0.2">
      <c r="W2083" s="319"/>
    </row>
    <row r="2084" spans="23:23" x14ac:dyDescent="0.2">
      <c r="W2084" s="319"/>
    </row>
    <row r="2085" spans="23:23" x14ac:dyDescent="0.2">
      <c r="W2085" s="319"/>
    </row>
    <row r="2086" spans="23:23" x14ac:dyDescent="0.2">
      <c r="W2086" s="319"/>
    </row>
    <row r="2087" spans="23:23" x14ac:dyDescent="0.2">
      <c r="W2087" s="319"/>
    </row>
    <row r="2088" spans="23:23" x14ac:dyDescent="0.2">
      <c r="W2088" s="319"/>
    </row>
    <row r="2089" spans="23:23" x14ac:dyDescent="0.2">
      <c r="W2089" s="319"/>
    </row>
    <row r="2090" spans="23:23" x14ac:dyDescent="0.2">
      <c r="W2090" s="319"/>
    </row>
    <row r="2091" spans="23:23" x14ac:dyDescent="0.2">
      <c r="W2091" s="319"/>
    </row>
    <row r="2092" spans="23:23" x14ac:dyDescent="0.2">
      <c r="W2092" s="319"/>
    </row>
    <row r="2093" spans="23:23" x14ac:dyDescent="0.2">
      <c r="W2093" s="319"/>
    </row>
    <row r="2094" spans="23:23" x14ac:dyDescent="0.2">
      <c r="W2094" s="319"/>
    </row>
    <row r="2095" spans="23:23" x14ac:dyDescent="0.2">
      <c r="W2095" s="319"/>
    </row>
    <row r="2096" spans="23:23" x14ac:dyDescent="0.2">
      <c r="W2096" s="319"/>
    </row>
    <row r="2097" spans="23:23" x14ac:dyDescent="0.2">
      <c r="W2097" s="319"/>
    </row>
    <row r="2098" spans="23:23" x14ac:dyDescent="0.2">
      <c r="W2098" s="319"/>
    </row>
    <row r="2099" spans="23:23" x14ac:dyDescent="0.2">
      <c r="W2099" s="319"/>
    </row>
    <row r="2100" spans="23:23" x14ac:dyDescent="0.2">
      <c r="W2100" s="319"/>
    </row>
    <row r="2101" spans="23:23" x14ac:dyDescent="0.2">
      <c r="W2101" s="319"/>
    </row>
    <row r="2102" spans="23:23" x14ac:dyDescent="0.2">
      <c r="W2102" s="319"/>
    </row>
    <row r="2103" spans="23:23" x14ac:dyDescent="0.2">
      <c r="W2103" s="319"/>
    </row>
    <row r="2104" spans="23:23" x14ac:dyDescent="0.2">
      <c r="W2104" s="319"/>
    </row>
    <row r="2105" spans="23:23" x14ac:dyDescent="0.2">
      <c r="W2105" s="319"/>
    </row>
    <row r="2106" spans="23:23" x14ac:dyDescent="0.2">
      <c r="W2106" s="319"/>
    </row>
    <row r="2107" spans="23:23" x14ac:dyDescent="0.2">
      <c r="W2107" s="319"/>
    </row>
    <row r="2108" spans="23:23" x14ac:dyDescent="0.2">
      <c r="W2108" s="319"/>
    </row>
    <row r="2109" spans="23:23" x14ac:dyDescent="0.2">
      <c r="W2109" s="319"/>
    </row>
    <row r="2110" spans="23:23" x14ac:dyDescent="0.2">
      <c r="W2110" s="319"/>
    </row>
    <row r="2111" spans="23:23" x14ac:dyDescent="0.2">
      <c r="W2111" s="319"/>
    </row>
    <row r="2112" spans="23:23" x14ac:dyDescent="0.2">
      <c r="W2112" s="319"/>
    </row>
    <row r="2113" spans="23:23" x14ac:dyDescent="0.2">
      <c r="W2113" s="319"/>
    </row>
    <row r="2114" spans="23:23" x14ac:dyDescent="0.2">
      <c r="W2114" s="319"/>
    </row>
    <row r="2115" spans="23:23" x14ac:dyDescent="0.2">
      <c r="W2115" s="319"/>
    </row>
    <row r="2116" spans="23:23" x14ac:dyDescent="0.2">
      <c r="W2116" s="319"/>
    </row>
    <row r="2117" spans="23:23" x14ac:dyDescent="0.2">
      <c r="W2117" s="319"/>
    </row>
    <row r="2118" spans="23:23" x14ac:dyDescent="0.2">
      <c r="W2118" s="319"/>
    </row>
    <row r="2119" spans="23:23" x14ac:dyDescent="0.2">
      <c r="W2119" s="319"/>
    </row>
    <row r="2120" spans="23:23" x14ac:dyDescent="0.2">
      <c r="W2120" s="319"/>
    </row>
    <row r="2121" spans="23:23" x14ac:dyDescent="0.2">
      <c r="W2121" s="319"/>
    </row>
    <row r="2122" spans="23:23" x14ac:dyDescent="0.2">
      <c r="W2122" s="319"/>
    </row>
    <row r="2123" spans="23:23" x14ac:dyDescent="0.2">
      <c r="W2123" s="319"/>
    </row>
    <row r="2124" spans="23:23" x14ac:dyDescent="0.2">
      <c r="W2124" s="319"/>
    </row>
    <row r="2125" spans="23:23" x14ac:dyDescent="0.2">
      <c r="W2125" s="319"/>
    </row>
    <row r="2126" spans="23:23" x14ac:dyDescent="0.2">
      <c r="W2126" s="319"/>
    </row>
    <row r="2127" spans="23:23" x14ac:dyDescent="0.2">
      <c r="W2127" s="319"/>
    </row>
    <row r="2128" spans="23:23" x14ac:dyDescent="0.2">
      <c r="W2128" s="319"/>
    </row>
    <row r="2129" spans="23:23" x14ac:dyDescent="0.2">
      <c r="W2129" s="319"/>
    </row>
    <row r="2130" spans="23:23" x14ac:dyDescent="0.2">
      <c r="W2130" s="319"/>
    </row>
    <row r="2131" spans="23:23" x14ac:dyDescent="0.2">
      <c r="W2131" s="319"/>
    </row>
    <row r="2132" spans="23:23" x14ac:dyDescent="0.2">
      <c r="W2132" s="319"/>
    </row>
    <row r="2133" spans="23:23" x14ac:dyDescent="0.2">
      <c r="W2133" s="319"/>
    </row>
    <row r="2134" spans="23:23" x14ac:dyDescent="0.2">
      <c r="W2134" s="319"/>
    </row>
    <row r="2135" spans="23:23" x14ac:dyDescent="0.2">
      <c r="W2135" s="319"/>
    </row>
    <row r="2136" spans="23:23" x14ac:dyDescent="0.2">
      <c r="W2136" s="319"/>
    </row>
    <row r="2137" spans="23:23" x14ac:dyDescent="0.2">
      <c r="W2137" s="319"/>
    </row>
    <row r="2138" spans="23:23" x14ac:dyDescent="0.2">
      <c r="W2138" s="319"/>
    </row>
    <row r="2139" spans="23:23" x14ac:dyDescent="0.2">
      <c r="W2139" s="319"/>
    </row>
    <row r="2140" spans="23:23" x14ac:dyDescent="0.2">
      <c r="W2140" s="319"/>
    </row>
    <row r="2141" spans="23:23" x14ac:dyDescent="0.2">
      <c r="W2141" s="319"/>
    </row>
    <row r="2142" spans="23:23" x14ac:dyDescent="0.2">
      <c r="W2142" s="319"/>
    </row>
    <row r="2143" spans="23:23" x14ac:dyDescent="0.2">
      <c r="W2143" s="319"/>
    </row>
    <row r="2144" spans="23:23" x14ac:dyDescent="0.2">
      <c r="W2144" s="319"/>
    </row>
    <row r="2145" spans="23:23" x14ac:dyDescent="0.2">
      <c r="W2145" s="319"/>
    </row>
    <row r="2146" spans="23:23" x14ac:dyDescent="0.2">
      <c r="W2146" s="319"/>
    </row>
    <row r="2147" spans="23:23" x14ac:dyDescent="0.2">
      <c r="W2147" s="319"/>
    </row>
    <row r="2148" spans="23:23" x14ac:dyDescent="0.2">
      <c r="W2148" s="319"/>
    </row>
    <row r="2149" spans="23:23" x14ac:dyDescent="0.2">
      <c r="W2149" s="319"/>
    </row>
    <row r="2150" spans="23:23" x14ac:dyDescent="0.2">
      <c r="W2150" s="319"/>
    </row>
    <row r="2151" spans="23:23" x14ac:dyDescent="0.2">
      <c r="W2151" s="319"/>
    </row>
    <row r="2152" spans="23:23" x14ac:dyDescent="0.2">
      <c r="W2152" s="319"/>
    </row>
    <row r="2153" spans="23:23" x14ac:dyDescent="0.2">
      <c r="W2153" s="319"/>
    </row>
    <row r="2154" spans="23:23" x14ac:dyDescent="0.2">
      <c r="W2154" s="319"/>
    </row>
    <row r="2155" spans="23:23" x14ac:dyDescent="0.2">
      <c r="W2155" s="319"/>
    </row>
    <row r="2156" spans="23:23" x14ac:dyDescent="0.2">
      <c r="W2156" s="319"/>
    </row>
    <row r="2157" spans="23:23" x14ac:dyDescent="0.2">
      <c r="W2157" s="319"/>
    </row>
    <row r="2158" spans="23:23" x14ac:dyDescent="0.2">
      <c r="W2158" s="319"/>
    </row>
    <row r="2159" spans="23:23" x14ac:dyDescent="0.2">
      <c r="W2159" s="319"/>
    </row>
    <row r="2160" spans="23:23" x14ac:dyDescent="0.2">
      <c r="W2160" s="319"/>
    </row>
    <row r="2161" spans="23:23" x14ac:dyDescent="0.2">
      <c r="W2161" s="319"/>
    </row>
    <row r="2162" spans="23:23" x14ac:dyDescent="0.2">
      <c r="W2162" s="319"/>
    </row>
    <row r="2163" spans="23:23" x14ac:dyDescent="0.2">
      <c r="W2163" s="319"/>
    </row>
    <row r="2164" spans="23:23" x14ac:dyDescent="0.2">
      <c r="W2164" s="319"/>
    </row>
    <row r="2165" spans="23:23" x14ac:dyDescent="0.2">
      <c r="W2165" s="319"/>
    </row>
    <row r="2166" spans="23:23" x14ac:dyDescent="0.2">
      <c r="W2166" s="319"/>
    </row>
    <row r="2167" spans="23:23" x14ac:dyDescent="0.2">
      <c r="W2167" s="319"/>
    </row>
    <row r="2168" spans="23:23" x14ac:dyDescent="0.2">
      <c r="W2168" s="319"/>
    </row>
    <row r="2169" spans="23:23" x14ac:dyDescent="0.2">
      <c r="W2169" s="319"/>
    </row>
    <row r="2170" spans="23:23" x14ac:dyDescent="0.2">
      <c r="W2170" s="319"/>
    </row>
    <row r="2171" spans="23:23" x14ac:dyDescent="0.2">
      <c r="W2171" s="319"/>
    </row>
    <row r="2172" spans="23:23" x14ac:dyDescent="0.2">
      <c r="W2172" s="319"/>
    </row>
    <row r="2173" spans="23:23" x14ac:dyDescent="0.2">
      <c r="W2173" s="319"/>
    </row>
    <row r="2174" spans="23:23" x14ac:dyDescent="0.2">
      <c r="W2174" s="319"/>
    </row>
    <row r="2175" spans="23:23" x14ac:dyDescent="0.2">
      <c r="W2175" s="319"/>
    </row>
    <row r="2176" spans="23:23" x14ac:dyDescent="0.2">
      <c r="W2176" s="319"/>
    </row>
    <row r="2177" spans="23:23" x14ac:dyDescent="0.2">
      <c r="W2177" s="319"/>
    </row>
    <row r="2178" spans="23:23" x14ac:dyDescent="0.2">
      <c r="W2178" s="319"/>
    </row>
    <row r="2179" spans="23:23" x14ac:dyDescent="0.2">
      <c r="W2179" s="319"/>
    </row>
    <row r="2180" spans="23:23" x14ac:dyDescent="0.2">
      <c r="W2180" s="319"/>
    </row>
    <row r="2181" spans="23:23" x14ac:dyDescent="0.2">
      <c r="W2181" s="319"/>
    </row>
    <row r="2182" spans="23:23" x14ac:dyDescent="0.2">
      <c r="W2182" s="319"/>
    </row>
    <row r="2183" spans="23:23" x14ac:dyDescent="0.2">
      <c r="W2183" s="319"/>
    </row>
    <row r="2184" spans="23:23" x14ac:dyDescent="0.2">
      <c r="W2184" s="319"/>
    </row>
    <row r="2185" spans="23:23" x14ac:dyDescent="0.2">
      <c r="W2185" s="319"/>
    </row>
    <row r="2186" spans="23:23" x14ac:dyDescent="0.2">
      <c r="W2186" s="319"/>
    </row>
    <row r="2187" spans="23:23" x14ac:dyDescent="0.2">
      <c r="W2187" s="319"/>
    </row>
    <row r="2188" spans="23:23" x14ac:dyDescent="0.2">
      <c r="W2188" s="319"/>
    </row>
    <row r="2189" spans="23:23" x14ac:dyDescent="0.2">
      <c r="W2189" s="319"/>
    </row>
    <row r="2190" spans="23:23" x14ac:dyDescent="0.2">
      <c r="W2190" s="319"/>
    </row>
    <row r="2191" spans="23:23" x14ac:dyDescent="0.2">
      <c r="W2191" s="319"/>
    </row>
    <row r="2192" spans="23:23" x14ac:dyDescent="0.2">
      <c r="W2192" s="319"/>
    </row>
    <row r="2193" spans="23:23" x14ac:dyDescent="0.2">
      <c r="W2193" s="319"/>
    </row>
    <row r="2194" spans="23:23" x14ac:dyDescent="0.2">
      <c r="W2194" s="319"/>
    </row>
    <row r="2195" spans="23:23" x14ac:dyDescent="0.2">
      <c r="W2195" s="319"/>
    </row>
    <row r="2196" spans="23:23" x14ac:dyDescent="0.2">
      <c r="W2196" s="319"/>
    </row>
    <row r="2197" spans="23:23" x14ac:dyDescent="0.2">
      <c r="W2197" s="319"/>
    </row>
    <row r="2198" spans="23:23" x14ac:dyDescent="0.2">
      <c r="W2198" s="319"/>
    </row>
    <row r="2199" spans="23:23" x14ac:dyDescent="0.2">
      <c r="W2199" s="319"/>
    </row>
    <row r="2200" spans="23:23" x14ac:dyDescent="0.2">
      <c r="W2200" s="319"/>
    </row>
    <row r="2201" spans="23:23" x14ac:dyDescent="0.2">
      <c r="W2201" s="319"/>
    </row>
    <row r="2202" spans="23:23" x14ac:dyDescent="0.2">
      <c r="W2202" s="319"/>
    </row>
    <row r="2203" spans="23:23" x14ac:dyDescent="0.2">
      <c r="W2203" s="319"/>
    </row>
    <row r="2204" spans="23:23" x14ac:dyDescent="0.2">
      <c r="W2204" s="319"/>
    </row>
    <row r="2205" spans="23:23" x14ac:dyDescent="0.2">
      <c r="W2205" s="319"/>
    </row>
    <row r="2206" spans="23:23" x14ac:dyDescent="0.2">
      <c r="W2206" s="319"/>
    </row>
    <row r="2207" spans="23:23" x14ac:dyDescent="0.2">
      <c r="W2207" s="319"/>
    </row>
    <row r="2208" spans="23:23" x14ac:dyDescent="0.2">
      <c r="W2208" s="319"/>
    </row>
    <row r="2209" spans="23:23" x14ac:dyDescent="0.2">
      <c r="W2209" s="319"/>
    </row>
    <row r="2210" spans="23:23" x14ac:dyDescent="0.2">
      <c r="W2210" s="319"/>
    </row>
    <row r="2211" spans="23:23" x14ac:dyDescent="0.2">
      <c r="W2211" s="319"/>
    </row>
    <row r="2212" spans="23:23" x14ac:dyDescent="0.2">
      <c r="W2212" s="319"/>
    </row>
    <row r="2213" spans="23:23" x14ac:dyDescent="0.2">
      <c r="W2213" s="319"/>
    </row>
    <row r="2214" spans="23:23" x14ac:dyDescent="0.2">
      <c r="W2214" s="319"/>
    </row>
    <row r="2215" spans="23:23" x14ac:dyDescent="0.2">
      <c r="W2215" s="319"/>
    </row>
    <row r="2216" spans="23:23" x14ac:dyDescent="0.2">
      <c r="W2216" s="319"/>
    </row>
    <row r="2217" spans="23:23" x14ac:dyDescent="0.2">
      <c r="W2217" s="319"/>
    </row>
    <row r="2218" spans="23:23" x14ac:dyDescent="0.2">
      <c r="W2218" s="319"/>
    </row>
    <row r="2219" spans="23:23" x14ac:dyDescent="0.2">
      <c r="W2219" s="319"/>
    </row>
    <row r="2220" spans="23:23" x14ac:dyDescent="0.2">
      <c r="W2220" s="319"/>
    </row>
    <row r="2221" spans="23:23" x14ac:dyDescent="0.2">
      <c r="W2221" s="319"/>
    </row>
    <row r="2222" spans="23:23" x14ac:dyDescent="0.2">
      <c r="W2222" s="319"/>
    </row>
    <row r="2223" spans="23:23" x14ac:dyDescent="0.2">
      <c r="W2223" s="319"/>
    </row>
    <row r="2224" spans="23:23" x14ac:dyDescent="0.2">
      <c r="W2224" s="319"/>
    </row>
    <row r="2225" spans="23:23" x14ac:dyDescent="0.2">
      <c r="W2225" s="319"/>
    </row>
    <row r="2226" spans="23:23" x14ac:dyDescent="0.2">
      <c r="W2226" s="319"/>
    </row>
    <row r="2227" spans="23:23" x14ac:dyDescent="0.2">
      <c r="W2227" s="319"/>
    </row>
    <row r="2228" spans="23:23" x14ac:dyDescent="0.2">
      <c r="W2228" s="319"/>
    </row>
    <row r="2229" spans="23:23" x14ac:dyDescent="0.2">
      <c r="W2229" s="319"/>
    </row>
    <row r="2230" spans="23:23" x14ac:dyDescent="0.2">
      <c r="W2230" s="319"/>
    </row>
    <row r="2231" spans="23:23" x14ac:dyDescent="0.2">
      <c r="W2231" s="319"/>
    </row>
    <row r="2232" spans="23:23" x14ac:dyDescent="0.2">
      <c r="W2232" s="319"/>
    </row>
    <row r="2233" spans="23:23" x14ac:dyDescent="0.2">
      <c r="W2233" s="319"/>
    </row>
    <row r="2234" spans="23:23" x14ac:dyDescent="0.2">
      <c r="W2234" s="319"/>
    </row>
    <row r="2235" spans="23:23" x14ac:dyDescent="0.2">
      <c r="W2235" s="319"/>
    </row>
    <row r="2236" spans="23:23" x14ac:dyDescent="0.2">
      <c r="W2236" s="319"/>
    </row>
    <row r="2237" spans="23:23" x14ac:dyDescent="0.2">
      <c r="W2237" s="319"/>
    </row>
    <row r="2238" spans="23:23" x14ac:dyDescent="0.2">
      <c r="W2238" s="319"/>
    </row>
    <row r="2239" spans="23:23" x14ac:dyDescent="0.2">
      <c r="W2239" s="319"/>
    </row>
    <row r="2240" spans="23:23" x14ac:dyDescent="0.2">
      <c r="W2240" s="319"/>
    </row>
    <row r="2241" spans="23:23" x14ac:dyDescent="0.2">
      <c r="W2241" s="319"/>
    </row>
    <row r="2242" spans="23:23" x14ac:dyDescent="0.2">
      <c r="W2242" s="319"/>
    </row>
    <row r="2243" spans="23:23" x14ac:dyDescent="0.2">
      <c r="W2243" s="319"/>
    </row>
    <row r="2244" spans="23:23" x14ac:dyDescent="0.2">
      <c r="W2244" s="319"/>
    </row>
    <row r="2245" spans="23:23" x14ac:dyDescent="0.2">
      <c r="W2245" s="319"/>
    </row>
    <row r="2246" spans="23:23" x14ac:dyDescent="0.2">
      <c r="W2246" s="319"/>
    </row>
    <row r="2247" spans="23:23" x14ac:dyDescent="0.2">
      <c r="W2247" s="319"/>
    </row>
    <row r="2248" spans="23:23" x14ac:dyDescent="0.2">
      <c r="W2248" s="319"/>
    </row>
    <row r="2249" spans="23:23" x14ac:dyDescent="0.2">
      <c r="W2249" s="319"/>
    </row>
    <row r="2250" spans="23:23" x14ac:dyDescent="0.2">
      <c r="W2250" s="319"/>
    </row>
    <row r="2251" spans="23:23" x14ac:dyDescent="0.2">
      <c r="W2251" s="319"/>
    </row>
    <row r="2252" spans="23:23" x14ac:dyDescent="0.2">
      <c r="W2252" s="319"/>
    </row>
    <row r="2253" spans="23:23" x14ac:dyDescent="0.2">
      <c r="W2253" s="319"/>
    </row>
    <row r="2254" spans="23:23" x14ac:dyDescent="0.2">
      <c r="W2254" s="319"/>
    </row>
    <row r="2255" spans="23:23" x14ac:dyDescent="0.2">
      <c r="W2255" s="319"/>
    </row>
    <row r="2256" spans="23:23" x14ac:dyDescent="0.2">
      <c r="W2256" s="319"/>
    </row>
    <row r="2257" spans="23:23" x14ac:dyDescent="0.2">
      <c r="W2257" s="319"/>
    </row>
    <row r="2258" spans="23:23" x14ac:dyDescent="0.2">
      <c r="W2258" s="319"/>
    </row>
    <row r="2259" spans="23:23" x14ac:dyDescent="0.2">
      <c r="W2259" s="319"/>
    </row>
    <row r="2260" spans="23:23" x14ac:dyDescent="0.2">
      <c r="W2260" s="319"/>
    </row>
    <row r="2261" spans="23:23" x14ac:dyDescent="0.2">
      <c r="W2261" s="319"/>
    </row>
    <row r="2262" spans="23:23" x14ac:dyDescent="0.2">
      <c r="W2262" s="319"/>
    </row>
    <row r="2263" spans="23:23" x14ac:dyDescent="0.2">
      <c r="W2263" s="319"/>
    </row>
    <row r="2264" spans="23:23" x14ac:dyDescent="0.2">
      <c r="W2264" s="319"/>
    </row>
    <row r="2265" spans="23:23" x14ac:dyDescent="0.2">
      <c r="W2265" s="319"/>
    </row>
    <row r="2266" spans="23:23" x14ac:dyDescent="0.2">
      <c r="W2266" s="319"/>
    </row>
    <row r="2267" spans="23:23" x14ac:dyDescent="0.2">
      <c r="W2267" s="319"/>
    </row>
    <row r="2268" spans="23:23" x14ac:dyDescent="0.2">
      <c r="W2268" s="319"/>
    </row>
    <row r="2269" spans="23:23" x14ac:dyDescent="0.2">
      <c r="W2269" s="319"/>
    </row>
    <row r="2270" spans="23:23" x14ac:dyDescent="0.2">
      <c r="W2270" s="319"/>
    </row>
    <row r="2271" spans="23:23" x14ac:dyDescent="0.2">
      <c r="W2271" s="319"/>
    </row>
    <row r="2272" spans="23:23" x14ac:dyDescent="0.2">
      <c r="W2272" s="319"/>
    </row>
    <row r="2273" spans="23:23" x14ac:dyDescent="0.2">
      <c r="W2273" s="319"/>
    </row>
    <row r="2274" spans="23:23" x14ac:dyDescent="0.2">
      <c r="W2274" s="319"/>
    </row>
    <row r="2275" spans="23:23" x14ac:dyDescent="0.2">
      <c r="W2275" s="319"/>
    </row>
    <row r="2276" spans="23:23" x14ac:dyDescent="0.2">
      <c r="W2276" s="319"/>
    </row>
    <row r="2277" spans="23:23" x14ac:dyDescent="0.2">
      <c r="W2277" s="319"/>
    </row>
    <row r="2278" spans="23:23" x14ac:dyDescent="0.2">
      <c r="W2278" s="319"/>
    </row>
    <row r="2279" spans="23:23" x14ac:dyDescent="0.2">
      <c r="W2279" s="319"/>
    </row>
    <row r="2280" spans="23:23" x14ac:dyDescent="0.2">
      <c r="W2280" s="319"/>
    </row>
    <row r="2281" spans="23:23" x14ac:dyDescent="0.2">
      <c r="W2281" s="319"/>
    </row>
    <row r="2282" spans="23:23" x14ac:dyDescent="0.2">
      <c r="W2282" s="319"/>
    </row>
    <row r="2283" spans="23:23" x14ac:dyDescent="0.2">
      <c r="W2283" s="319"/>
    </row>
    <row r="2284" spans="23:23" x14ac:dyDescent="0.2">
      <c r="W2284" s="319"/>
    </row>
    <row r="2285" spans="23:23" x14ac:dyDescent="0.2">
      <c r="W2285" s="319"/>
    </row>
    <row r="2286" spans="23:23" x14ac:dyDescent="0.2">
      <c r="W2286" s="319"/>
    </row>
    <row r="2287" spans="23:23" x14ac:dyDescent="0.2">
      <c r="W2287" s="319"/>
    </row>
    <row r="2288" spans="23:23" x14ac:dyDescent="0.2">
      <c r="W2288" s="319"/>
    </row>
    <row r="2289" spans="23:23" x14ac:dyDescent="0.2">
      <c r="W2289" s="319"/>
    </row>
    <row r="2290" spans="23:23" x14ac:dyDescent="0.2">
      <c r="W2290" s="319"/>
    </row>
    <row r="2291" spans="23:23" x14ac:dyDescent="0.2">
      <c r="W2291" s="319"/>
    </row>
    <row r="2292" spans="23:23" x14ac:dyDescent="0.2">
      <c r="W2292" s="319"/>
    </row>
    <row r="2293" spans="23:23" x14ac:dyDescent="0.2">
      <c r="W2293" s="319"/>
    </row>
    <row r="2294" spans="23:23" x14ac:dyDescent="0.2">
      <c r="W2294" s="319"/>
    </row>
    <row r="2295" spans="23:23" x14ac:dyDescent="0.2">
      <c r="W2295" s="319"/>
    </row>
    <row r="2296" spans="23:23" x14ac:dyDescent="0.2">
      <c r="W2296" s="319"/>
    </row>
    <row r="2297" spans="23:23" x14ac:dyDescent="0.2">
      <c r="W2297" s="319"/>
    </row>
    <row r="2298" spans="23:23" x14ac:dyDescent="0.2">
      <c r="W2298" s="319"/>
    </row>
    <row r="2299" spans="23:23" x14ac:dyDescent="0.2">
      <c r="W2299" s="319"/>
    </row>
    <row r="2300" spans="23:23" x14ac:dyDescent="0.2">
      <c r="W2300" s="319"/>
    </row>
    <row r="2301" spans="23:23" x14ac:dyDescent="0.2">
      <c r="W2301" s="319"/>
    </row>
    <row r="2302" spans="23:23" x14ac:dyDescent="0.2">
      <c r="W2302" s="319"/>
    </row>
    <row r="2303" spans="23:23" x14ac:dyDescent="0.2">
      <c r="W2303" s="319"/>
    </row>
    <row r="2304" spans="23:23" x14ac:dyDescent="0.2">
      <c r="W2304" s="319"/>
    </row>
    <row r="2305" spans="23:23" x14ac:dyDescent="0.2">
      <c r="W2305" s="319"/>
    </row>
    <row r="2306" spans="23:23" x14ac:dyDescent="0.2">
      <c r="W2306" s="319"/>
    </row>
    <row r="2307" spans="23:23" x14ac:dyDescent="0.2">
      <c r="W2307" s="319"/>
    </row>
    <row r="2308" spans="23:23" x14ac:dyDescent="0.2">
      <c r="W2308" s="319"/>
    </row>
    <row r="2309" spans="23:23" x14ac:dyDescent="0.2">
      <c r="W2309" s="319"/>
    </row>
    <row r="2310" spans="23:23" x14ac:dyDescent="0.2">
      <c r="W2310" s="319"/>
    </row>
    <row r="2311" spans="23:23" x14ac:dyDescent="0.2">
      <c r="W2311" s="319"/>
    </row>
    <row r="2312" spans="23:23" x14ac:dyDescent="0.2">
      <c r="W2312" s="319"/>
    </row>
    <row r="2313" spans="23:23" x14ac:dyDescent="0.2">
      <c r="W2313" s="319"/>
    </row>
    <row r="2314" spans="23:23" x14ac:dyDescent="0.2">
      <c r="W2314" s="319"/>
    </row>
    <row r="2315" spans="23:23" x14ac:dyDescent="0.2">
      <c r="W2315" s="319"/>
    </row>
    <row r="2316" spans="23:23" x14ac:dyDescent="0.2">
      <c r="W2316" s="319"/>
    </row>
    <row r="2317" spans="23:23" x14ac:dyDescent="0.2">
      <c r="W2317" s="319"/>
    </row>
    <row r="2318" spans="23:23" x14ac:dyDescent="0.2">
      <c r="W2318" s="319"/>
    </row>
    <row r="2319" spans="23:23" x14ac:dyDescent="0.2">
      <c r="W2319" s="319"/>
    </row>
    <row r="2320" spans="23:23" x14ac:dyDescent="0.2">
      <c r="W2320" s="319"/>
    </row>
    <row r="2321" spans="23:23" x14ac:dyDescent="0.2">
      <c r="W2321" s="319"/>
    </row>
    <row r="2322" spans="23:23" x14ac:dyDescent="0.2">
      <c r="W2322" s="319"/>
    </row>
    <row r="2323" spans="23:23" x14ac:dyDescent="0.2">
      <c r="W2323" s="319"/>
    </row>
    <row r="2324" spans="23:23" x14ac:dyDescent="0.2">
      <c r="W2324" s="319"/>
    </row>
    <row r="2325" spans="23:23" x14ac:dyDescent="0.2">
      <c r="W2325" s="319"/>
    </row>
    <row r="2326" spans="23:23" x14ac:dyDescent="0.2">
      <c r="W2326" s="319"/>
    </row>
    <row r="2327" spans="23:23" x14ac:dyDescent="0.2">
      <c r="W2327" s="319"/>
    </row>
    <row r="2328" spans="23:23" x14ac:dyDescent="0.2">
      <c r="W2328" s="319"/>
    </row>
    <row r="2329" spans="23:23" x14ac:dyDescent="0.2">
      <c r="W2329" s="319"/>
    </row>
    <row r="2330" spans="23:23" x14ac:dyDescent="0.2">
      <c r="W2330" s="319"/>
    </row>
    <row r="2331" spans="23:23" x14ac:dyDescent="0.2">
      <c r="W2331" s="319"/>
    </row>
    <row r="2332" spans="23:23" x14ac:dyDescent="0.2">
      <c r="W2332" s="319"/>
    </row>
    <row r="2333" spans="23:23" x14ac:dyDescent="0.2">
      <c r="W2333" s="319"/>
    </row>
    <row r="2334" spans="23:23" x14ac:dyDescent="0.2">
      <c r="W2334" s="319"/>
    </row>
    <row r="2335" spans="23:23" x14ac:dyDescent="0.2">
      <c r="W2335" s="319"/>
    </row>
    <row r="2336" spans="23:23" x14ac:dyDescent="0.2">
      <c r="W2336" s="319"/>
    </row>
    <row r="2337" spans="23:23" x14ac:dyDescent="0.2">
      <c r="W2337" s="319"/>
    </row>
    <row r="2338" spans="23:23" x14ac:dyDescent="0.2">
      <c r="W2338" s="319"/>
    </row>
    <row r="2339" spans="23:23" x14ac:dyDescent="0.2">
      <c r="W2339" s="319"/>
    </row>
    <row r="2340" spans="23:23" x14ac:dyDescent="0.2">
      <c r="W2340" s="319"/>
    </row>
    <row r="2341" spans="23:23" x14ac:dyDescent="0.2">
      <c r="W2341" s="319"/>
    </row>
    <row r="2342" spans="23:23" x14ac:dyDescent="0.2">
      <c r="W2342" s="319"/>
    </row>
    <row r="2343" spans="23:23" x14ac:dyDescent="0.2">
      <c r="W2343" s="319"/>
    </row>
    <row r="2344" spans="23:23" x14ac:dyDescent="0.2">
      <c r="W2344" s="319"/>
    </row>
    <row r="2345" spans="23:23" x14ac:dyDescent="0.2">
      <c r="W2345" s="319"/>
    </row>
    <row r="2346" spans="23:23" x14ac:dyDescent="0.2">
      <c r="W2346" s="319"/>
    </row>
    <row r="2347" spans="23:23" x14ac:dyDescent="0.2">
      <c r="W2347" s="319"/>
    </row>
    <row r="2348" spans="23:23" x14ac:dyDescent="0.2">
      <c r="W2348" s="319"/>
    </row>
    <row r="2349" spans="23:23" x14ac:dyDescent="0.2">
      <c r="W2349" s="319"/>
    </row>
    <row r="2350" spans="23:23" x14ac:dyDescent="0.2">
      <c r="W2350" s="319"/>
    </row>
    <row r="2351" spans="23:23" x14ac:dyDescent="0.2">
      <c r="W2351" s="319"/>
    </row>
    <row r="2352" spans="23:23" x14ac:dyDescent="0.2">
      <c r="W2352" s="319"/>
    </row>
    <row r="2353" spans="23:23" x14ac:dyDescent="0.2">
      <c r="W2353" s="319"/>
    </row>
    <row r="2354" spans="23:23" x14ac:dyDescent="0.2">
      <c r="W2354" s="319"/>
    </row>
    <row r="2355" spans="23:23" x14ac:dyDescent="0.2">
      <c r="W2355" s="319"/>
    </row>
    <row r="2356" spans="23:23" x14ac:dyDescent="0.2">
      <c r="W2356" s="319"/>
    </row>
    <row r="2357" spans="23:23" x14ac:dyDescent="0.2">
      <c r="W2357" s="319"/>
    </row>
    <row r="2358" spans="23:23" x14ac:dyDescent="0.2">
      <c r="W2358" s="319"/>
    </row>
    <row r="2359" spans="23:23" x14ac:dyDescent="0.2">
      <c r="W2359" s="319"/>
    </row>
    <row r="2360" spans="23:23" x14ac:dyDescent="0.2">
      <c r="W2360" s="319"/>
    </row>
    <row r="2361" spans="23:23" x14ac:dyDescent="0.2">
      <c r="W2361" s="319"/>
    </row>
    <row r="2362" spans="23:23" x14ac:dyDescent="0.2">
      <c r="W2362" s="319"/>
    </row>
    <row r="2363" spans="23:23" x14ac:dyDescent="0.2">
      <c r="W2363" s="319"/>
    </row>
    <row r="2364" spans="23:23" x14ac:dyDescent="0.2">
      <c r="W2364" s="319"/>
    </row>
    <row r="2365" spans="23:23" x14ac:dyDescent="0.2">
      <c r="W2365" s="319"/>
    </row>
    <row r="2366" spans="23:23" x14ac:dyDescent="0.2">
      <c r="W2366" s="319"/>
    </row>
    <row r="2367" spans="23:23" x14ac:dyDescent="0.2">
      <c r="W2367" s="319"/>
    </row>
    <row r="2368" spans="23:23" x14ac:dyDescent="0.2">
      <c r="W2368" s="319"/>
    </row>
    <row r="2369" spans="23:23" x14ac:dyDescent="0.2">
      <c r="W2369" s="319"/>
    </row>
    <row r="2370" spans="23:23" x14ac:dyDescent="0.2">
      <c r="W2370" s="319"/>
    </row>
    <row r="2371" spans="23:23" x14ac:dyDescent="0.2">
      <c r="W2371" s="319"/>
    </row>
    <row r="2372" spans="23:23" x14ac:dyDescent="0.2">
      <c r="W2372" s="319"/>
    </row>
    <row r="2373" spans="23:23" x14ac:dyDescent="0.2">
      <c r="W2373" s="319"/>
    </row>
    <row r="2374" spans="23:23" x14ac:dyDescent="0.2">
      <c r="W2374" s="319"/>
    </row>
    <row r="2375" spans="23:23" x14ac:dyDescent="0.2">
      <c r="W2375" s="319"/>
    </row>
    <row r="2376" spans="23:23" x14ac:dyDescent="0.2">
      <c r="W2376" s="319"/>
    </row>
    <row r="2377" spans="23:23" x14ac:dyDescent="0.2">
      <c r="W2377" s="319"/>
    </row>
    <row r="2378" spans="23:23" x14ac:dyDescent="0.2">
      <c r="W2378" s="319"/>
    </row>
    <row r="2379" spans="23:23" x14ac:dyDescent="0.2">
      <c r="W2379" s="319"/>
    </row>
    <row r="2380" spans="23:23" x14ac:dyDescent="0.2">
      <c r="W2380" s="319"/>
    </row>
    <row r="2381" spans="23:23" x14ac:dyDescent="0.2">
      <c r="W2381" s="319"/>
    </row>
    <row r="2382" spans="23:23" x14ac:dyDescent="0.2">
      <c r="W2382" s="319"/>
    </row>
    <row r="2383" spans="23:23" x14ac:dyDescent="0.2">
      <c r="W2383" s="319"/>
    </row>
    <row r="2384" spans="23:23" x14ac:dyDescent="0.2">
      <c r="W2384" s="319"/>
    </row>
    <row r="2385" spans="23:23" x14ac:dyDescent="0.2">
      <c r="W2385" s="319"/>
    </row>
    <row r="2386" spans="23:23" x14ac:dyDescent="0.2">
      <c r="W2386" s="319"/>
    </row>
    <row r="2387" spans="23:23" x14ac:dyDescent="0.2">
      <c r="W2387" s="319"/>
    </row>
    <row r="2388" spans="23:23" x14ac:dyDescent="0.2">
      <c r="W2388" s="319"/>
    </row>
    <row r="2389" spans="23:23" x14ac:dyDescent="0.2">
      <c r="W2389" s="319"/>
    </row>
    <row r="2390" spans="23:23" x14ac:dyDescent="0.2">
      <c r="W2390" s="319"/>
    </row>
    <row r="2391" spans="23:23" x14ac:dyDescent="0.2">
      <c r="W2391" s="319"/>
    </row>
    <row r="2392" spans="23:23" x14ac:dyDescent="0.2">
      <c r="W2392" s="319"/>
    </row>
    <row r="2393" spans="23:23" x14ac:dyDescent="0.2">
      <c r="W2393" s="319"/>
    </row>
    <row r="2394" spans="23:23" x14ac:dyDescent="0.2">
      <c r="W2394" s="319"/>
    </row>
    <row r="2395" spans="23:23" x14ac:dyDescent="0.2">
      <c r="W2395" s="319"/>
    </row>
    <row r="2396" spans="23:23" x14ac:dyDescent="0.2">
      <c r="W2396" s="319"/>
    </row>
    <row r="2397" spans="23:23" x14ac:dyDescent="0.2">
      <c r="W2397" s="319"/>
    </row>
    <row r="2398" spans="23:23" x14ac:dyDescent="0.2">
      <c r="W2398" s="319"/>
    </row>
    <row r="2399" spans="23:23" x14ac:dyDescent="0.2">
      <c r="W2399" s="319"/>
    </row>
    <row r="2400" spans="23:23" x14ac:dyDescent="0.2">
      <c r="W2400" s="319"/>
    </row>
    <row r="2401" spans="23:23" x14ac:dyDescent="0.2">
      <c r="W2401" s="319"/>
    </row>
    <row r="2402" spans="23:23" x14ac:dyDescent="0.2">
      <c r="W2402" s="319"/>
    </row>
    <row r="2403" spans="23:23" x14ac:dyDescent="0.2">
      <c r="W2403" s="319"/>
    </row>
    <row r="2404" spans="23:23" x14ac:dyDescent="0.2">
      <c r="W2404" s="319"/>
    </row>
    <row r="2405" spans="23:23" x14ac:dyDescent="0.2">
      <c r="W2405" s="319"/>
    </row>
    <row r="2406" spans="23:23" x14ac:dyDescent="0.2">
      <c r="W2406" s="319"/>
    </row>
    <row r="2407" spans="23:23" x14ac:dyDescent="0.2">
      <c r="W2407" s="319"/>
    </row>
    <row r="2408" spans="23:23" x14ac:dyDescent="0.2">
      <c r="W2408" s="319"/>
    </row>
    <row r="2409" spans="23:23" x14ac:dyDescent="0.2">
      <c r="W2409" s="319"/>
    </row>
    <row r="2410" spans="23:23" x14ac:dyDescent="0.2">
      <c r="W2410" s="319"/>
    </row>
    <row r="2411" spans="23:23" x14ac:dyDescent="0.2">
      <c r="W2411" s="319"/>
    </row>
    <row r="2412" spans="23:23" x14ac:dyDescent="0.2">
      <c r="W2412" s="319"/>
    </row>
    <row r="2413" spans="23:23" x14ac:dyDescent="0.2">
      <c r="W2413" s="319"/>
    </row>
    <row r="2414" spans="23:23" x14ac:dyDescent="0.2">
      <c r="W2414" s="319"/>
    </row>
    <row r="2415" spans="23:23" x14ac:dyDescent="0.2">
      <c r="W2415" s="319"/>
    </row>
    <row r="2416" spans="23:23" x14ac:dyDescent="0.2">
      <c r="W2416" s="319"/>
    </row>
    <row r="2417" spans="23:23" x14ac:dyDescent="0.2">
      <c r="W2417" s="319"/>
    </row>
    <row r="2418" spans="23:23" x14ac:dyDescent="0.2">
      <c r="W2418" s="319"/>
    </row>
    <row r="2419" spans="23:23" x14ac:dyDescent="0.2">
      <c r="W2419" s="319"/>
    </row>
    <row r="2420" spans="23:23" x14ac:dyDescent="0.2">
      <c r="W2420" s="319"/>
    </row>
    <row r="2421" spans="23:23" x14ac:dyDescent="0.2">
      <c r="W2421" s="319"/>
    </row>
    <row r="2422" spans="23:23" x14ac:dyDescent="0.2">
      <c r="W2422" s="319"/>
    </row>
    <row r="2423" spans="23:23" x14ac:dyDescent="0.2">
      <c r="W2423" s="319"/>
    </row>
    <row r="2424" spans="23:23" x14ac:dyDescent="0.2">
      <c r="W2424" s="319"/>
    </row>
    <row r="2425" spans="23:23" x14ac:dyDescent="0.2">
      <c r="W2425" s="319"/>
    </row>
    <row r="2426" spans="23:23" x14ac:dyDescent="0.2">
      <c r="W2426" s="319"/>
    </row>
    <row r="2427" spans="23:23" x14ac:dyDescent="0.2">
      <c r="W2427" s="319"/>
    </row>
    <row r="2428" spans="23:23" x14ac:dyDescent="0.2">
      <c r="W2428" s="319"/>
    </row>
    <row r="2429" spans="23:23" x14ac:dyDescent="0.2">
      <c r="W2429" s="319"/>
    </row>
    <row r="2430" spans="23:23" x14ac:dyDescent="0.2">
      <c r="W2430" s="319"/>
    </row>
    <row r="2431" spans="23:23" x14ac:dyDescent="0.2">
      <c r="W2431" s="319"/>
    </row>
    <row r="2432" spans="23:23" x14ac:dyDescent="0.2">
      <c r="W2432" s="319"/>
    </row>
    <row r="2433" spans="23:23" x14ac:dyDescent="0.2">
      <c r="W2433" s="319"/>
    </row>
    <row r="2434" spans="23:23" x14ac:dyDescent="0.2">
      <c r="W2434" s="319"/>
    </row>
    <row r="2435" spans="23:23" x14ac:dyDescent="0.2">
      <c r="W2435" s="319"/>
    </row>
    <row r="2436" spans="23:23" x14ac:dyDescent="0.2">
      <c r="W2436" s="319"/>
    </row>
    <row r="2437" spans="23:23" x14ac:dyDescent="0.2">
      <c r="W2437" s="319"/>
    </row>
    <row r="2438" spans="23:23" x14ac:dyDescent="0.2">
      <c r="W2438" s="319"/>
    </row>
    <row r="2439" spans="23:23" x14ac:dyDescent="0.2">
      <c r="W2439" s="319"/>
    </row>
    <row r="2440" spans="23:23" x14ac:dyDescent="0.2">
      <c r="W2440" s="319"/>
    </row>
    <row r="2441" spans="23:23" x14ac:dyDescent="0.2">
      <c r="W2441" s="319"/>
    </row>
    <row r="2442" spans="23:23" x14ac:dyDescent="0.2">
      <c r="W2442" s="319"/>
    </row>
    <row r="2443" spans="23:23" x14ac:dyDescent="0.2">
      <c r="W2443" s="319"/>
    </row>
    <row r="2444" spans="23:23" x14ac:dyDescent="0.2">
      <c r="W2444" s="319"/>
    </row>
    <row r="2445" spans="23:23" x14ac:dyDescent="0.2">
      <c r="W2445" s="319"/>
    </row>
    <row r="2446" spans="23:23" x14ac:dyDescent="0.2">
      <c r="W2446" s="319"/>
    </row>
    <row r="2447" spans="23:23" x14ac:dyDescent="0.2">
      <c r="W2447" s="319"/>
    </row>
    <row r="2448" spans="23:23" x14ac:dyDescent="0.2">
      <c r="W2448" s="319"/>
    </row>
    <row r="2449" spans="23:23" x14ac:dyDescent="0.2">
      <c r="W2449" s="319"/>
    </row>
    <row r="2450" spans="23:23" x14ac:dyDescent="0.2">
      <c r="W2450" s="319"/>
    </row>
    <row r="2451" spans="23:23" x14ac:dyDescent="0.2">
      <c r="W2451" s="319"/>
    </row>
    <row r="2452" spans="23:23" x14ac:dyDescent="0.2">
      <c r="W2452" s="319"/>
    </row>
    <row r="2453" spans="23:23" x14ac:dyDescent="0.2">
      <c r="W2453" s="319"/>
    </row>
    <row r="2454" spans="23:23" x14ac:dyDescent="0.2">
      <c r="W2454" s="319"/>
    </row>
    <row r="2455" spans="23:23" x14ac:dyDescent="0.2">
      <c r="W2455" s="319"/>
    </row>
    <row r="2456" spans="23:23" x14ac:dyDescent="0.2">
      <c r="W2456" s="319"/>
    </row>
    <row r="2457" spans="23:23" x14ac:dyDescent="0.2">
      <c r="W2457" s="319"/>
    </row>
    <row r="2458" spans="23:23" x14ac:dyDescent="0.2">
      <c r="W2458" s="319"/>
    </row>
    <row r="2459" spans="23:23" x14ac:dyDescent="0.2">
      <c r="W2459" s="319"/>
    </row>
    <row r="2460" spans="23:23" x14ac:dyDescent="0.2">
      <c r="W2460" s="319"/>
    </row>
    <row r="2461" spans="23:23" x14ac:dyDescent="0.2">
      <c r="W2461" s="319"/>
    </row>
    <row r="2462" spans="23:23" x14ac:dyDescent="0.2">
      <c r="W2462" s="319"/>
    </row>
    <row r="2463" spans="23:23" x14ac:dyDescent="0.2">
      <c r="W2463" s="319"/>
    </row>
    <row r="2464" spans="23:23" x14ac:dyDescent="0.2">
      <c r="W2464" s="319"/>
    </row>
    <row r="2465" spans="23:23" x14ac:dyDescent="0.2">
      <c r="W2465" s="319"/>
    </row>
    <row r="2466" spans="23:23" x14ac:dyDescent="0.2">
      <c r="W2466" s="319"/>
    </row>
    <row r="2467" spans="23:23" x14ac:dyDescent="0.2">
      <c r="W2467" s="319"/>
    </row>
    <row r="2468" spans="23:23" x14ac:dyDescent="0.2">
      <c r="W2468" s="319"/>
    </row>
    <row r="2469" spans="23:23" x14ac:dyDescent="0.2">
      <c r="W2469" s="319"/>
    </row>
    <row r="2470" spans="23:23" x14ac:dyDescent="0.2">
      <c r="W2470" s="319"/>
    </row>
    <row r="2471" spans="23:23" x14ac:dyDescent="0.2">
      <c r="W2471" s="319"/>
    </row>
    <row r="2472" spans="23:23" x14ac:dyDescent="0.2">
      <c r="W2472" s="319"/>
    </row>
    <row r="2473" spans="23:23" x14ac:dyDescent="0.2">
      <c r="W2473" s="319"/>
    </row>
    <row r="2474" spans="23:23" x14ac:dyDescent="0.2">
      <c r="W2474" s="319"/>
    </row>
    <row r="2475" spans="23:23" x14ac:dyDescent="0.2">
      <c r="W2475" s="319"/>
    </row>
    <row r="2476" spans="23:23" x14ac:dyDescent="0.2">
      <c r="W2476" s="319"/>
    </row>
    <row r="2477" spans="23:23" x14ac:dyDescent="0.2">
      <c r="W2477" s="319"/>
    </row>
    <row r="2478" spans="23:23" x14ac:dyDescent="0.2">
      <c r="W2478" s="319"/>
    </row>
    <row r="2479" spans="23:23" x14ac:dyDescent="0.2">
      <c r="W2479" s="319"/>
    </row>
    <row r="2480" spans="23:23" x14ac:dyDescent="0.2">
      <c r="W2480" s="319"/>
    </row>
    <row r="2481" spans="23:23" x14ac:dyDescent="0.2">
      <c r="W2481" s="319"/>
    </row>
    <row r="2482" spans="23:23" x14ac:dyDescent="0.2">
      <c r="W2482" s="319"/>
    </row>
    <row r="2483" spans="23:23" x14ac:dyDescent="0.2">
      <c r="W2483" s="319"/>
    </row>
    <row r="2484" spans="23:23" x14ac:dyDescent="0.2">
      <c r="W2484" s="319"/>
    </row>
    <row r="2485" spans="23:23" x14ac:dyDescent="0.2">
      <c r="W2485" s="319"/>
    </row>
    <row r="2486" spans="23:23" x14ac:dyDescent="0.2">
      <c r="W2486" s="319"/>
    </row>
    <row r="2487" spans="23:23" x14ac:dyDescent="0.2">
      <c r="W2487" s="319"/>
    </row>
    <row r="2488" spans="23:23" x14ac:dyDescent="0.2">
      <c r="W2488" s="319"/>
    </row>
    <row r="2489" spans="23:23" x14ac:dyDescent="0.2">
      <c r="W2489" s="319"/>
    </row>
    <row r="2490" spans="23:23" x14ac:dyDescent="0.2">
      <c r="W2490" s="319"/>
    </row>
    <row r="2491" spans="23:23" x14ac:dyDescent="0.2">
      <c r="W2491" s="319"/>
    </row>
    <row r="2492" spans="23:23" x14ac:dyDescent="0.2">
      <c r="W2492" s="319"/>
    </row>
    <row r="2493" spans="23:23" x14ac:dyDescent="0.2">
      <c r="W2493" s="319"/>
    </row>
    <row r="2494" spans="23:23" x14ac:dyDescent="0.2">
      <c r="W2494" s="319"/>
    </row>
    <row r="2495" spans="23:23" x14ac:dyDescent="0.2">
      <c r="W2495" s="319"/>
    </row>
    <row r="2496" spans="23:23" x14ac:dyDescent="0.2">
      <c r="W2496" s="319"/>
    </row>
    <row r="2497" spans="23:23" x14ac:dyDescent="0.2">
      <c r="W2497" s="319"/>
    </row>
    <row r="2498" spans="23:23" x14ac:dyDescent="0.2">
      <c r="W2498" s="319"/>
    </row>
    <row r="2499" spans="23:23" x14ac:dyDescent="0.2">
      <c r="W2499" s="319"/>
    </row>
    <row r="2500" spans="23:23" x14ac:dyDescent="0.2">
      <c r="W2500" s="319"/>
    </row>
    <row r="2501" spans="23:23" x14ac:dyDescent="0.2">
      <c r="W2501" s="319"/>
    </row>
    <row r="2502" spans="23:23" x14ac:dyDescent="0.2">
      <c r="W2502" s="319"/>
    </row>
    <row r="2503" spans="23:23" x14ac:dyDescent="0.2">
      <c r="W2503" s="319"/>
    </row>
    <row r="2504" spans="23:23" x14ac:dyDescent="0.2">
      <c r="W2504" s="319"/>
    </row>
    <row r="2505" spans="23:23" x14ac:dyDescent="0.2">
      <c r="W2505" s="319"/>
    </row>
    <row r="2506" spans="23:23" x14ac:dyDescent="0.2">
      <c r="W2506" s="319"/>
    </row>
    <row r="2507" spans="23:23" x14ac:dyDescent="0.2">
      <c r="W2507" s="319"/>
    </row>
    <row r="2508" spans="23:23" x14ac:dyDescent="0.2">
      <c r="W2508" s="319"/>
    </row>
    <row r="2509" spans="23:23" x14ac:dyDescent="0.2">
      <c r="W2509" s="319"/>
    </row>
    <row r="2510" spans="23:23" x14ac:dyDescent="0.2">
      <c r="W2510" s="319"/>
    </row>
    <row r="2511" spans="23:23" x14ac:dyDescent="0.2">
      <c r="W2511" s="319"/>
    </row>
    <row r="2512" spans="23:23" x14ac:dyDescent="0.2">
      <c r="W2512" s="319"/>
    </row>
    <row r="2513" spans="23:23" x14ac:dyDescent="0.2">
      <c r="W2513" s="319"/>
    </row>
    <row r="2514" spans="23:23" x14ac:dyDescent="0.2">
      <c r="W2514" s="319"/>
    </row>
    <row r="2515" spans="23:23" x14ac:dyDescent="0.2">
      <c r="W2515" s="319"/>
    </row>
    <row r="2516" spans="23:23" x14ac:dyDescent="0.2">
      <c r="W2516" s="319"/>
    </row>
    <row r="2517" spans="23:23" x14ac:dyDescent="0.2">
      <c r="W2517" s="319"/>
    </row>
    <row r="2518" spans="23:23" x14ac:dyDescent="0.2">
      <c r="W2518" s="319"/>
    </row>
    <row r="2519" spans="23:23" x14ac:dyDescent="0.2">
      <c r="W2519" s="319"/>
    </row>
    <row r="2520" spans="23:23" x14ac:dyDescent="0.2">
      <c r="W2520" s="319"/>
    </row>
    <row r="2521" spans="23:23" x14ac:dyDescent="0.2">
      <c r="W2521" s="319"/>
    </row>
    <row r="2522" spans="23:23" x14ac:dyDescent="0.2">
      <c r="W2522" s="319"/>
    </row>
    <row r="2523" spans="23:23" x14ac:dyDescent="0.2">
      <c r="W2523" s="319"/>
    </row>
    <row r="2524" spans="23:23" x14ac:dyDescent="0.2">
      <c r="W2524" s="319"/>
    </row>
    <row r="2525" spans="23:23" x14ac:dyDescent="0.2">
      <c r="W2525" s="319"/>
    </row>
    <row r="2526" spans="23:23" x14ac:dyDescent="0.2">
      <c r="W2526" s="319"/>
    </row>
    <row r="2527" spans="23:23" x14ac:dyDescent="0.2">
      <c r="W2527" s="319"/>
    </row>
    <row r="2528" spans="23:23" x14ac:dyDescent="0.2">
      <c r="W2528" s="319"/>
    </row>
    <row r="2529" spans="23:23" x14ac:dyDescent="0.2">
      <c r="W2529" s="319"/>
    </row>
    <row r="2530" spans="23:23" x14ac:dyDescent="0.2">
      <c r="W2530" s="319"/>
    </row>
    <row r="2531" spans="23:23" x14ac:dyDescent="0.2">
      <c r="W2531" s="319"/>
    </row>
    <row r="2532" spans="23:23" x14ac:dyDescent="0.2">
      <c r="W2532" s="319"/>
    </row>
    <row r="2533" spans="23:23" x14ac:dyDescent="0.2">
      <c r="W2533" s="319"/>
    </row>
    <row r="2534" spans="23:23" x14ac:dyDescent="0.2">
      <c r="W2534" s="319"/>
    </row>
    <row r="2535" spans="23:23" x14ac:dyDescent="0.2">
      <c r="W2535" s="319"/>
    </row>
    <row r="2536" spans="23:23" x14ac:dyDescent="0.2">
      <c r="W2536" s="319"/>
    </row>
    <row r="2537" spans="23:23" x14ac:dyDescent="0.2">
      <c r="W2537" s="319"/>
    </row>
    <row r="2538" spans="23:23" x14ac:dyDescent="0.2">
      <c r="W2538" s="319"/>
    </row>
    <row r="2539" spans="23:23" x14ac:dyDescent="0.2">
      <c r="W2539" s="319"/>
    </row>
    <row r="2540" spans="23:23" x14ac:dyDescent="0.2">
      <c r="W2540" s="319"/>
    </row>
    <row r="2541" spans="23:23" x14ac:dyDescent="0.2">
      <c r="W2541" s="319"/>
    </row>
    <row r="2542" spans="23:23" x14ac:dyDescent="0.2">
      <c r="W2542" s="319"/>
    </row>
    <row r="2543" spans="23:23" x14ac:dyDescent="0.2">
      <c r="W2543" s="319"/>
    </row>
    <row r="2544" spans="23:23" x14ac:dyDescent="0.2">
      <c r="W2544" s="319"/>
    </row>
    <row r="2545" spans="23:23" x14ac:dyDescent="0.2">
      <c r="W2545" s="319"/>
    </row>
    <row r="2546" spans="23:23" x14ac:dyDescent="0.2">
      <c r="W2546" s="319"/>
    </row>
    <row r="2547" spans="23:23" x14ac:dyDescent="0.2">
      <c r="W2547" s="319"/>
    </row>
    <row r="2548" spans="23:23" x14ac:dyDescent="0.2">
      <c r="W2548" s="319"/>
    </row>
    <row r="2549" spans="23:23" x14ac:dyDescent="0.2">
      <c r="W2549" s="319"/>
    </row>
    <row r="2550" spans="23:23" x14ac:dyDescent="0.2">
      <c r="W2550" s="319"/>
    </row>
    <row r="2551" spans="23:23" x14ac:dyDescent="0.2">
      <c r="W2551" s="319"/>
    </row>
    <row r="2552" spans="23:23" x14ac:dyDescent="0.2">
      <c r="W2552" s="319"/>
    </row>
    <row r="2553" spans="23:23" x14ac:dyDescent="0.2">
      <c r="W2553" s="319"/>
    </row>
    <row r="2554" spans="23:23" x14ac:dyDescent="0.2">
      <c r="W2554" s="319"/>
    </row>
    <row r="2555" spans="23:23" x14ac:dyDescent="0.2">
      <c r="W2555" s="319"/>
    </row>
    <row r="2556" spans="23:23" x14ac:dyDescent="0.2">
      <c r="W2556" s="319"/>
    </row>
    <row r="2557" spans="23:23" x14ac:dyDescent="0.2">
      <c r="W2557" s="319"/>
    </row>
    <row r="2558" spans="23:23" x14ac:dyDescent="0.2">
      <c r="W2558" s="319"/>
    </row>
    <row r="2559" spans="23:23" x14ac:dyDescent="0.2">
      <c r="W2559" s="319"/>
    </row>
    <row r="2560" spans="23:23" x14ac:dyDescent="0.2">
      <c r="W2560" s="319"/>
    </row>
    <row r="2561" spans="23:23" x14ac:dyDescent="0.2">
      <c r="W2561" s="319"/>
    </row>
    <row r="2562" spans="23:23" x14ac:dyDescent="0.2">
      <c r="W2562" s="319"/>
    </row>
    <row r="2563" spans="23:23" x14ac:dyDescent="0.2">
      <c r="W2563" s="319"/>
    </row>
    <row r="2564" spans="23:23" x14ac:dyDescent="0.2">
      <c r="W2564" s="319"/>
    </row>
    <row r="2565" spans="23:23" x14ac:dyDescent="0.2">
      <c r="W2565" s="319"/>
    </row>
    <row r="2566" spans="23:23" x14ac:dyDescent="0.2">
      <c r="W2566" s="319"/>
    </row>
    <row r="2567" spans="23:23" x14ac:dyDescent="0.2">
      <c r="W2567" s="319"/>
    </row>
    <row r="2568" spans="23:23" x14ac:dyDescent="0.2">
      <c r="W2568" s="319"/>
    </row>
    <row r="2569" spans="23:23" x14ac:dyDescent="0.2">
      <c r="W2569" s="319"/>
    </row>
    <row r="2570" spans="23:23" x14ac:dyDescent="0.2">
      <c r="W2570" s="319"/>
    </row>
    <row r="2571" spans="23:23" x14ac:dyDescent="0.2">
      <c r="W2571" s="319"/>
    </row>
    <row r="2572" spans="23:23" x14ac:dyDescent="0.2">
      <c r="W2572" s="319"/>
    </row>
    <row r="2573" spans="23:23" x14ac:dyDescent="0.2">
      <c r="W2573" s="319"/>
    </row>
    <row r="2574" spans="23:23" x14ac:dyDescent="0.2">
      <c r="W2574" s="319"/>
    </row>
    <row r="2575" spans="23:23" x14ac:dyDescent="0.2">
      <c r="W2575" s="319"/>
    </row>
    <row r="2576" spans="23:23" x14ac:dyDescent="0.2">
      <c r="W2576" s="319"/>
    </row>
    <row r="2577" spans="23:23" x14ac:dyDescent="0.2">
      <c r="W2577" s="319"/>
    </row>
    <row r="2578" spans="23:23" x14ac:dyDescent="0.2">
      <c r="W2578" s="319"/>
    </row>
    <row r="2579" spans="23:23" x14ac:dyDescent="0.2">
      <c r="W2579" s="319"/>
    </row>
    <row r="2580" spans="23:23" x14ac:dyDescent="0.2">
      <c r="W2580" s="319"/>
    </row>
    <row r="2581" spans="23:23" x14ac:dyDescent="0.2">
      <c r="W2581" s="319"/>
    </row>
    <row r="2582" spans="23:23" x14ac:dyDescent="0.2">
      <c r="W2582" s="319"/>
    </row>
    <row r="2583" spans="23:23" x14ac:dyDescent="0.2">
      <c r="W2583" s="319"/>
    </row>
    <row r="2584" spans="23:23" x14ac:dyDescent="0.2">
      <c r="W2584" s="319"/>
    </row>
    <row r="2585" spans="23:23" x14ac:dyDescent="0.2">
      <c r="W2585" s="319"/>
    </row>
    <row r="2586" spans="23:23" x14ac:dyDescent="0.2">
      <c r="W2586" s="319"/>
    </row>
    <row r="2587" spans="23:23" x14ac:dyDescent="0.2">
      <c r="W2587" s="319"/>
    </row>
    <row r="2588" spans="23:23" x14ac:dyDescent="0.2">
      <c r="W2588" s="319"/>
    </row>
    <row r="2589" spans="23:23" x14ac:dyDescent="0.2">
      <c r="W2589" s="319"/>
    </row>
    <row r="2590" spans="23:23" x14ac:dyDescent="0.2">
      <c r="W2590" s="319"/>
    </row>
    <row r="2591" spans="23:23" x14ac:dyDescent="0.2">
      <c r="W2591" s="319"/>
    </row>
    <row r="2592" spans="23:23" x14ac:dyDescent="0.2">
      <c r="W2592" s="319"/>
    </row>
    <row r="2593" spans="23:23" x14ac:dyDescent="0.2">
      <c r="W2593" s="319"/>
    </row>
    <row r="2594" spans="23:23" x14ac:dyDescent="0.2">
      <c r="W2594" s="319"/>
    </row>
    <row r="2595" spans="23:23" x14ac:dyDescent="0.2">
      <c r="W2595" s="319"/>
    </row>
    <row r="2596" spans="23:23" x14ac:dyDescent="0.2">
      <c r="W2596" s="319"/>
    </row>
    <row r="2597" spans="23:23" x14ac:dyDescent="0.2">
      <c r="W2597" s="319"/>
    </row>
    <row r="2598" spans="23:23" x14ac:dyDescent="0.2">
      <c r="W2598" s="319"/>
    </row>
    <row r="2599" spans="23:23" x14ac:dyDescent="0.2">
      <c r="W2599" s="319"/>
    </row>
    <row r="2600" spans="23:23" x14ac:dyDescent="0.2">
      <c r="W2600" s="319"/>
    </row>
    <row r="2601" spans="23:23" x14ac:dyDescent="0.2">
      <c r="W2601" s="319"/>
    </row>
    <row r="2602" spans="23:23" x14ac:dyDescent="0.2">
      <c r="W2602" s="319"/>
    </row>
    <row r="2603" spans="23:23" x14ac:dyDescent="0.2">
      <c r="W2603" s="319"/>
    </row>
    <row r="2604" spans="23:23" x14ac:dyDescent="0.2">
      <c r="W2604" s="319"/>
    </row>
    <row r="2605" spans="23:23" x14ac:dyDescent="0.2">
      <c r="W2605" s="319"/>
    </row>
    <row r="2606" spans="23:23" x14ac:dyDescent="0.2">
      <c r="W2606" s="319"/>
    </row>
    <row r="2607" spans="23:23" x14ac:dyDescent="0.2">
      <c r="W2607" s="319"/>
    </row>
    <row r="2608" spans="23:23" x14ac:dyDescent="0.2">
      <c r="W2608" s="319"/>
    </row>
    <row r="2609" spans="23:23" x14ac:dyDescent="0.2">
      <c r="W2609" s="319"/>
    </row>
    <row r="2610" spans="23:23" x14ac:dyDescent="0.2">
      <c r="W2610" s="319"/>
    </row>
    <row r="2611" spans="23:23" x14ac:dyDescent="0.2">
      <c r="W2611" s="319"/>
    </row>
    <row r="2612" spans="23:23" x14ac:dyDescent="0.2">
      <c r="W2612" s="319"/>
    </row>
    <row r="2613" spans="23:23" x14ac:dyDescent="0.2">
      <c r="W2613" s="319"/>
    </row>
    <row r="2614" spans="23:23" x14ac:dyDescent="0.2">
      <c r="W2614" s="319"/>
    </row>
    <row r="2615" spans="23:23" x14ac:dyDescent="0.2">
      <c r="W2615" s="319"/>
    </row>
    <row r="2616" spans="23:23" x14ac:dyDescent="0.2">
      <c r="W2616" s="319"/>
    </row>
    <row r="2617" spans="23:23" x14ac:dyDescent="0.2">
      <c r="W2617" s="319"/>
    </row>
    <row r="2618" spans="23:23" x14ac:dyDescent="0.2">
      <c r="W2618" s="319"/>
    </row>
    <row r="2619" spans="23:23" x14ac:dyDescent="0.2">
      <c r="W2619" s="319"/>
    </row>
    <row r="2620" spans="23:23" x14ac:dyDescent="0.2">
      <c r="W2620" s="319"/>
    </row>
    <row r="2621" spans="23:23" x14ac:dyDescent="0.2">
      <c r="W2621" s="319"/>
    </row>
    <row r="2622" spans="23:23" x14ac:dyDescent="0.2">
      <c r="W2622" s="319"/>
    </row>
    <row r="2623" spans="23:23" x14ac:dyDescent="0.2">
      <c r="W2623" s="319"/>
    </row>
    <row r="2624" spans="23:23" x14ac:dyDescent="0.2">
      <c r="W2624" s="319"/>
    </row>
    <row r="2625" spans="23:23" x14ac:dyDescent="0.2">
      <c r="W2625" s="319"/>
    </row>
    <row r="2626" spans="23:23" x14ac:dyDescent="0.2">
      <c r="W2626" s="319"/>
    </row>
    <row r="2627" spans="23:23" x14ac:dyDescent="0.2">
      <c r="W2627" s="319"/>
    </row>
    <row r="2628" spans="23:23" x14ac:dyDescent="0.2">
      <c r="W2628" s="319"/>
    </row>
    <row r="2629" spans="23:23" x14ac:dyDescent="0.2">
      <c r="W2629" s="319"/>
    </row>
    <row r="2630" spans="23:23" x14ac:dyDescent="0.2">
      <c r="W2630" s="319"/>
    </row>
    <row r="2631" spans="23:23" x14ac:dyDescent="0.2">
      <c r="W2631" s="319"/>
    </row>
    <row r="2632" spans="23:23" x14ac:dyDescent="0.2">
      <c r="W2632" s="319"/>
    </row>
    <row r="2633" spans="23:23" x14ac:dyDescent="0.2">
      <c r="W2633" s="319"/>
    </row>
    <row r="2634" spans="23:23" x14ac:dyDescent="0.2">
      <c r="W2634" s="319"/>
    </row>
    <row r="2635" spans="23:23" x14ac:dyDescent="0.2">
      <c r="W2635" s="319"/>
    </row>
    <row r="2636" spans="23:23" x14ac:dyDescent="0.2">
      <c r="W2636" s="319"/>
    </row>
    <row r="2637" spans="23:23" x14ac:dyDescent="0.2">
      <c r="W2637" s="319"/>
    </row>
    <row r="2638" spans="23:23" x14ac:dyDescent="0.2">
      <c r="W2638" s="319"/>
    </row>
    <row r="2639" spans="23:23" x14ac:dyDescent="0.2">
      <c r="W2639" s="319"/>
    </row>
    <row r="2640" spans="23:23" x14ac:dyDescent="0.2">
      <c r="W2640" s="319"/>
    </row>
    <row r="2641" spans="23:23" x14ac:dyDescent="0.2">
      <c r="W2641" s="319"/>
    </row>
    <row r="2642" spans="23:23" x14ac:dyDescent="0.2">
      <c r="W2642" s="319"/>
    </row>
    <row r="2643" spans="23:23" x14ac:dyDescent="0.2">
      <c r="W2643" s="319"/>
    </row>
    <row r="2644" spans="23:23" x14ac:dyDescent="0.2">
      <c r="W2644" s="319"/>
    </row>
    <row r="2645" spans="23:23" x14ac:dyDescent="0.2">
      <c r="W2645" s="319"/>
    </row>
    <row r="2646" spans="23:23" x14ac:dyDescent="0.2">
      <c r="W2646" s="319"/>
    </row>
    <row r="2647" spans="23:23" x14ac:dyDescent="0.2">
      <c r="W2647" s="319"/>
    </row>
    <row r="2648" spans="23:23" x14ac:dyDescent="0.2">
      <c r="W2648" s="319"/>
    </row>
    <row r="2649" spans="23:23" x14ac:dyDescent="0.2">
      <c r="W2649" s="319"/>
    </row>
    <row r="2650" spans="23:23" x14ac:dyDescent="0.2">
      <c r="W2650" s="319"/>
    </row>
    <row r="2651" spans="23:23" x14ac:dyDescent="0.2">
      <c r="W2651" s="319"/>
    </row>
    <row r="2652" spans="23:23" x14ac:dyDescent="0.2">
      <c r="W2652" s="319"/>
    </row>
    <row r="2653" spans="23:23" x14ac:dyDescent="0.2">
      <c r="W2653" s="319"/>
    </row>
    <row r="2654" spans="23:23" x14ac:dyDescent="0.2">
      <c r="W2654" s="319"/>
    </row>
    <row r="2655" spans="23:23" x14ac:dyDescent="0.2">
      <c r="W2655" s="319"/>
    </row>
    <row r="2656" spans="23:23" x14ac:dyDescent="0.2">
      <c r="W2656" s="319"/>
    </row>
    <row r="2657" spans="23:23" x14ac:dyDescent="0.2">
      <c r="W2657" s="319"/>
    </row>
    <row r="2658" spans="23:23" x14ac:dyDescent="0.2">
      <c r="W2658" s="319"/>
    </row>
    <row r="2659" spans="23:23" x14ac:dyDescent="0.2">
      <c r="W2659" s="319"/>
    </row>
    <row r="2660" spans="23:23" x14ac:dyDescent="0.2">
      <c r="W2660" s="319"/>
    </row>
    <row r="2661" spans="23:23" x14ac:dyDescent="0.2">
      <c r="W2661" s="319"/>
    </row>
    <row r="2662" spans="23:23" x14ac:dyDescent="0.2">
      <c r="W2662" s="319"/>
    </row>
    <row r="2663" spans="23:23" x14ac:dyDescent="0.2">
      <c r="W2663" s="319"/>
    </row>
    <row r="2664" spans="23:23" x14ac:dyDescent="0.2">
      <c r="W2664" s="319"/>
    </row>
    <row r="2665" spans="23:23" x14ac:dyDescent="0.2">
      <c r="W2665" s="319"/>
    </row>
    <row r="2666" spans="23:23" x14ac:dyDescent="0.2">
      <c r="W2666" s="319"/>
    </row>
    <row r="2667" spans="23:23" x14ac:dyDescent="0.2">
      <c r="W2667" s="319"/>
    </row>
    <row r="2668" spans="23:23" x14ac:dyDescent="0.2">
      <c r="W2668" s="319"/>
    </row>
    <row r="2669" spans="23:23" x14ac:dyDescent="0.2">
      <c r="W2669" s="319"/>
    </row>
    <row r="2670" spans="23:23" x14ac:dyDescent="0.2">
      <c r="W2670" s="319"/>
    </row>
    <row r="2671" spans="23:23" x14ac:dyDescent="0.2">
      <c r="W2671" s="319"/>
    </row>
    <row r="2672" spans="23:23" x14ac:dyDescent="0.2">
      <c r="W2672" s="319"/>
    </row>
    <row r="2673" spans="23:23" x14ac:dyDescent="0.2">
      <c r="W2673" s="319"/>
    </row>
    <row r="2674" spans="23:23" x14ac:dyDescent="0.2">
      <c r="W2674" s="319"/>
    </row>
    <row r="2675" spans="23:23" x14ac:dyDescent="0.2">
      <c r="W2675" s="319"/>
    </row>
    <row r="2676" spans="23:23" x14ac:dyDescent="0.2">
      <c r="W2676" s="319"/>
    </row>
    <row r="2677" spans="23:23" x14ac:dyDescent="0.2">
      <c r="W2677" s="319"/>
    </row>
    <row r="2678" spans="23:23" x14ac:dyDescent="0.2">
      <c r="W2678" s="319"/>
    </row>
    <row r="2679" spans="23:23" x14ac:dyDescent="0.2">
      <c r="W2679" s="319"/>
    </row>
    <row r="2680" spans="23:23" x14ac:dyDescent="0.2">
      <c r="W2680" s="319"/>
    </row>
    <row r="2681" spans="23:23" x14ac:dyDescent="0.2">
      <c r="W2681" s="319"/>
    </row>
    <row r="2682" spans="23:23" x14ac:dyDescent="0.2">
      <c r="W2682" s="319"/>
    </row>
    <row r="2683" spans="23:23" x14ac:dyDescent="0.2">
      <c r="W2683" s="319"/>
    </row>
    <row r="2684" spans="23:23" x14ac:dyDescent="0.2">
      <c r="W2684" s="319"/>
    </row>
    <row r="2685" spans="23:23" x14ac:dyDescent="0.2">
      <c r="W2685" s="319"/>
    </row>
    <row r="2686" spans="23:23" x14ac:dyDescent="0.2">
      <c r="W2686" s="319"/>
    </row>
    <row r="2687" spans="23:23" x14ac:dyDescent="0.2">
      <c r="W2687" s="319"/>
    </row>
    <row r="2688" spans="23:23" x14ac:dyDescent="0.2">
      <c r="W2688" s="319"/>
    </row>
    <row r="2689" spans="23:23" x14ac:dyDescent="0.2">
      <c r="W2689" s="319"/>
    </row>
    <row r="2690" spans="23:23" x14ac:dyDescent="0.2">
      <c r="W2690" s="319"/>
    </row>
    <row r="2691" spans="23:23" x14ac:dyDescent="0.2">
      <c r="W2691" s="319"/>
    </row>
    <row r="2692" spans="23:23" x14ac:dyDescent="0.2">
      <c r="W2692" s="319"/>
    </row>
    <row r="2693" spans="23:23" x14ac:dyDescent="0.2">
      <c r="W2693" s="319"/>
    </row>
    <row r="2694" spans="23:23" x14ac:dyDescent="0.2">
      <c r="W2694" s="319"/>
    </row>
    <row r="2695" spans="23:23" x14ac:dyDescent="0.2">
      <c r="W2695" s="319"/>
    </row>
    <row r="2696" spans="23:23" x14ac:dyDescent="0.2">
      <c r="W2696" s="319"/>
    </row>
    <row r="2697" spans="23:23" x14ac:dyDescent="0.2">
      <c r="W2697" s="319"/>
    </row>
    <row r="2698" spans="23:23" x14ac:dyDescent="0.2">
      <c r="W2698" s="319"/>
    </row>
    <row r="2699" spans="23:23" x14ac:dyDescent="0.2">
      <c r="W2699" s="319"/>
    </row>
    <row r="2700" spans="23:23" x14ac:dyDescent="0.2">
      <c r="W2700" s="319"/>
    </row>
    <row r="2701" spans="23:23" x14ac:dyDescent="0.2">
      <c r="W2701" s="319"/>
    </row>
    <row r="2702" spans="23:23" x14ac:dyDescent="0.2">
      <c r="W2702" s="319"/>
    </row>
    <row r="2703" spans="23:23" x14ac:dyDescent="0.2">
      <c r="W2703" s="319"/>
    </row>
    <row r="2704" spans="23:23" x14ac:dyDescent="0.2">
      <c r="W2704" s="319"/>
    </row>
    <row r="2705" spans="23:23" x14ac:dyDescent="0.2">
      <c r="W2705" s="319"/>
    </row>
    <row r="2706" spans="23:23" x14ac:dyDescent="0.2">
      <c r="W2706" s="319"/>
    </row>
    <row r="2707" spans="23:23" x14ac:dyDescent="0.2">
      <c r="W2707" s="319"/>
    </row>
    <row r="2708" spans="23:23" x14ac:dyDescent="0.2">
      <c r="W2708" s="319"/>
    </row>
    <row r="2709" spans="23:23" x14ac:dyDescent="0.2">
      <c r="W2709" s="319"/>
    </row>
    <row r="2710" spans="23:23" x14ac:dyDescent="0.2">
      <c r="W2710" s="319"/>
    </row>
    <row r="2711" spans="23:23" x14ac:dyDescent="0.2">
      <c r="W2711" s="319"/>
    </row>
    <row r="2712" spans="23:23" x14ac:dyDescent="0.2">
      <c r="W2712" s="319"/>
    </row>
    <row r="2713" spans="23:23" x14ac:dyDescent="0.2">
      <c r="W2713" s="319"/>
    </row>
    <row r="2714" spans="23:23" x14ac:dyDescent="0.2">
      <c r="W2714" s="319"/>
    </row>
    <row r="2715" spans="23:23" x14ac:dyDescent="0.2">
      <c r="W2715" s="319"/>
    </row>
    <row r="2716" spans="23:23" x14ac:dyDescent="0.2">
      <c r="W2716" s="319"/>
    </row>
    <row r="2717" spans="23:23" x14ac:dyDescent="0.2">
      <c r="W2717" s="319"/>
    </row>
    <row r="2718" spans="23:23" x14ac:dyDescent="0.2">
      <c r="W2718" s="319"/>
    </row>
    <row r="2719" spans="23:23" x14ac:dyDescent="0.2">
      <c r="W2719" s="319"/>
    </row>
    <row r="2720" spans="23:23" x14ac:dyDescent="0.2">
      <c r="W2720" s="319"/>
    </row>
    <row r="2721" spans="23:23" x14ac:dyDescent="0.2">
      <c r="W2721" s="319"/>
    </row>
    <row r="2722" spans="23:23" x14ac:dyDescent="0.2">
      <c r="W2722" s="319"/>
    </row>
    <row r="2723" spans="23:23" x14ac:dyDescent="0.2">
      <c r="W2723" s="319"/>
    </row>
    <row r="2724" spans="23:23" x14ac:dyDescent="0.2">
      <c r="W2724" s="319"/>
    </row>
    <row r="2725" spans="23:23" x14ac:dyDescent="0.2">
      <c r="W2725" s="319"/>
    </row>
    <row r="2726" spans="23:23" x14ac:dyDescent="0.2">
      <c r="W2726" s="319"/>
    </row>
    <row r="2727" spans="23:23" x14ac:dyDescent="0.2">
      <c r="W2727" s="319"/>
    </row>
    <row r="2728" spans="23:23" x14ac:dyDescent="0.2">
      <c r="W2728" s="319"/>
    </row>
    <row r="2729" spans="23:23" x14ac:dyDescent="0.2">
      <c r="W2729" s="319"/>
    </row>
    <row r="2730" spans="23:23" x14ac:dyDescent="0.2">
      <c r="W2730" s="319"/>
    </row>
    <row r="2731" spans="23:23" x14ac:dyDescent="0.2">
      <c r="W2731" s="319"/>
    </row>
    <row r="2732" spans="23:23" x14ac:dyDescent="0.2">
      <c r="W2732" s="319"/>
    </row>
    <row r="2733" spans="23:23" x14ac:dyDescent="0.2">
      <c r="W2733" s="319"/>
    </row>
    <row r="2734" spans="23:23" x14ac:dyDescent="0.2">
      <c r="W2734" s="319"/>
    </row>
    <row r="2735" spans="23:23" x14ac:dyDescent="0.2">
      <c r="W2735" s="319"/>
    </row>
    <row r="2736" spans="23:23" x14ac:dyDescent="0.2">
      <c r="W2736" s="319"/>
    </row>
    <row r="2737" spans="23:23" x14ac:dyDescent="0.2">
      <c r="W2737" s="319"/>
    </row>
    <row r="2738" spans="23:23" x14ac:dyDescent="0.2">
      <c r="W2738" s="319"/>
    </row>
    <row r="2739" spans="23:23" x14ac:dyDescent="0.2">
      <c r="W2739" s="319"/>
    </row>
    <row r="2740" spans="23:23" x14ac:dyDescent="0.2">
      <c r="W2740" s="319"/>
    </row>
    <row r="2741" spans="23:23" x14ac:dyDescent="0.2">
      <c r="W2741" s="319"/>
    </row>
    <row r="2742" spans="23:23" x14ac:dyDescent="0.2">
      <c r="W2742" s="319"/>
    </row>
    <row r="2743" spans="23:23" x14ac:dyDescent="0.2">
      <c r="W2743" s="319"/>
    </row>
    <row r="2744" spans="23:23" x14ac:dyDescent="0.2">
      <c r="W2744" s="319"/>
    </row>
    <row r="2745" spans="23:23" x14ac:dyDescent="0.2">
      <c r="W2745" s="319"/>
    </row>
    <row r="2746" spans="23:23" x14ac:dyDescent="0.2">
      <c r="W2746" s="319"/>
    </row>
    <row r="2747" spans="23:23" x14ac:dyDescent="0.2">
      <c r="W2747" s="319"/>
    </row>
    <row r="2748" spans="23:23" x14ac:dyDescent="0.2">
      <c r="W2748" s="319"/>
    </row>
    <row r="2749" spans="23:23" x14ac:dyDescent="0.2">
      <c r="W2749" s="319"/>
    </row>
    <row r="2750" spans="23:23" x14ac:dyDescent="0.2">
      <c r="W2750" s="319"/>
    </row>
    <row r="2751" spans="23:23" x14ac:dyDescent="0.2">
      <c r="W2751" s="319"/>
    </row>
    <row r="2752" spans="23:23" x14ac:dyDescent="0.2">
      <c r="W2752" s="319"/>
    </row>
    <row r="2753" spans="23:23" x14ac:dyDescent="0.2">
      <c r="W2753" s="319"/>
    </row>
    <row r="2754" spans="23:23" x14ac:dyDescent="0.2">
      <c r="W2754" s="319"/>
    </row>
    <row r="2755" spans="23:23" x14ac:dyDescent="0.2">
      <c r="W2755" s="319"/>
    </row>
    <row r="2756" spans="23:23" x14ac:dyDescent="0.2">
      <c r="W2756" s="319"/>
    </row>
    <row r="2757" spans="23:23" x14ac:dyDescent="0.2">
      <c r="W2757" s="319"/>
    </row>
    <row r="2758" spans="23:23" x14ac:dyDescent="0.2">
      <c r="W2758" s="319"/>
    </row>
    <row r="2759" spans="23:23" x14ac:dyDescent="0.2">
      <c r="W2759" s="319"/>
    </row>
    <row r="2760" spans="23:23" x14ac:dyDescent="0.2">
      <c r="W2760" s="319"/>
    </row>
    <row r="2761" spans="23:23" x14ac:dyDescent="0.2">
      <c r="W2761" s="319"/>
    </row>
    <row r="2762" spans="23:23" x14ac:dyDescent="0.2">
      <c r="W2762" s="319"/>
    </row>
    <row r="2763" spans="23:23" x14ac:dyDescent="0.2">
      <c r="W2763" s="319"/>
    </row>
    <row r="2764" spans="23:23" x14ac:dyDescent="0.2">
      <c r="W2764" s="319"/>
    </row>
    <row r="2765" spans="23:23" x14ac:dyDescent="0.2">
      <c r="W2765" s="319"/>
    </row>
    <row r="2766" spans="23:23" x14ac:dyDescent="0.2">
      <c r="W2766" s="319"/>
    </row>
    <row r="2767" spans="23:23" x14ac:dyDescent="0.2">
      <c r="W2767" s="319"/>
    </row>
    <row r="2768" spans="23:23" x14ac:dyDescent="0.2">
      <c r="W2768" s="319"/>
    </row>
    <row r="2769" spans="23:23" x14ac:dyDescent="0.2">
      <c r="W2769" s="319"/>
    </row>
    <row r="2770" spans="23:23" x14ac:dyDescent="0.2">
      <c r="W2770" s="319"/>
    </row>
    <row r="2771" spans="23:23" x14ac:dyDescent="0.2">
      <c r="W2771" s="319"/>
    </row>
    <row r="2772" spans="23:23" x14ac:dyDescent="0.2">
      <c r="W2772" s="319"/>
    </row>
    <row r="2773" spans="23:23" x14ac:dyDescent="0.2">
      <c r="W2773" s="319"/>
    </row>
    <row r="2774" spans="23:23" x14ac:dyDescent="0.2">
      <c r="W2774" s="319"/>
    </row>
    <row r="2775" spans="23:23" x14ac:dyDescent="0.2">
      <c r="W2775" s="319"/>
    </row>
    <row r="2776" spans="23:23" x14ac:dyDescent="0.2">
      <c r="W2776" s="319"/>
    </row>
    <row r="2777" spans="23:23" x14ac:dyDescent="0.2">
      <c r="W2777" s="319"/>
    </row>
    <row r="2778" spans="23:23" x14ac:dyDescent="0.2">
      <c r="W2778" s="319"/>
    </row>
    <row r="2779" spans="23:23" x14ac:dyDescent="0.2">
      <c r="W2779" s="319"/>
    </row>
    <row r="2780" spans="23:23" x14ac:dyDescent="0.2">
      <c r="W2780" s="319"/>
    </row>
    <row r="2781" spans="23:23" x14ac:dyDescent="0.2">
      <c r="W2781" s="319"/>
    </row>
    <row r="2782" spans="23:23" x14ac:dyDescent="0.2">
      <c r="W2782" s="319"/>
    </row>
    <row r="2783" spans="23:23" x14ac:dyDescent="0.2">
      <c r="W2783" s="319"/>
    </row>
    <row r="2784" spans="23:23" x14ac:dyDescent="0.2">
      <c r="W2784" s="319"/>
    </row>
    <row r="2785" spans="23:23" x14ac:dyDescent="0.2">
      <c r="W2785" s="319"/>
    </row>
    <row r="2786" spans="23:23" x14ac:dyDescent="0.2">
      <c r="W2786" s="319"/>
    </row>
    <row r="2787" spans="23:23" x14ac:dyDescent="0.2">
      <c r="W2787" s="319"/>
    </row>
    <row r="2788" spans="23:23" x14ac:dyDescent="0.2">
      <c r="W2788" s="319"/>
    </row>
    <row r="2789" spans="23:23" x14ac:dyDescent="0.2">
      <c r="W2789" s="319"/>
    </row>
    <row r="2790" spans="23:23" x14ac:dyDescent="0.2">
      <c r="W2790" s="319"/>
    </row>
    <row r="2791" spans="23:23" x14ac:dyDescent="0.2">
      <c r="W2791" s="319"/>
    </row>
    <row r="2792" spans="23:23" x14ac:dyDescent="0.2">
      <c r="W2792" s="319"/>
    </row>
    <row r="2793" spans="23:23" x14ac:dyDescent="0.2">
      <c r="W2793" s="319"/>
    </row>
    <row r="2794" spans="23:23" x14ac:dyDescent="0.2">
      <c r="W2794" s="319"/>
    </row>
    <row r="2795" spans="23:23" x14ac:dyDescent="0.2">
      <c r="W2795" s="319"/>
    </row>
    <row r="2796" spans="23:23" x14ac:dyDescent="0.2">
      <c r="W2796" s="319"/>
    </row>
    <row r="2797" spans="23:23" x14ac:dyDescent="0.2">
      <c r="W2797" s="319"/>
    </row>
    <row r="2798" spans="23:23" x14ac:dyDescent="0.2">
      <c r="W2798" s="319"/>
    </row>
    <row r="2799" spans="23:23" x14ac:dyDescent="0.2">
      <c r="W2799" s="319"/>
    </row>
    <row r="2800" spans="23:23" x14ac:dyDescent="0.2">
      <c r="W2800" s="319"/>
    </row>
    <row r="2801" spans="23:23" x14ac:dyDescent="0.2">
      <c r="W2801" s="319"/>
    </row>
    <row r="2802" spans="23:23" x14ac:dyDescent="0.2">
      <c r="W2802" s="319"/>
    </row>
    <row r="2803" spans="23:23" x14ac:dyDescent="0.2">
      <c r="W2803" s="319"/>
    </row>
    <row r="2804" spans="23:23" x14ac:dyDescent="0.2">
      <c r="W2804" s="319"/>
    </row>
    <row r="2805" spans="23:23" x14ac:dyDescent="0.2">
      <c r="W2805" s="319"/>
    </row>
    <row r="2806" spans="23:23" x14ac:dyDescent="0.2">
      <c r="W2806" s="319"/>
    </row>
    <row r="2807" spans="23:23" x14ac:dyDescent="0.2">
      <c r="W2807" s="319"/>
    </row>
    <row r="2808" spans="23:23" x14ac:dyDescent="0.2">
      <c r="W2808" s="319"/>
    </row>
    <row r="2809" spans="23:23" x14ac:dyDescent="0.2">
      <c r="W2809" s="319"/>
    </row>
    <row r="2810" spans="23:23" x14ac:dyDescent="0.2">
      <c r="W2810" s="319"/>
    </row>
    <row r="2811" spans="23:23" x14ac:dyDescent="0.2">
      <c r="W2811" s="319"/>
    </row>
    <row r="2812" spans="23:23" x14ac:dyDescent="0.2">
      <c r="W2812" s="319"/>
    </row>
    <row r="2813" spans="23:23" x14ac:dyDescent="0.2">
      <c r="W2813" s="319"/>
    </row>
    <row r="2814" spans="23:23" x14ac:dyDescent="0.2">
      <c r="W2814" s="319"/>
    </row>
    <row r="2815" spans="23:23" x14ac:dyDescent="0.2">
      <c r="W2815" s="319"/>
    </row>
    <row r="2816" spans="23:23" x14ac:dyDescent="0.2">
      <c r="W2816" s="319"/>
    </row>
    <row r="2817" spans="23:23" x14ac:dyDescent="0.2">
      <c r="W2817" s="319"/>
    </row>
    <row r="2818" spans="23:23" x14ac:dyDescent="0.2">
      <c r="W2818" s="319"/>
    </row>
    <row r="2819" spans="23:23" x14ac:dyDescent="0.2">
      <c r="W2819" s="319"/>
    </row>
    <row r="2820" spans="23:23" x14ac:dyDescent="0.2">
      <c r="W2820" s="319"/>
    </row>
    <row r="2821" spans="23:23" x14ac:dyDescent="0.2">
      <c r="W2821" s="319"/>
    </row>
    <row r="2822" spans="23:23" x14ac:dyDescent="0.2">
      <c r="W2822" s="319"/>
    </row>
    <row r="2823" spans="23:23" x14ac:dyDescent="0.2">
      <c r="W2823" s="319"/>
    </row>
    <row r="2824" spans="23:23" x14ac:dyDescent="0.2">
      <c r="W2824" s="319"/>
    </row>
    <row r="2825" spans="23:23" x14ac:dyDescent="0.2">
      <c r="W2825" s="319"/>
    </row>
    <row r="2826" spans="23:23" x14ac:dyDescent="0.2">
      <c r="W2826" s="319"/>
    </row>
    <row r="2827" spans="23:23" x14ac:dyDescent="0.2">
      <c r="W2827" s="319"/>
    </row>
    <row r="2828" spans="23:23" x14ac:dyDescent="0.2">
      <c r="W2828" s="319"/>
    </row>
    <row r="2829" spans="23:23" x14ac:dyDescent="0.2">
      <c r="W2829" s="319"/>
    </row>
    <row r="2830" spans="23:23" x14ac:dyDescent="0.2">
      <c r="W2830" s="319"/>
    </row>
    <row r="2831" spans="23:23" x14ac:dyDescent="0.2">
      <c r="W2831" s="319"/>
    </row>
    <row r="2832" spans="23:23" x14ac:dyDescent="0.2">
      <c r="W2832" s="319"/>
    </row>
    <row r="2833" spans="23:23" x14ac:dyDescent="0.2">
      <c r="W2833" s="319"/>
    </row>
    <row r="2834" spans="23:23" x14ac:dyDescent="0.2">
      <c r="W2834" s="319"/>
    </row>
    <row r="2835" spans="23:23" x14ac:dyDescent="0.2">
      <c r="W2835" s="319"/>
    </row>
    <row r="2836" spans="23:23" x14ac:dyDescent="0.2">
      <c r="W2836" s="319"/>
    </row>
    <row r="2837" spans="23:23" x14ac:dyDescent="0.2">
      <c r="W2837" s="319"/>
    </row>
    <row r="2838" spans="23:23" x14ac:dyDescent="0.2">
      <c r="W2838" s="319"/>
    </row>
    <row r="2839" spans="23:23" x14ac:dyDescent="0.2">
      <c r="W2839" s="319"/>
    </row>
    <row r="2840" spans="23:23" x14ac:dyDescent="0.2">
      <c r="W2840" s="319"/>
    </row>
    <row r="2841" spans="23:23" x14ac:dyDescent="0.2">
      <c r="W2841" s="319"/>
    </row>
    <row r="2842" spans="23:23" x14ac:dyDescent="0.2">
      <c r="W2842" s="319"/>
    </row>
    <row r="2843" spans="23:23" x14ac:dyDescent="0.2">
      <c r="W2843" s="319"/>
    </row>
    <row r="2844" spans="23:23" x14ac:dyDescent="0.2">
      <c r="W2844" s="319"/>
    </row>
    <row r="2845" spans="23:23" x14ac:dyDescent="0.2">
      <c r="W2845" s="319"/>
    </row>
    <row r="2846" spans="23:23" x14ac:dyDescent="0.2">
      <c r="W2846" s="319"/>
    </row>
    <row r="2847" spans="23:23" x14ac:dyDescent="0.2">
      <c r="W2847" s="319"/>
    </row>
    <row r="2848" spans="23:23" x14ac:dyDescent="0.2">
      <c r="W2848" s="319"/>
    </row>
    <row r="2849" spans="23:23" x14ac:dyDescent="0.2">
      <c r="W2849" s="319"/>
    </row>
    <row r="2850" spans="23:23" x14ac:dyDescent="0.2">
      <c r="W2850" s="319"/>
    </row>
    <row r="2851" spans="23:23" x14ac:dyDescent="0.2">
      <c r="W2851" s="319"/>
    </row>
    <row r="2852" spans="23:23" x14ac:dyDescent="0.2">
      <c r="W2852" s="319"/>
    </row>
    <row r="2853" spans="23:23" x14ac:dyDescent="0.2">
      <c r="W2853" s="319"/>
    </row>
    <row r="2854" spans="23:23" x14ac:dyDescent="0.2">
      <c r="W2854" s="319"/>
    </row>
    <row r="2855" spans="23:23" x14ac:dyDescent="0.2">
      <c r="W2855" s="319"/>
    </row>
    <row r="2856" spans="23:23" x14ac:dyDescent="0.2">
      <c r="W2856" s="319"/>
    </row>
    <row r="2857" spans="23:23" x14ac:dyDescent="0.2">
      <c r="W2857" s="319"/>
    </row>
    <row r="2858" spans="23:23" x14ac:dyDescent="0.2">
      <c r="W2858" s="319"/>
    </row>
    <row r="2859" spans="23:23" x14ac:dyDescent="0.2">
      <c r="W2859" s="319"/>
    </row>
    <row r="2860" spans="23:23" x14ac:dyDescent="0.2">
      <c r="W2860" s="319"/>
    </row>
    <row r="2861" spans="23:23" x14ac:dyDescent="0.2">
      <c r="W2861" s="319"/>
    </row>
    <row r="2862" spans="23:23" x14ac:dyDescent="0.2">
      <c r="W2862" s="319"/>
    </row>
    <row r="2863" spans="23:23" x14ac:dyDescent="0.2">
      <c r="W2863" s="319"/>
    </row>
    <row r="2864" spans="23:23" x14ac:dyDescent="0.2">
      <c r="W2864" s="319"/>
    </row>
    <row r="2865" spans="23:23" x14ac:dyDescent="0.2">
      <c r="W2865" s="319"/>
    </row>
    <row r="2866" spans="23:23" x14ac:dyDescent="0.2">
      <c r="W2866" s="319"/>
    </row>
    <row r="2867" spans="23:23" x14ac:dyDescent="0.2">
      <c r="W2867" s="319"/>
    </row>
    <row r="2868" spans="23:23" x14ac:dyDescent="0.2">
      <c r="W2868" s="319"/>
    </row>
    <row r="2869" spans="23:23" x14ac:dyDescent="0.2">
      <c r="W2869" s="319"/>
    </row>
    <row r="2870" spans="23:23" x14ac:dyDescent="0.2">
      <c r="W2870" s="319"/>
    </row>
    <row r="2871" spans="23:23" x14ac:dyDescent="0.2">
      <c r="W2871" s="319"/>
    </row>
    <row r="2872" spans="23:23" x14ac:dyDescent="0.2">
      <c r="W2872" s="319"/>
    </row>
    <row r="2873" spans="23:23" x14ac:dyDescent="0.2">
      <c r="W2873" s="319"/>
    </row>
    <row r="2874" spans="23:23" x14ac:dyDescent="0.2">
      <c r="W2874" s="319"/>
    </row>
    <row r="2875" spans="23:23" x14ac:dyDescent="0.2">
      <c r="W2875" s="319"/>
    </row>
    <row r="2876" spans="23:23" x14ac:dyDescent="0.2">
      <c r="W2876" s="319"/>
    </row>
    <row r="2877" spans="23:23" x14ac:dyDescent="0.2">
      <c r="W2877" s="319"/>
    </row>
    <row r="2878" spans="23:23" x14ac:dyDescent="0.2">
      <c r="W2878" s="319"/>
    </row>
    <row r="2879" spans="23:23" x14ac:dyDescent="0.2">
      <c r="W2879" s="319"/>
    </row>
    <row r="2880" spans="23:23" x14ac:dyDescent="0.2">
      <c r="W2880" s="319"/>
    </row>
    <row r="2881" spans="23:23" x14ac:dyDescent="0.2">
      <c r="W2881" s="319"/>
    </row>
    <row r="2882" spans="23:23" x14ac:dyDescent="0.2">
      <c r="W2882" s="319"/>
    </row>
    <row r="2883" spans="23:23" x14ac:dyDescent="0.2">
      <c r="W2883" s="319"/>
    </row>
    <row r="2884" spans="23:23" x14ac:dyDescent="0.2">
      <c r="W2884" s="319"/>
    </row>
    <row r="2885" spans="23:23" x14ac:dyDescent="0.2">
      <c r="W2885" s="319"/>
    </row>
    <row r="2886" spans="23:23" x14ac:dyDescent="0.2">
      <c r="W2886" s="319"/>
    </row>
    <row r="2887" spans="23:23" x14ac:dyDescent="0.2">
      <c r="W2887" s="319"/>
    </row>
    <row r="2888" spans="23:23" x14ac:dyDescent="0.2">
      <c r="W2888" s="319"/>
    </row>
    <row r="2889" spans="23:23" x14ac:dyDescent="0.2">
      <c r="W2889" s="319"/>
    </row>
    <row r="2890" spans="23:23" x14ac:dyDescent="0.2">
      <c r="W2890" s="319"/>
    </row>
    <row r="2891" spans="23:23" x14ac:dyDescent="0.2">
      <c r="W2891" s="319"/>
    </row>
    <row r="2892" spans="23:23" x14ac:dyDescent="0.2">
      <c r="W2892" s="319"/>
    </row>
    <row r="2893" spans="23:23" x14ac:dyDescent="0.2">
      <c r="W2893" s="319"/>
    </row>
    <row r="2894" spans="23:23" x14ac:dyDescent="0.2">
      <c r="W2894" s="319"/>
    </row>
    <row r="2895" spans="23:23" x14ac:dyDescent="0.2">
      <c r="W2895" s="319"/>
    </row>
    <row r="2896" spans="23:23" x14ac:dyDescent="0.2">
      <c r="W2896" s="319"/>
    </row>
    <row r="2897" spans="23:23" x14ac:dyDescent="0.2">
      <c r="W2897" s="319"/>
    </row>
    <row r="2898" spans="23:23" x14ac:dyDescent="0.2">
      <c r="W2898" s="319"/>
    </row>
    <row r="2899" spans="23:23" x14ac:dyDescent="0.2">
      <c r="W2899" s="319"/>
    </row>
    <row r="2900" spans="23:23" x14ac:dyDescent="0.2">
      <c r="W2900" s="319"/>
    </row>
    <row r="2901" spans="23:23" x14ac:dyDescent="0.2">
      <c r="W2901" s="319"/>
    </row>
    <row r="2902" spans="23:23" x14ac:dyDescent="0.2">
      <c r="W2902" s="319"/>
    </row>
    <row r="2903" spans="23:23" x14ac:dyDescent="0.2">
      <c r="W2903" s="319"/>
    </row>
    <row r="2904" spans="23:23" x14ac:dyDescent="0.2">
      <c r="W2904" s="319"/>
    </row>
    <row r="2905" spans="23:23" x14ac:dyDescent="0.2">
      <c r="W2905" s="319"/>
    </row>
    <row r="2906" spans="23:23" x14ac:dyDescent="0.2">
      <c r="W2906" s="319"/>
    </row>
    <row r="2907" spans="23:23" x14ac:dyDescent="0.2">
      <c r="W2907" s="319"/>
    </row>
    <row r="2908" spans="23:23" x14ac:dyDescent="0.2">
      <c r="W2908" s="319"/>
    </row>
    <row r="2909" spans="23:23" x14ac:dyDescent="0.2">
      <c r="W2909" s="319"/>
    </row>
    <row r="2910" spans="23:23" x14ac:dyDescent="0.2">
      <c r="W2910" s="319"/>
    </row>
    <row r="2911" spans="23:23" x14ac:dyDescent="0.2">
      <c r="W2911" s="319"/>
    </row>
    <row r="2912" spans="23:23" x14ac:dyDescent="0.2">
      <c r="W2912" s="319"/>
    </row>
    <row r="2913" spans="23:23" x14ac:dyDescent="0.2">
      <c r="W2913" s="319"/>
    </row>
    <row r="2914" spans="23:23" x14ac:dyDescent="0.2">
      <c r="W2914" s="319"/>
    </row>
    <row r="2915" spans="23:23" x14ac:dyDescent="0.2">
      <c r="W2915" s="319"/>
    </row>
    <row r="2916" spans="23:23" x14ac:dyDescent="0.2">
      <c r="W2916" s="319"/>
    </row>
    <row r="2917" spans="23:23" x14ac:dyDescent="0.2">
      <c r="W2917" s="319"/>
    </row>
    <row r="2918" spans="23:23" x14ac:dyDescent="0.2">
      <c r="W2918" s="319"/>
    </row>
    <row r="2919" spans="23:23" x14ac:dyDescent="0.2">
      <c r="W2919" s="319"/>
    </row>
    <row r="2920" spans="23:23" x14ac:dyDescent="0.2">
      <c r="W2920" s="319"/>
    </row>
    <row r="2921" spans="23:23" x14ac:dyDescent="0.2">
      <c r="W2921" s="319"/>
    </row>
    <row r="2922" spans="23:23" x14ac:dyDescent="0.2">
      <c r="W2922" s="319"/>
    </row>
    <row r="2923" spans="23:23" x14ac:dyDescent="0.2">
      <c r="W2923" s="319"/>
    </row>
    <row r="2924" spans="23:23" x14ac:dyDescent="0.2">
      <c r="W2924" s="319"/>
    </row>
    <row r="2925" spans="23:23" x14ac:dyDescent="0.2">
      <c r="W2925" s="319"/>
    </row>
    <row r="2926" spans="23:23" x14ac:dyDescent="0.2">
      <c r="W2926" s="319"/>
    </row>
    <row r="2927" spans="23:23" x14ac:dyDescent="0.2">
      <c r="W2927" s="319"/>
    </row>
    <row r="2928" spans="23:23" x14ac:dyDescent="0.2">
      <c r="W2928" s="319"/>
    </row>
    <row r="2929" spans="23:23" x14ac:dyDescent="0.2">
      <c r="W2929" s="319"/>
    </row>
    <row r="2930" spans="23:23" x14ac:dyDescent="0.2">
      <c r="W2930" s="319"/>
    </row>
    <row r="2931" spans="23:23" x14ac:dyDescent="0.2">
      <c r="W2931" s="319"/>
    </row>
    <row r="2932" spans="23:23" x14ac:dyDescent="0.2">
      <c r="W2932" s="319"/>
    </row>
    <row r="2933" spans="23:23" x14ac:dyDescent="0.2">
      <c r="W2933" s="319"/>
    </row>
    <row r="2934" spans="23:23" x14ac:dyDescent="0.2">
      <c r="W2934" s="319"/>
    </row>
    <row r="2935" spans="23:23" x14ac:dyDescent="0.2">
      <c r="W2935" s="319"/>
    </row>
    <row r="2936" spans="23:23" x14ac:dyDescent="0.2">
      <c r="W2936" s="319"/>
    </row>
    <row r="2937" spans="23:23" x14ac:dyDescent="0.2">
      <c r="W2937" s="319"/>
    </row>
    <row r="2938" spans="23:23" x14ac:dyDescent="0.2">
      <c r="W2938" s="319"/>
    </row>
    <row r="2939" spans="23:23" x14ac:dyDescent="0.2">
      <c r="W2939" s="319"/>
    </row>
    <row r="2940" spans="23:23" x14ac:dyDescent="0.2">
      <c r="W2940" s="319"/>
    </row>
    <row r="2941" spans="23:23" x14ac:dyDescent="0.2">
      <c r="W2941" s="319"/>
    </row>
    <row r="2942" spans="23:23" x14ac:dyDescent="0.2">
      <c r="W2942" s="319"/>
    </row>
    <row r="2943" spans="23:23" x14ac:dyDescent="0.2">
      <c r="W2943" s="319"/>
    </row>
    <row r="2944" spans="23:23" x14ac:dyDescent="0.2">
      <c r="W2944" s="319"/>
    </row>
    <row r="2945" spans="23:23" x14ac:dyDescent="0.2">
      <c r="W2945" s="319"/>
    </row>
    <row r="2946" spans="23:23" x14ac:dyDescent="0.2">
      <c r="W2946" s="319"/>
    </row>
    <row r="2947" spans="23:23" x14ac:dyDescent="0.2">
      <c r="W2947" s="319"/>
    </row>
    <row r="2948" spans="23:23" x14ac:dyDescent="0.2">
      <c r="W2948" s="319"/>
    </row>
    <row r="2949" spans="23:23" x14ac:dyDescent="0.2">
      <c r="W2949" s="319"/>
    </row>
    <row r="2950" spans="23:23" x14ac:dyDescent="0.2">
      <c r="W2950" s="319"/>
    </row>
    <row r="2951" spans="23:23" x14ac:dyDescent="0.2">
      <c r="W2951" s="319"/>
    </row>
    <row r="2952" spans="23:23" x14ac:dyDescent="0.2">
      <c r="W2952" s="319"/>
    </row>
    <row r="2953" spans="23:23" x14ac:dyDescent="0.2">
      <c r="W2953" s="319"/>
    </row>
    <row r="2954" spans="23:23" x14ac:dyDescent="0.2">
      <c r="W2954" s="319"/>
    </row>
    <row r="2955" spans="23:23" x14ac:dyDescent="0.2">
      <c r="W2955" s="319"/>
    </row>
    <row r="2956" spans="23:23" x14ac:dyDescent="0.2">
      <c r="W2956" s="319"/>
    </row>
    <row r="2957" spans="23:23" x14ac:dyDescent="0.2">
      <c r="W2957" s="319"/>
    </row>
    <row r="2958" spans="23:23" x14ac:dyDescent="0.2">
      <c r="W2958" s="319"/>
    </row>
    <row r="2959" spans="23:23" x14ac:dyDescent="0.2">
      <c r="W2959" s="319"/>
    </row>
    <row r="2960" spans="23:23" x14ac:dyDescent="0.2">
      <c r="W2960" s="319"/>
    </row>
    <row r="2961" spans="23:23" x14ac:dyDescent="0.2">
      <c r="W2961" s="319"/>
    </row>
    <row r="2962" spans="23:23" x14ac:dyDescent="0.2">
      <c r="W2962" s="319"/>
    </row>
    <row r="2963" spans="23:23" x14ac:dyDescent="0.2">
      <c r="W2963" s="319"/>
    </row>
    <row r="2964" spans="23:23" x14ac:dyDescent="0.2">
      <c r="W2964" s="319"/>
    </row>
    <row r="2965" spans="23:23" x14ac:dyDescent="0.2">
      <c r="W2965" s="319"/>
    </row>
    <row r="2966" spans="23:23" x14ac:dyDescent="0.2">
      <c r="W2966" s="319"/>
    </row>
    <row r="2967" spans="23:23" x14ac:dyDescent="0.2">
      <c r="W2967" s="319"/>
    </row>
    <row r="2968" spans="23:23" x14ac:dyDescent="0.2">
      <c r="W2968" s="319"/>
    </row>
    <row r="2969" spans="23:23" x14ac:dyDescent="0.2">
      <c r="W2969" s="319"/>
    </row>
    <row r="2970" spans="23:23" x14ac:dyDescent="0.2">
      <c r="W2970" s="319"/>
    </row>
    <row r="2971" spans="23:23" x14ac:dyDescent="0.2">
      <c r="W2971" s="319"/>
    </row>
    <row r="2972" spans="23:23" x14ac:dyDescent="0.2">
      <c r="W2972" s="319"/>
    </row>
    <row r="2973" spans="23:23" x14ac:dyDescent="0.2">
      <c r="W2973" s="319"/>
    </row>
    <row r="2974" spans="23:23" x14ac:dyDescent="0.2">
      <c r="W2974" s="319"/>
    </row>
    <row r="2975" spans="23:23" x14ac:dyDescent="0.2">
      <c r="W2975" s="319"/>
    </row>
    <row r="2976" spans="23:23" x14ac:dyDescent="0.2">
      <c r="W2976" s="319"/>
    </row>
    <row r="2977" spans="23:23" x14ac:dyDescent="0.2">
      <c r="W2977" s="319"/>
    </row>
    <row r="2978" spans="23:23" x14ac:dyDescent="0.2">
      <c r="W2978" s="319"/>
    </row>
    <row r="2979" spans="23:23" x14ac:dyDescent="0.2">
      <c r="W2979" s="319"/>
    </row>
    <row r="2980" spans="23:23" x14ac:dyDescent="0.2">
      <c r="W2980" s="319"/>
    </row>
    <row r="2981" spans="23:23" x14ac:dyDescent="0.2">
      <c r="W2981" s="319"/>
    </row>
    <row r="2982" spans="23:23" x14ac:dyDescent="0.2">
      <c r="W2982" s="319"/>
    </row>
    <row r="2983" spans="23:23" x14ac:dyDescent="0.2">
      <c r="W2983" s="319"/>
    </row>
    <row r="2984" spans="23:23" x14ac:dyDescent="0.2">
      <c r="W2984" s="319"/>
    </row>
    <row r="2985" spans="23:23" x14ac:dyDescent="0.2">
      <c r="W2985" s="319"/>
    </row>
    <row r="2986" spans="23:23" x14ac:dyDescent="0.2">
      <c r="W2986" s="319"/>
    </row>
    <row r="2987" spans="23:23" x14ac:dyDescent="0.2">
      <c r="W2987" s="319"/>
    </row>
    <row r="2988" spans="23:23" x14ac:dyDescent="0.2">
      <c r="W2988" s="319"/>
    </row>
    <row r="2989" spans="23:23" x14ac:dyDescent="0.2">
      <c r="W2989" s="319"/>
    </row>
    <row r="2990" spans="23:23" x14ac:dyDescent="0.2">
      <c r="W2990" s="319"/>
    </row>
    <row r="2991" spans="23:23" x14ac:dyDescent="0.2">
      <c r="W2991" s="319"/>
    </row>
    <row r="2992" spans="23:23" x14ac:dyDescent="0.2">
      <c r="W2992" s="319"/>
    </row>
    <row r="2993" spans="23:23" x14ac:dyDescent="0.2">
      <c r="W2993" s="319"/>
    </row>
    <row r="2994" spans="23:23" x14ac:dyDescent="0.2">
      <c r="W2994" s="319"/>
    </row>
    <row r="2995" spans="23:23" x14ac:dyDescent="0.2">
      <c r="W2995" s="319"/>
    </row>
    <row r="2996" spans="23:23" x14ac:dyDescent="0.2">
      <c r="W2996" s="319"/>
    </row>
    <row r="2997" spans="23:23" x14ac:dyDescent="0.2">
      <c r="W2997" s="319"/>
    </row>
    <row r="2998" spans="23:23" x14ac:dyDescent="0.2">
      <c r="W2998" s="319"/>
    </row>
    <row r="2999" spans="23:23" x14ac:dyDescent="0.2">
      <c r="W2999" s="319"/>
    </row>
    <row r="3000" spans="23:23" x14ac:dyDescent="0.2">
      <c r="W3000" s="319"/>
    </row>
    <row r="3001" spans="23:23" x14ac:dyDescent="0.2">
      <c r="W3001" s="319"/>
    </row>
    <row r="3002" spans="23:23" x14ac:dyDescent="0.2">
      <c r="W3002" s="319"/>
    </row>
    <row r="3003" spans="23:23" x14ac:dyDescent="0.2">
      <c r="W3003" s="319"/>
    </row>
    <row r="3004" spans="23:23" x14ac:dyDescent="0.2">
      <c r="W3004" s="319"/>
    </row>
    <row r="3005" spans="23:23" x14ac:dyDescent="0.2">
      <c r="W3005" s="319"/>
    </row>
    <row r="3006" spans="23:23" x14ac:dyDescent="0.2">
      <c r="W3006" s="319"/>
    </row>
    <row r="3007" spans="23:23" x14ac:dyDescent="0.2">
      <c r="W3007" s="319"/>
    </row>
    <row r="3008" spans="23:23" x14ac:dyDescent="0.2">
      <c r="W3008" s="319"/>
    </row>
    <row r="3009" spans="23:23" x14ac:dyDescent="0.2">
      <c r="W3009" s="319"/>
    </row>
    <row r="3010" spans="23:23" x14ac:dyDescent="0.2">
      <c r="W3010" s="319"/>
    </row>
    <row r="3011" spans="23:23" x14ac:dyDescent="0.2">
      <c r="W3011" s="319"/>
    </row>
    <row r="3012" spans="23:23" x14ac:dyDescent="0.2">
      <c r="W3012" s="319"/>
    </row>
    <row r="3013" spans="23:23" x14ac:dyDescent="0.2">
      <c r="W3013" s="319"/>
    </row>
    <row r="3014" spans="23:23" x14ac:dyDescent="0.2">
      <c r="W3014" s="319"/>
    </row>
    <row r="3015" spans="23:23" x14ac:dyDescent="0.2">
      <c r="W3015" s="319"/>
    </row>
    <row r="3016" spans="23:23" x14ac:dyDescent="0.2">
      <c r="W3016" s="319"/>
    </row>
    <row r="3017" spans="23:23" x14ac:dyDescent="0.2">
      <c r="W3017" s="319"/>
    </row>
    <row r="3018" spans="23:23" x14ac:dyDescent="0.2">
      <c r="W3018" s="319"/>
    </row>
    <row r="3019" spans="23:23" x14ac:dyDescent="0.2">
      <c r="W3019" s="319"/>
    </row>
    <row r="3020" spans="23:23" x14ac:dyDescent="0.2">
      <c r="W3020" s="319"/>
    </row>
    <row r="3021" spans="23:23" x14ac:dyDescent="0.2">
      <c r="W3021" s="319"/>
    </row>
    <row r="3022" spans="23:23" x14ac:dyDescent="0.2">
      <c r="W3022" s="319"/>
    </row>
    <row r="3023" spans="23:23" x14ac:dyDescent="0.2">
      <c r="W3023" s="319"/>
    </row>
    <row r="3024" spans="23:23" x14ac:dyDescent="0.2">
      <c r="W3024" s="319"/>
    </row>
    <row r="3025" spans="23:23" x14ac:dyDescent="0.2">
      <c r="W3025" s="319"/>
    </row>
    <row r="3026" spans="23:23" x14ac:dyDescent="0.2">
      <c r="W3026" s="319"/>
    </row>
    <row r="3027" spans="23:23" x14ac:dyDescent="0.2">
      <c r="W3027" s="319"/>
    </row>
    <row r="3028" spans="23:23" x14ac:dyDescent="0.2">
      <c r="W3028" s="319"/>
    </row>
    <row r="3029" spans="23:23" x14ac:dyDescent="0.2">
      <c r="W3029" s="319"/>
    </row>
    <row r="3030" spans="23:23" x14ac:dyDescent="0.2">
      <c r="W3030" s="319"/>
    </row>
    <row r="3031" spans="23:23" x14ac:dyDescent="0.2">
      <c r="W3031" s="319"/>
    </row>
    <row r="3032" spans="23:23" x14ac:dyDescent="0.2">
      <c r="W3032" s="319"/>
    </row>
    <row r="3033" spans="23:23" x14ac:dyDescent="0.2">
      <c r="W3033" s="319"/>
    </row>
    <row r="3034" spans="23:23" x14ac:dyDescent="0.2">
      <c r="W3034" s="319"/>
    </row>
    <row r="3035" spans="23:23" x14ac:dyDescent="0.2">
      <c r="W3035" s="319"/>
    </row>
    <row r="3036" spans="23:23" x14ac:dyDescent="0.2">
      <c r="W3036" s="319"/>
    </row>
    <row r="3037" spans="23:23" x14ac:dyDescent="0.2">
      <c r="W3037" s="319"/>
    </row>
    <row r="3038" spans="23:23" x14ac:dyDescent="0.2">
      <c r="W3038" s="319"/>
    </row>
    <row r="3039" spans="23:23" x14ac:dyDescent="0.2">
      <c r="W3039" s="319"/>
    </row>
    <row r="3040" spans="23:23" x14ac:dyDescent="0.2">
      <c r="W3040" s="319"/>
    </row>
    <row r="3041" spans="23:23" x14ac:dyDescent="0.2">
      <c r="W3041" s="319"/>
    </row>
    <row r="3042" spans="23:23" x14ac:dyDescent="0.2">
      <c r="W3042" s="319"/>
    </row>
    <row r="3043" spans="23:23" x14ac:dyDescent="0.2">
      <c r="W3043" s="319"/>
    </row>
    <row r="3044" spans="23:23" x14ac:dyDescent="0.2">
      <c r="W3044" s="319"/>
    </row>
    <row r="3045" spans="23:23" x14ac:dyDescent="0.2">
      <c r="W3045" s="319"/>
    </row>
    <row r="3046" spans="23:23" x14ac:dyDescent="0.2">
      <c r="W3046" s="319"/>
    </row>
    <row r="3047" spans="23:23" x14ac:dyDescent="0.2">
      <c r="W3047" s="319"/>
    </row>
    <row r="3048" spans="23:23" x14ac:dyDescent="0.2">
      <c r="W3048" s="319"/>
    </row>
    <row r="3049" spans="23:23" x14ac:dyDescent="0.2">
      <c r="W3049" s="319"/>
    </row>
    <row r="3050" spans="23:23" x14ac:dyDescent="0.2">
      <c r="W3050" s="319"/>
    </row>
    <row r="3051" spans="23:23" x14ac:dyDescent="0.2">
      <c r="W3051" s="319"/>
    </row>
    <row r="3052" spans="23:23" x14ac:dyDescent="0.2">
      <c r="W3052" s="319"/>
    </row>
    <row r="3053" spans="23:23" x14ac:dyDescent="0.2">
      <c r="W3053" s="319"/>
    </row>
    <row r="3054" spans="23:23" x14ac:dyDescent="0.2">
      <c r="W3054" s="319"/>
    </row>
    <row r="3055" spans="23:23" x14ac:dyDescent="0.2">
      <c r="W3055" s="319"/>
    </row>
    <row r="3056" spans="23:23" x14ac:dyDescent="0.2">
      <c r="W3056" s="319"/>
    </row>
    <row r="3057" spans="23:23" x14ac:dyDescent="0.2">
      <c r="W3057" s="319"/>
    </row>
    <row r="3058" spans="23:23" x14ac:dyDescent="0.2">
      <c r="W3058" s="319"/>
    </row>
    <row r="3059" spans="23:23" x14ac:dyDescent="0.2">
      <c r="W3059" s="319"/>
    </row>
    <row r="3060" spans="23:23" x14ac:dyDescent="0.2">
      <c r="W3060" s="319"/>
    </row>
    <row r="3061" spans="23:23" x14ac:dyDescent="0.2">
      <c r="W3061" s="319"/>
    </row>
    <row r="3062" spans="23:23" x14ac:dyDescent="0.2">
      <c r="W3062" s="319"/>
    </row>
    <row r="3063" spans="23:23" x14ac:dyDescent="0.2">
      <c r="W3063" s="319"/>
    </row>
    <row r="3064" spans="23:23" x14ac:dyDescent="0.2">
      <c r="W3064" s="319"/>
    </row>
    <row r="3065" spans="23:23" x14ac:dyDescent="0.2">
      <c r="W3065" s="319"/>
    </row>
    <row r="3066" spans="23:23" x14ac:dyDescent="0.2">
      <c r="W3066" s="319"/>
    </row>
    <row r="3067" spans="23:23" x14ac:dyDescent="0.2">
      <c r="W3067" s="319"/>
    </row>
    <row r="3068" spans="23:23" x14ac:dyDescent="0.2">
      <c r="W3068" s="319"/>
    </row>
    <row r="3069" spans="23:23" x14ac:dyDescent="0.2">
      <c r="W3069" s="319"/>
    </row>
    <row r="3070" spans="23:23" x14ac:dyDescent="0.2">
      <c r="W3070" s="319"/>
    </row>
    <row r="3071" spans="23:23" x14ac:dyDescent="0.2">
      <c r="W3071" s="319"/>
    </row>
    <row r="3072" spans="23:23" x14ac:dyDescent="0.2">
      <c r="W3072" s="319"/>
    </row>
    <row r="3073" spans="23:23" x14ac:dyDescent="0.2">
      <c r="W3073" s="319"/>
    </row>
    <row r="3074" spans="23:23" x14ac:dyDescent="0.2">
      <c r="W3074" s="319"/>
    </row>
    <row r="3075" spans="23:23" x14ac:dyDescent="0.2">
      <c r="W3075" s="319"/>
    </row>
    <row r="3076" spans="23:23" x14ac:dyDescent="0.2">
      <c r="W3076" s="319"/>
    </row>
    <row r="3077" spans="23:23" x14ac:dyDescent="0.2">
      <c r="W3077" s="319"/>
    </row>
    <row r="3078" spans="23:23" x14ac:dyDescent="0.2">
      <c r="W3078" s="319"/>
    </row>
    <row r="3079" spans="23:23" x14ac:dyDescent="0.2">
      <c r="W3079" s="319"/>
    </row>
    <row r="3080" spans="23:23" x14ac:dyDescent="0.2">
      <c r="W3080" s="319"/>
    </row>
    <row r="3081" spans="23:23" x14ac:dyDescent="0.2">
      <c r="W3081" s="319"/>
    </row>
    <row r="3082" spans="23:23" x14ac:dyDescent="0.2">
      <c r="W3082" s="319"/>
    </row>
    <row r="3083" spans="23:23" x14ac:dyDescent="0.2">
      <c r="W3083" s="319"/>
    </row>
    <row r="3084" spans="23:23" x14ac:dyDescent="0.2">
      <c r="W3084" s="319"/>
    </row>
    <row r="3085" spans="23:23" x14ac:dyDescent="0.2">
      <c r="W3085" s="319"/>
    </row>
    <row r="3086" spans="23:23" x14ac:dyDescent="0.2">
      <c r="W3086" s="319"/>
    </row>
    <row r="3087" spans="23:23" x14ac:dyDescent="0.2">
      <c r="W3087" s="319"/>
    </row>
    <row r="3088" spans="23:23" x14ac:dyDescent="0.2">
      <c r="W3088" s="319"/>
    </row>
    <row r="3089" spans="23:23" x14ac:dyDescent="0.2">
      <c r="W3089" s="319"/>
    </row>
    <row r="3090" spans="23:23" x14ac:dyDescent="0.2">
      <c r="W3090" s="319"/>
    </row>
    <row r="3091" spans="23:23" x14ac:dyDescent="0.2">
      <c r="W3091" s="319"/>
    </row>
    <row r="3092" spans="23:23" x14ac:dyDescent="0.2">
      <c r="W3092" s="319"/>
    </row>
    <row r="3093" spans="23:23" x14ac:dyDescent="0.2">
      <c r="W3093" s="319"/>
    </row>
    <row r="3094" spans="23:23" x14ac:dyDescent="0.2">
      <c r="W3094" s="319"/>
    </row>
    <row r="3095" spans="23:23" x14ac:dyDescent="0.2">
      <c r="W3095" s="319"/>
    </row>
    <row r="3096" spans="23:23" x14ac:dyDescent="0.2">
      <c r="W3096" s="319"/>
    </row>
    <row r="3097" spans="23:23" x14ac:dyDescent="0.2">
      <c r="W3097" s="319"/>
    </row>
    <row r="3098" spans="23:23" x14ac:dyDescent="0.2">
      <c r="W3098" s="319"/>
    </row>
    <row r="3099" spans="23:23" x14ac:dyDescent="0.2">
      <c r="W3099" s="319"/>
    </row>
    <row r="3100" spans="23:23" x14ac:dyDescent="0.2">
      <c r="W3100" s="319"/>
    </row>
    <row r="3101" spans="23:23" x14ac:dyDescent="0.2">
      <c r="W3101" s="319"/>
    </row>
    <row r="3102" spans="23:23" x14ac:dyDescent="0.2">
      <c r="W3102" s="319"/>
    </row>
    <row r="3103" spans="23:23" x14ac:dyDescent="0.2">
      <c r="W3103" s="319"/>
    </row>
    <row r="3104" spans="23:23" x14ac:dyDescent="0.2">
      <c r="W3104" s="319"/>
    </row>
    <row r="3105" spans="23:23" x14ac:dyDescent="0.2">
      <c r="W3105" s="319"/>
    </row>
    <row r="3106" spans="23:23" x14ac:dyDescent="0.2">
      <c r="W3106" s="319"/>
    </row>
    <row r="3107" spans="23:23" x14ac:dyDescent="0.2">
      <c r="W3107" s="319"/>
    </row>
    <row r="3108" spans="23:23" x14ac:dyDescent="0.2">
      <c r="W3108" s="319"/>
    </row>
    <row r="3109" spans="23:23" x14ac:dyDescent="0.2">
      <c r="W3109" s="319"/>
    </row>
    <row r="3110" spans="23:23" x14ac:dyDescent="0.2">
      <c r="W3110" s="319"/>
    </row>
    <row r="3111" spans="23:23" x14ac:dyDescent="0.2">
      <c r="W3111" s="319"/>
    </row>
    <row r="3112" spans="23:23" x14ac:dyDescent="0.2">
      <c r="W3112" s="319"/>
    </row>
    <row r="3113" spans="23:23" x14ac:dyDescent="0.2">
      <c r="W3113" s="319"/>
    </row>
    <row r="3114" spans="23:23" x14ac:dyDescent="0.2">
      <c r="W3114" s="319"/>
    </row>
    <row r="3115" spans="23:23" x14ac:dyDescent="0.2">
      <c r="W3115" s="319"/>
    </row>
    <row r="3116" spans="23:23" x14ac:dyDescent="0.2">
      <c r="W3116" s="319"/>
    </row>
    <row r="3117" spans="23:23" x14ac:dyDescent="0.2">
      <c r="W3117" s="319"/>
    </row>
    <row r="3118" spans="23:23" x14ac:dyDescent="0.2">
      <c r="W3118" s="319"/>
    </row>
    <row r="3119" spans="23:23" x14ac:dyDescent="0.2">
      <c r="W3119" s="319"/>
    </row>
    <row r="3120" spans="23:23" x14ac:dyDescent="0.2">
      <c r="W3120" s="319"/>
    </row>
    <row r="3121" spans="23:23" x14ac:dyDescent="0.2">
      <c r="W3121" s="319"/>
    </row>
    <row r="3122" spans="23:23" x14ac:dyDescent="0.2">
      <c r="W3122" s="319"/>
    </row>
    <row r="3123" spans="23:23" x14ac:dyDescent="0.2">
      <c r="W3123" s="319"/>
    </row>
    <row r="3124" spans="23:23" x14ac:dyDescent="0.2">
      <c r="W3124" s="319"/>
    </row>
    <row r="3125" spans="23:23" x14ac:dyDescent="0.2">
      <c r="W3125" s="319"/>
    </row>
    <row r="3126" spans="23:23" x14ac:dyDescent="0.2">
      <c r="W3126" s="319"/>
    </row>
    <row r="3127" spans="23:23" x14ac:dyDescent="0.2">
      <c r="W3127" s="319"/>
    </row>
    <row r="3128" spans="23:23" x14ac:dyDescent="0.2">
      <c r="W3128" s="319"/>
    </row>
    <row r="3129" spans="23:23" x14ac:dyDescent="0.2">
      <c r="W3129" s="319"/>
    </row>
    <row r="3130" spans="23:23" x14ac:dyDescent="0.2">
      <c r="W3130" s="319"/>
    </row>
    <row r="3131" spans="23:23" x14ac:dyDescent="0.2">
      <c r="W3131" s="319"/>
    </row>
    <row r="3132" spans="23:23" x14ac:dyDescent="0.2">
      <c r="W3132" s="319"/>
    </row>
    <row r="3133" spans="23:23" x14ac:dyDescent="0.2">
      <c r="W3133" s="319"/>
    </row>
    <row r="3134" spans="23:23" x14ac:dyDescent="0.2">
      <c r="W3134" s="319"/>
    </row>
    <row r="3135" spans="23:23" x14ac:dyDescent="0.2">
      <c r="W3135" s="319"/>
    </row>
    <row r="3136" spans="23:23" x14ac:dyDescent="0.2">
      <c r="W3136" s="319"/>
    </row>
    <row r="3137" spans="23:23" x14ac:dyDescent="0.2">
      <c r="W3137" s="319"/>
    </row>
    <row r="3138" spans="23:23" x14ac:dyDescent="0.2">
      <c r="W3138" s="319"/>
    </row>
    <row r="3139" spans="23:23" x14ac:dyDescent="0.2">
      <c r="W3139" s="319"/>
    </row>
    <row r="3140" spans="23:23" x14ac:dyDescent="0.2">
      <c r="W3140" s="319"/>
    </row>
    <row r="3141" spans="23:23" x14ac:dyDescent="0.2">
      <c r="W3141" s="319"/>
    </row>
    <row r="3142" spans="23:23" x14ac:dyDescent="0.2">
      <c r="W3142" s="319"/>
    </row>
    <row r="3143" spans="23:23" x14ac:dyDescent="0.2">
      <c r="W3143" s="319"/>
    </row>
    <row r="3144" spans="23:23" x14ac:dyDescent="0.2">
      <c r="W3144" s="319"/>
    </row>
    <row r="3145" spans="23:23" x14ac:dyDescent="0.2">
      <c r="W3145" s="319"/>
    </row>
    <row r="3146" spans="23:23" x14ac:dyDescent="0.2">
      <c r="W3146" s="319"/>
    </row>
    <row r="3147" spans="23:23" x14ac:dyDescent="0.2">
      <c r="W3147" s="319"/>
    </row>
    <row r="3148" spans="23:23" x14ac:dyDescent="0.2">
      <c r="W3148" s="319"/>
    </row>
    <row r="3149" spans="23:23" x14ac:dyDescent="0.2">
      <c r="W3149" s="319"/>
    </row>
    <row r="3150" spans="23:23" x14ac:dyDescent="0.2">
      <c r="W3150" s="319"/>
    </row>
    <row r="3151" spans="23:23" x14ac:dyDescent="0.2">
      <c r="W3151" s="319"/>
    </row>
    <row r="3152" spans="23:23" x14ac:dyDescent="0.2">
      <c r="W3152" s="319"/>
    </row>
    <row r="3153" spans="23:23" x14ac:dyDescent="0.2">
      <c r="W3153" s="319"/>
    </row>
    <row r="3154" spans="23:23" x14ac:dyDescent="0.2">
      <c r="W3154" s="319"/>
    </row>
    <row r="3155" spans="23:23" x14ac:dyDescent="0.2">
      <c r="W3155" s="319"/>
    </row>
    <row r="3156" spans="23:23" x14ac:dyDescent="0.2">
      <c r="W3156" s="319"/>
    </row>
    <row r="3157" spans="23:23" x14ac:dyDescent="0.2">
      <c r="W3157" s="319"/>
    </row>
    <row r="3158" spans="23:23" x14ac:dyDescent="0.2">
      <c r="W3158" s="319"/>
    </row>
    <row r="3159" spans="23:23" x14ac:dyDescent="0.2">
      <c r="W3159" s="319"/>
    </row>
    <row r="3160" spans="23:23" x14ac:dyDescent="0.2">
      <c r="W3160" s="319"/>
    </row>
    <row r="3161" spans="23:23" x14ac:dyDescent="0.2">
      <c r="W3161" s="319"/>
    </row>
    <row r="3162" spans="23:23" x14ac:dyDescent="0.2">
      <c r="W3162" s="319"/>
    </row>
    <row r="3163" spans="23:23" x14ac:dyDescent="0.2">
      <c r="W3163" s="319"/>
    </row>
    <row r="3164" spans="23:23" x14ac:dyDescent="0.2">
      <c r="W3164" s="319"/>
    </row>
    <row r="3165" spans="23:23" x14ac:dyDescent="0.2">
      <c r="W3165" s="319"/>
    </row>
    <row r="3166" spans="23:23" x14ac:dyDescent="0.2">
      <c r="W3166" s="319"/>
    </row>
    <row r="3167" spans="23:23" x14ac:dyDescent="0.2">
      <c r="W3167" s="319"/>
    </row>
    <row r="3168" spans="23:23" x14ac:dyDescent="0.2">
      <c r="W3168" s="319"/>
    </row>
    <row r="3169" spans="23:23" x14ac:dyDescent="0.2">
      <c r="W3169" s="319"/>
    </row>
    <row r="3170" spans="23:23" x14ac:dyDescent="0.2">
      <c r="W3170" s="319"/>
    </row>
    <row r="3171" spans="23:23" x14ac:dyDescent="0.2">
      <c r="W3171" s="319"/>
    </row>
    <row r="3172" spans="23:23" x14ac:dyDescent="0.2">
      <c r="W3172" s="319"/>
    </row>
    <row r="3173" spans="23:23" x14ac:dyDescent="0.2">
      <c r="W3173" s="319"/>
    </row>
    <row r="3174" spans="23:23" x14ac:dyDescent="0.2">
      <c r="W3174" s="319"/>
    </row>
    <row r="3175" spans="23:23" x14ac:dyDescent="0.2">
      <c r="W3175" s="319"/>
    </row>
    <row r="3176" spans="23:23" x14ac:dyDescent="0.2">
      <c r="W3176" s="319"/>
    </row>
    <row r="3177" spans="23:23" x14ac:dyDescent="0.2">
      <c r="W3177" s="319"/>
    </row>
    <row r="3178" spans="23:23" x14ac:dyDescent="0.2">
      <c r="W3178" s="319"/>
    </row>
    <row r="3179" spans="23:23" x14ac:dyDescent="0.2">
      <c r="W3179" s="319"/>
    </row>
    <row r="3180" spans="23:23" x14ac:dyDescent="0.2">
      <c r="W3180" s="319"/>
    </row>
    <row r="3181" spans="23:23" x14ac:dyDescent="0.2">
      <c r="W3181" s="319"/>
    </row>
    <row r="3182" spans="23:23" x14ac:dyDescent="0.2">
      <c r="W3182" s="319"/>
    </row>
    <row r="3183" spans="23:23" x14ac:dyDescent="0.2">
      <c r="W3183" s="319"/>
    </row>
    <row r="3184" spans="23:23" x14ac:dyDescent="0.2">
      <c r="W3184" s="319"/>
    </row>
    <row r="3185" spans="23:23" x14ac:dyDescent="0.2">
      <c r="W3185" s="319"/>
    </row>
    <row r="3186" spans="23:23" x14ac:dyDescent="0.2">
      <c r="W3186" s="319"/>
    </row>
    <row r="3187" spans="23:23" x14ac:dyDescent="0.2">
      <c r="W3187" s="319"/>
    </row>
    <row r="3188" spans="23:23" x14ac:dyDescent="0.2">
      <c r="W3188" s="319"/>
    </row>
    <row r="3189" spans="23:23" x14ac:dyDescent="0.2">
      <c r="W3189" s="319"/>
    </row>
    <row r="3190" spans="23:23" x14ac:dyDescent="0.2">
      <c r="W3190" s="319"/>
    </row>
    <row r="3191" spans="23:23" x14ac:dyDescent="0.2">
      <c r="W3191" s="319"/>
    </row>
    <row r="3192" spans="23:23" x14ac:dyDescent="0.2">
      <c r="W3192" s="319"/>
    </row>
    <row r="3193" spans="23:23" x14ac:dyDescent="0.2">
      <c r="W3193" s="319"/>
    </row>
    <row r="3194" spans="23:23" x14ac:dyDescent="0.2">
      <c r="W3194" s="319"/>
    </row>
    <row r="3195" spans="23:23" x14ac:dyDescent="0.2">
      <c r="W3195" s="319"/>
    </row>
    <row r="3196" spans="23:23" x14ac:dyDescent="0.2">
      <c r="W3196" s="319"/>
    </row>
    <row r="3197" spans="23:23" x14ac:dyDescent="0.2">
      <c r="W3197" s="319"/>
    </row>
    <row r="3198" spans="23:23" x14ac:dyDescent="0.2">
      <c r="W3198" s="319"/>
    </row>
    <row r="3199" spans="23:23" x14ac:dyDescent="0.2">
      <c r="W3199" s="319"/>
    </row>
    <row r="3200" spans="23:23" x14ac:dyDescent="0.2">
      <c r="W3200" s="319"/>
    </row>
    <row r="3201" spans="23:23" x14ac:dyDescent="0.2">
      <c r="W3201" s="319"/>
    </row>
    <row r="3202" spans="23:23" x14ac:dyDescent="0.2">
      <c r="W3202" s="319"/>
    </row>
    <row r="3203" spans="23:23" x14ac:dyDescent="0.2">
      <c r="W3203" s="319"/>
    </row>
    <row r="3204" spans="23:23" x14ac:dyDescent="0.2">
      <c r="W3204" s="319"/>
    </row>
    <row r="3205" spans="23:23" x14ac:dyDescent="0.2">
      <c r="W3205" s="319"/>
    </row>
    <row r="3206" spans="23:23" x14ac:dyDescent="0.2">
      <c r="W3206" s="319"/>
    </row>
    <row r="3207" spans="23:23" x14ac:dyDescent="0.2">
      <c r="W3207" s="319"/>
    </row>
    <row r="3208" spans="23:23" x14ac:dyDescent="0.2">
      <c r="W3208" s="319"/>
    </row>
    <row r="3209" spans="23:23" x14ac:dyDescent="0.2">
      <c r="W3209" s="319"/>
    </row>
    <row r="3210" spans="23:23" x14ac:dyDescent="0.2">
      <c r="W3210" s="319"/>
    </row>
    <row r="3211" spans="23:23" x14ac:dyDescent="0.2">
      <c r="W3211" s="319"/>
    </row>
    <row r="3212" spans="23:23" x14ac:dyDescent="0.2">
      <c r="W3212" s="319"/>
    </row>
    <row r="3213" spans="23:23" x14ac:dyDescent="0.2">
      <c r="W3213" s="319"/>
    </row>
    <row r="3214" spans="23:23" x14ac:dyDescent="0.2">
      <c r="W3214" s="319"/>
    </row>
    <row r="3215" spans="23:23" x14ac:dyDescent="0.2">
      <c r="W3215" s="319"/>
    </row>
    <row r="3216" spans="23:23" x14ac:dyDescent="0.2">
      <c r="W3216" s="319"/>
    </row>
    <row r="3217" spans="23:23" x14ac:dyDescent="0.2">
      <c r="W3217" s="319"/>
    </row>
    <row r="3218" spans="23:23" x14ac:dyDescent="0.2">
      <c r="W3218" s="319"/>
    </row>
    <row r="3219" spans="23:23" x14ac:dyDescent="0.2">
      <c r="W3219" s="319"/>
    </row>
    <row r="3220" spans="23:23" x14ac:dyDescent="0.2">
      <c r="W3220" s="319"/>
    </row>
    <row r="3221" spans="23:23" x14ac:dyDescent="0.2">
      <c r="W3221" s="319"/>
    </row>
    <row r="3222" spans="23:23" x14ac:dyDescent="0.2">
      <c r="W3222" s="319"/>
    </row>
    <row r="3223" spans="23:23" x14ac:dyDescent="0.2">
      <c r="W3223" s="319"/>
    </row>
    <row r="3224" spans="23:23" x14ac:dyDescent="0.2">
      <c r="W3224" s="319"/>
    </row>
    <row r="3225" spans="23:23" x14ac:dyDescent="0.2">
      <c r="W3225" s="319"/>
    </row>
    <row r="3226" spans="23:23" x14ac:dyDescent="0.2">
      <c r="W3226" s="319"/>
    </row>
    <row r="3227" spans="23:23" x14ac:dyDescent="0.2">
      <c r="W3227" s="319"/>
    </row>
    <row r="3228" spans="23:23" x14ac:dyDescent="0.2">
      <c r="W3228" s="319"/>
    </row>
    <row r="3229" spans="23:23" x14ac:dyDescent="0.2">
      <c r="W3229" s="319"/>
    </row>
    <row r="3230" spans="23:23" x14ac:dyDescent="0.2">
      <c r="W3230" s="319"/>
    </row>
    <row r="3231" spans="23:23" x14ac:dyDescent="0.2">
      <c r="W3231" s="319"/>
    </row>
    <row r="3232" spans="23:23" x14ac:dyDescent="0.2">
      <c r="W3232" s="319"/>
    </row>
    <row r="3233" spans="23:23" x14ac:dyDescent="0.2">
      <c r="W3233" s="319"/>
    </row>
    <row r="3234" spans="23:23" x14ac:dyDescent="0.2">
      <c r="W3234" s="319"/>
    </row>
    <row r="3235" spans="23:23" x14ac:dyDescent="0.2">
      <c r="W3235" s="319"/>
    </row>
    <row r="3236" spans="23:23" x14ac:dyDescent="0.2">
      <c r="W3236" s="319"/>
    </row>
    <row r="3237" spans="23:23" x14ac:dyDescent="0.2">
      <c r="W3237" s="319"/>
    </row>
    <row r="3238" spans="23:23" x14ac:dyDescent="0.2">
      <c r="W3238" s="319"/>
    </row>
    <row r="3239" spans="23:23" x14ac:dyDescent="0.2">
      <c r="W3239" s="319"/>
    </row>
    <row r="3240" spans="23:23" x14ac:dyDescent="0.2">
      <c r="W3240" s="319"/>
    </row>
    <row r="3241" spans="23:23" x14ac:dyDescent="0.2">
      <c r="W3241" s="319"/>
    </row>
    <row r="3242" spans="23:23" x14ac:dyDescent="0.2">
      <c r="W3242" s="319"/>
    </row>
    <row r="3243" spans="23:23" x14ac:dyDescent="0.2">
      <c r="W3243" s="319"/>
    </row>
    <row r="3244" spans="23:23" x14ac:dyDescent="0.2">
      <c r="W3244" s="319"/>
    </row>
    <row r="3245" spans="23:23" x14ac:dyDescent="0.2">
      <c r="W3245" s="319"/>
    </row>
    <row r="3246" spans="23:23" x14ac:dyDescent="0.2">
      <c r="W3246" s="319"/>
    </row>
    <row r="3247" spans="23:23" x14ac:dyDescent="0.2">
      <c r="W3247" s="319"/>
    </row>
    <row r="3248" spans="23:23" x14ac:dyDescent="0.2">
      <c r="W3248" s="319"/>
    </row>
    <row r="3249" spans="23:23" x14ac:dyDescent="0.2">
      <c r="W3249" s="319"/>
    </row>
    <row r="3250" spans="23:23" x14ac:dyDescent="0.2">
      <c r="W3250" s="319"/>
    </row>
    <row r="3251" spans="23:23" x14ac:dyDescent="0.2">
      <c r="W3251" s="319"/>
    </row>
    <row r="3252" spans="23:23" x14ac:dyDescent="0.2">
      <c r="W3252" s="319"/>
    </row>
    <row r="3253" spans="23:23" x14ac:dyDescent="0.2">
      <c r="W3253" s="319"/>
    </row>
    <row r="3254" spans="23:23" x14ac:dyDescent="0.2">
      <c r="W3254" s="319"/>
    </row>
    <row r="3255" spans="23:23" x14ac:dyDescent="0.2">
      <c r="W3255" s="319"/>
    </row>
    <row r="3256" spans="23:23" x14ac:dyDescent="0.2">
      <c r="W3256" s="319"/>
    </row>
    <row r="3257" spans="23:23" x14ac:dyDescent="0.2">
      <c r="W3257" s="319"/>
    </row>
    <row r="3258" spans="23:23" x14ac:dyDescent="0.2">
      <c r="W3258" s="319"/>
    </row>
    <row r="3259" spans="23:23" x14ac:dyDescent="0.2">
      <c r="W3259" s="319"/>
    </row>
    <row r="3260" spans="23:23" x14ac:dyDescent="0.2">
      <c r="W3260" s="319"/>
    </row>
    <row r="3261" spans="23:23" x14ac:dyDescent="0.2">
      <c r="W3261" s="319"/>
    </row>
    <row r="3262" spans="23:23" x14ac:dyDescent="0.2">
      <c r="W3262" s="319"/>
    </row>
    <row r="3263" spans="23:23" x14ac:dyDescent="0.2">
      <c r="W3263" s="319"/>
    </row>
    <row r="3264" spans="23:23" x14ac:dyDescent="0.2">
      <c r="W3264" s="319"/>
    </row>
    <row r="3265" spans="23:23" x14ac:dyDescent="0.2">
      <c r="W3265" s="319"/>
    </row>
    <row r="3266" spans="23:23" x14ac:dyDescent="0.2">
      <c r="W3266" s="319"/>
    </row>
    <row r="3267" spans="23:23" x14ac:dyDescent="0.2">
      <c r="W3267" s="319"/>
    </row>
    <row r="3268" spans="23:23" x14ac:dyDescent="0.2">
      <c r="W3268" s="319"/>
    </row>
    <row r="3269" spans="23:23" x14ac:dyDescent="0.2">
      <c r="W3269" s="319"/>
    </row>
    <row r="3270" spans="23:23" x14ac:dyDescent="0.2">
      <c r="W3270" s="319"/>
    </row>
    <row r="3271" spans="23:23" x14ac:dyDescent="0.2">
      <c r="W3271" s="319"/>
    </row>
    <row r="3272" spans="23:23" x14ac:dyDescent="0.2">
      <c r="W3272" s="319"/>
    </row>
    <row r="3273" spans="23:23" x14ac:dyDescent="0.2">
      <c r="W3273" s="319"/>
    </row>
    <row r="3274" spans="23:23" x14ac:dyDescent="0.2">
      <c r="W3274" s="319"/>
    </row>
    <row r="3275" spans="23:23" x14ac:dyDescent="0.2">
      <c r="W3275" s="319"/>
    </row>
    <row r="3276" spans="23:23" x14ac:dyDescent="0.2">
      <c r="W3276" s="319"/>
    </row>
    <row r="3277" spans="23:23" x14ac:dyDescent="0.2">
      <c r="W3277" s="319"/>
    </row>
    <row r="3278" spans="23:23" x14ac:dyDescent="0.2">
      <c r="W3278" s="319"/>
    </row>
    <row r="3279" spans="23:23" x14ac:dyDescent="0.2">
      <c r="W3279" s="319"/>
    </row>
    <row r="3280" spans="23:23" x14ac:dyDescent="0.2">
      <c r="W3280" s="319"/>
    </row>
    <row r="3281" spans="23:23" x14ac:dyDescent="0.2">
      <c r="W3281" s="319"/>
    </row>
    <row r="3282" spans="23:23" x14ac:dyDescent="0.2">
      <c r="W3282" s="319"/>
    </row>
    <row r="3283" spans="23:23" x14ac:dyDescent="0.2">
      <c r="W3283" s="319"/>
    </row>
    <row r="3284" spans="23:23" x14ac:dyDescent="0.2">
      <c r="W3284" s="319"/>
    </row>
    <row r="3285" spans="23:23" x14ac:dyDescent="0.2">
      <c r="W3285" s="319"/>
    </row>
    <row r="3286" spans="23:23" x14ac:dyDescent="0.2">
      <c r="W3286" s="319"/>
    </row>
    <row r="3287" spans="23:23" x14ac:dyDescent="0.2">
      <c r="W3287" s="319"/>
    </row>
    <row r="3288" spans="23:23" x14ac:dyDescent="0.2">
      <c r="W3288" s="319"/>
    </row>
    <row r="3289" spans="23:23" x14ac:dyDescent="0.2">
      <c r="W3289" s="319"/>
    </row>
    <row r="3290" spans="23:23" x14ac:dyDescent="0.2">
      <c r="W3290" s="319"/>
    </row>
    <row r="3291" spans="23:23" x14ac:dyDescent="0.2">
      <c r="W3291" s="319"/>
    </row>
    <row r="3292" spans="23:23" x14ac:dyDescent="0.2">
      <c r="W3292" s="319"/>
    </row>
    <row r="3293" spans="23:23" x14ac:dyDescent="0.2">
      <c r="W3293" s="319"/>
    </row>
    <row r="3294" spans="23:23" x14ac:dyDescent="0.2">
      <c r="W3294" s="319"/>
    </row>
    <row r="3295" spans="23:23" x14ac:dyDescent="0.2">
      <c r="W3295" s="319"/>
    </row>
    <row r="3296" spans="23:23" x14ac:dyDescent="0.2">
      <c r="W3296" s="319"/>
    </row>
    <row r="3297" spans="23:23" x14ac:dyDescent="0.2">
      <c r="W3297" s="319"/>
    </row>
    <row r="3298" spans="23:23" x14ac:dyDescent="0.2">
      <c r="W3298" s="319"/>
    </row>
    <row r="3299" spans="23:23" x14ac:dyDescent="0.2">
      <c r="W3299" s="319"/>
    </row>
    <row r="3300" spans="23:23" x14ac:dyDescent="0.2">
      <c r="W3300" s="319"/>
    </row>
    <row r="3301" spans="23:23" x14ac:dyDescent="0.2">
      <c r="W3301" s="319"/>
    </row>
    <row r="3302" spans="23:23" x14ac:dyDescent="0.2">
      <c r="W3302" s="319"/>
    </row>
    <row r="3303" spans="23:23" x14ac:dyDescent="0.2">
      <c r="W3303" s="319"/>
    </row>
    <row r="3304" spans="23:23" x14ac:dyDescent="0.2">
      <c r="W3304" s="319"/>
    </row>
    <row r="3305" spans="23:23" x14ac:dyDescent="0.2">
      <c r="W3305" s="319"/>
    </row>
    <row r="3306" spans="23:23" x14ac:dyDescent="0.2">
      <c r="W3306" s="319"/>
    </row>
    <row r="3307" spans="23:23" x14ac:dyDescent="0.2">
      <c r="W3307" s="319"/>
    </row>
    <row r="3308" spans="23:23" x14ac:dyDescent="0.2">
      <c r="W3308" s="319"/>
    </row>
    <row r="3309" spans="23:23" x14ac:dyDescent="0.2">
      <c r="W3309" s="319"/>
    </row>
    <row r="3310" spans="23:23" x14ac:dyDescent="0.2">
      <c r="W3310" s="319"/>
    </row>
    <row r="3311" spans="23:23" x14ac:dyDescent="0.2">
      <c r="W3311" s="319"/>
    </row>
    <row r="3312" spans="23:23" x14ac:dyDescent="0.2">
      <c r="W3312" s="319"/>
    </row>
    <row r="3313" spans="23:23" x14ac:dyDescent="0.2">
      <c r="W3313" s="319"/>
    </row>
    <row r="3314" spans="23:23" x14ac:dyDescent="0.2">
      <c r="W3314" s="319"/>
    </row>
    <row r="3315" spans="23:23" x14ac:dyDescent="0.2">
      <c r="W3315" s="319"/>
    </row>
    <row r="3316" spans="23:23" x14ac:dyDescent="0.2">
      <c r="W3316" s="319"/>
    </row>
    <row r="3317" spans="23:23" x14ac:dyDescent="0.2">
      <c r="W3317" s="319"/>
    </row>
    <row r="3318" spans="23:23" x14ac:dyDescent="0.2">
      <c r="W3318" s="319"/>
    </row>
    <row r="3319" spans="23:23" x14ac:dyDescent="0.2">
      <c r="W3319" s="319"/>
    </row>
    <row r="3320" spans="23:23" x14ac:dyDescent="0.2">
      <c r="W3320" s="319"/>
    </row>
    <row r="3321" spans="23:23" x14ac:dyDescent="0.2">
      <c r="W3321" s="319"/>
    </row>
    <row r="3322" spans="23:23" x14ac:dyDescent="0.2">
      <c r="W3322" s="319"/>
    </row>
    <row r="3323" spans="23:23" x14ac:dyDescent="0.2">
      <c r="W3323" s="319"/>
    </row>
    <row r="3324" spans="23:23" x14ac:dyDescent="0.2">
      <c r="W3324" s="319"/>
    </row>
    <row r="3325" spans="23:23" x14ac:dyDescent="0.2">
      <c r="W3325" s="319"/>
    </row>
    <row r="3326" spans="23:23" x14ac:dyDescent="0.2">
      <c r="W3326" s="319"/>
    </row>
    <row r="3327" spans="23:23" x14ac:dyDescent="0.2">
      <c r="W3327" s="319"/>
    </row>
    <row r="3328" spans="23:23" x14ac:dyDescent="0.2">
      <c r="W3328" s="319"/>
    </row>
    <row r="3329" spans="23:23" x14ac:dyDescent="0.2">
      <c r="W3329" s="319"/>
    </row>
    <row r="3330" spans="23:23" x14ac:dyDescent="0.2">
      <c r="W3330" s="319"/>
    </row>
    <row r="3331" spans="23:23" x14ac:dyDescent="0.2">
      <c r="W3331" s="319"/>
    </row>
    <row r="3332" spans="23:23" x14ac:dyDescent="0.2">
      <c r="W3332" s="319"/>
    </row>
    <row r="3333" spans="23:23" x14ac:dyDescent="0.2">
      <c r="W3333" s="319"/>
    </row>
    <row r="3334" spans="23:23" x14ac:dyDescent="0.2">
      <c r="W3334" s="319"/>
    </row>
    <row r="3335" spans="23:23" x14ac:dyDescent="0.2">
      <c r="W3335" s="319"/>
    </row>
    <row r="3336" spans="23:23" x14ac:dyDescent="0.2">
      <c r="W3336" s="319"/>
    </row>
    <row r="3337" spans="23:23" x14ac:dyDescent="0.2">
      <c r="W3337" s="319"/>
    </row>
    <row r="3338" spans="23:23" x14ac:dyDescent="0.2">
      <c r="W3338" s="319"/>
    </row>
    <row r="3339" spans="23:23" x14ac:dyDescent="0.2">
      <c r="W3339" s="319"/>
    </row>
    <row r="3340" spans="23:23" x14ac:dyDescent="0.2">
      <c r="W3340" s="319"/>
    </row>
    <row r="3341" spans="23:23" x14ac:dyDescent="0.2">
      <c r="W3341" s="319"/>
    </row>
    <row r="3342" spans="23:23" x14ac:dyDescent="0.2">
      <c r="W3342" s="319"/>
    </row>
    <row r="3343" spans="23:23" x14ac:dyDescent="0.2">
      <c r="W3343" s="319"/>
    </row>
    <row r="3344" spans="23:23" x14ac:dyDescent="0.2">
      <c r="W3344" s="319"/>
    </row>
    <row r="3345" spans="23:23" x14ac:dyDescent="0.2">
      <c r="W3345" s="319"/>
    </row>
    <row r="3346" spans="23:23" x14ac:dyDescent="0.2">
      <c r="W3346" s="319"/>
    </row>
    <row r="3347" spans="23:23" x14ac:dyDescent="0.2">
      <c r="W3347" s="319"/>
    </row>
    <row r="3348" spans="23:23" x14ac:dyDescent="0.2">
      <c r="W3348" s="319"/>
    </row>
    <row r="3349" spans="23:23" x14ac:dyDescent="0.2">
      <c r="W3349" s="319"/>
    </row>
    <row r="3350" spans="23:23" x14ac:dyDescent="0.2">
      <c r="W3350" s="319"/>
    </row>
    <row r="3351" spans="23:23" x14ac:dyDescent="0.2">
      <c r="W3351" s="319"/>
    </row>
    <row r="3352" spans="23:23" x14ac:dyDescent="0.2">
      <c r="W3352" s="319"/>
    </row>
    <row r="3353" spans="23:23" x14ac:dyDescent="0.2">
      <c r="W3353" s="319"/>
    </row>
    <row r="3354" spans="23:23" x14ac:dyDescent="0.2">
      <c r="W3354" s="319"/>
    </row>
    <row r="3355" spans="23:23" x14ac:dyDescent="0.2">
      <c r="W3355" s="319"/>
    </row>
    <row r="3356" spans="23:23" x14ac:dyDescent="0.2">
      <c r="W3356" s="319"/>
    </row>
    <row r="3357" spans="23:23" x14ac:dyDescent="0.2">
      <c r="W3357" s="319"/>
    </row>
    <row r="3358" spans="23:23" x14ac:dyDescent="0.2">
      <c r="W3358" s="319"/>
    </row>
    <row r="3359" spans="23:23" x14ac:dyDescent="0.2">
      <c r="W3359" s="319"/>
    </row>
    <row r="3360" spans="23:23" x14ac:dyDescent="0.2">
      <c r="W3360" s="319"/>
    </row>
    <row r="3361" spans="23:23" x14ac:dyDescent="0.2">
      <c r="W3361" s="319"/>
    </row>
    <row r="3362" spans="23:23" x14ac:dyDescent="0.2">
      <c r="W3362" s="319"/>
    </row>
    <row r="3363" spans="23:23" x14ac:dyDescent="0.2">
      <c r="W3363" s="319"/>
    </row>
    <row r="3364" spans="23:23" x14ac:dyDescent="0.2">
      <c r="W3364" s="319"/>
    </row>
    <row r="3365" spans="23:23" x14ac:dyDescent="0.2">
      <c r="W3365" s="319"/>
    </row>
    <row r="3366" spans="23:23" x14ac:dyDescent="0.2">
      <c r="W3366" s="319"/>
    </row>
    <row r="3367" spans="23:23" x14ac:dyDescent="0.2">
      <c r="W3367" s="319"/>
    </row>
    <row r="3368" spans="23:23" x14ac:dyDescent="0.2">
      <c r="W3368" s="319"/>
    </row>
    <row r="3369" spans="23:23" x14ac:dyDescent="0.2">
      <c r="W3369" s="319"/>
    </row>
    <row r="3370" spans="23:23" x14ac:dyDescent="0.2">
      <c r="W3370" s="319"/>
    </row>
    <row r="3371" spans="23:23" x14ac:dyDescent="0.2">
      <c r="W3371" s="319"/>
    </row>
    <row r="3372" spans="23:23" x14ac:dyDescent="0.2">
      <c r="W3372" s="319"/>
    </row>
    <row r="3373" spans="23:23" x14ac:dyDescent="0.2">
      <c r="W3373" s="319"/>
    </row>
    <row r="3374" spans="23:23" x14ac:dyDescent="0.2">
      <c r="W3374" s="319"/>
    </row>
    <row r="3375" spans="23:23" x14ac:dyDescent="0.2">
      <c r="W3375" s="319"/>
    </row>
    <row r="3376" spans="23:23" x14ac:dyDescent="0.2">
      <c r="W3376" s="319"/>
    </row>
    <row r="3377" spans="23:23" x14ac:dyDescent="0.2">
      <c r="W3377" s="319"/>
    </row>
    <row r="3378" spans="23:23" x14ac:dyDescent="0.2">
      <c r="W3378" s="319"/>
    </row>
    <row r="3379" spans="23:23" x14ac:dyDescent="0.2">
      <c r="W3379" s="319"/>
    </row>
    <row r="3380" spans="23:23" x14ac:dyDescent="0.2">
      <c r="W3380" s="319"/>
    </row>
    <row r="3381" spans="23:23" x14ac:dyDescent="0.2">
      <c r="W3381" s="319"/>
    </row>
    <row r="3382" spans="23:23" x14ac:dyDescent="0.2">
      <c r="W3382" s="319"/>
    </row>
    <row r="3383" spans="23:23" x14ac:dyDescent="0.2">
      <c r="W3383" s="319"/>
    </row>
    <row r="3384" spans="23:23" x14ac:dyDescent="0.2">
      <c r="W3384" s="319"/>
    </row>
    <row r="3385" spans="23:23" x14ac:dyDescent="0.2">
      <c r="W3385" s="319"/>
    </row>
    <row r="3386" spans="23:23" x14ac:dyDescent="0.2">
      <c r="W3386" s="319"/>
    </row>
    <row r="3387" spans="23:23" x14ac:dyDescent="0.2">
      <c r="W3387" s="319"/>
    </row>
    <row r="3388" spans="23:23" x14ac:dyDescent="0.2">
      <c r="W3388" s="319"/>
    </row>
    <row r="3389" spans="23:23" x14ac:dyDescent="0.2">
      <c r="W3389" s="319"/>
    </row>
    <row r="3390" spans="23:23" x14ac:dyDescent="0.2">
      <c r="W3390" s="319"/>
    </row>
    <row r="3391" spans="23:23" x14ac:dyDescent="0.2">
      <c r="W3391" s="319"/>
    </row>
    <row r="3392" spans="23:23" x14ac:dyDescent="0.2">
      <c r="W3392" s="319"/>
    </row>
    <row r="3393" spans="23:23" x14ac:dyDescent="0.2">
      <c r="W3393" s="319"/>
    </row>
    <row r="3394" spans="23:23" x14ac:dyDescent="0.2">
      <c r="W3394" s="319"/>
    </row>
    <row r="3395" spans="23:23" x14ac:dyDescent="0.2">
      <c r="W3395" s="319"/>
    </row>
    <row r="3396" spans="23:23" x14ac:dyDescent="0.2">
      <c r="W3396" s="319"/>
    </row>
    <row r="3397" spans="23:23" x14ac:dyDescent="0.2">
      <c r="W3397" s="319"/>
    </row>
    <row r="3398" spans="23:23" x14ac:dyDescent="0.2">
      <c r="W3398" s="319"/>
    </row>
    <row r="3399" spans="23:23" x14ac:dyDescent="0.2">
      <c r="W3399" s="319"/>
    </row>
    <row r="3400" spans="23:23" x14ac:dyDescent="0.2">
      <c r="W3400" s="319"/>
    </row>
    <row r="3401" spans="23:23" x14ac:dyDescent="0.2">
      <c r="W3401" s="319"/>
    </row>
    <row r="3402" spans="23:23" x14ac:dyDescent="0.2">
      <c r="W3402" s="319"/>
    </row>
    <row r="3403" spans="23:23" x14ac:dyDescent="0.2">
      <c r="W3403" s="319"/>
    </row>
    <row r="3404" spans="23:23" x14ac:dyDescent="0.2">
      <c r="W3404" s="319"/>
    </row>
    <row r="3405" spans="23:23" x14ac:dyDescent="0.2">
      <c r="W3405" s="319"/>
    </row>
    <row r="3406" spans="23:23" x14ac:dyDescent="0.2">
      <c r="W3406" s="319"/>
    </row>
    <row r="3407" spans="23:23" x14ac:dyDescent="0.2">
      <c r="W3407" s="319"/>
    </row>
    <row r="3408" spans="23:23" x14ac:dyDescent="0.2">
      <c r="W3408" s="319"/>
    </row>
    <row r="3409" spans="23:23" x14ac:dyDescent="0.2">
      <c r="W3409" s="319"/>
    </row>
    <row r="3410" spans="23:23" x14ac:dyDescent="0.2">
      <c r="W3410" s="319"/>
    </row>
    <row r="3411" spans="23:23" x14ac:dyDescent="0.2">
      <c r="W3411" s="319"/>
    </row>
    <row r="3412" spans="23:23" x14ac:dyDescent="0.2">
      <c r="W3412" s="319"/>
    </row>
    <row r="3413" spans="23:23" x14ac:dyDescent="0.2">
      <c r="W3413" s="319"/>
    </row>
    <row r="3414" spans="23:23" x14ac:dyDescent="0.2">
      <c r="W3414" s="319"/>
    </row>
    <row r="3415" spans="23:23" x14ac:dyDescent="0.2">
      <c r="W3415" s="319"/>
    </row>
    <row r="3416" spans="23:23" x14ac:dyDescent="0.2">
      <c r="W3416" s="319"/>
    </row>
    <row r="3417" spans="23:23" x14ac:dyDescent="0.2">
      <c r="W3417" s="319"/>
    </row>
    <row r="3418" spans="23:23" x14ac:dyDescent="0.2">
      <c r="W3418" s="319"/>
    </row>
    <row r="3419" spans="23:23" x14ac:dyDescent="0.2">
      <c r="W3419" s="319"/>
    </row>
    <row r="3420" spans="23:23" x14ac:dyDescent="0.2">
      <c r="W3420" s="319"/>
    </row>
    <row r="3421" spans="23:23" x14ac:dyDescent="0.2">
      <c r="W3421" s="319"/>
    </row>
    <row r="3422" spans="23:23" x14ac:dyDescent="0.2">
      <c r="W3422" s="319"/>
    </row>
    <row r="3423" spans="23:23" x14ac:dyDescent="0.2">
      <c r="W3423" s="319"/>
    </row>
    <row r="3424" spans="23:23" x14ac:dyDescent="0.2">
      <c r="W3424" s="319"/>
    </row>
    <row r="3425" spans="23:23" x14ac:dyDescent="0.2">
      <c r="W3425" s="319"/>
    </row>
    <row r="3426" spans="23:23" x14ac:dyDescent="0.2">
      <c r="W3426" s="319"/>
    </row>
    <row r="3427" spans="23:23" x14ac:dyDescent="0.2">
      <c r="W3427" s="319"/>
    </row>
    <row r="3428" spans="23:23" x14ac:dyDescent="0.2">
      <c r="W3428" s="319"/>
    </row>
    <row r="3429" spans="23:23" x14ac:dyDescent="0.2">
      <c r="W3429" s="319"/>
    </row>
    <row r="3430" spans="23:23" x14ac:dyDescent="0.2">
      <c r="W3430" s="319"/>
    </row>
    <row r="3431" spans="23:23" x14ac:dyDescent="0.2">
      <c r="W3431" s="319"/>
    </row>
    <row r="3432" spans="23:23" x14ac:dyDescent="0.2">
      <c r="W3432" s="319"/>
    </row>
    <row r="3433" spans="23:23" x14ac:dyDescent="0.2">
      <c r="W3433" s="319"/>
    </row>
    <row r="3434" spans="23:23" x14ac:dyDescent="0.2">
      <c r="W3434" s="319"/>
    </row>
    <row r="3435" spans="23:23" x14ac:dyDescent="0.2">
      <c r="W3435" s="319"/>
    </row>
    <row r="3436" spans="23:23" x14ac:dyDescent="0.2">
      <c r="W3436" s="319"/>
    </row>
    <row r="3437" spans="23:23" x14ac:dyDescent="0.2">
      <c r="W3437" s="319"/>
    </row>
    <row r="3438" spans="23:23" x14ac:dyDescent="0.2">
      <c r="W3438" s="319"/>
    </row>
    <row r="3439" spans="23:23" x14ac:dyDescent="0.2">
      <c r="W3439" s="319"/>
    </row>
    <row r="3440" spans="23:23" x14ac:dyDescent="0.2">
      <c r="W3440" s="319"/>
    </row>
    <row r="3441" spans="23:23" x14ac:dyDescent="0.2">
      <c r="W3441" s="319"/>
    </row>
    <row r="3442" spans="23:23" x14ac:dyDescent="0.2">
      <c r="W3442" s="319"/>
    </row>
    <row r="3443" spans="23:23" x14ac:dyDescent="0.2">
      <c r="W3443" s="319"/>
    </row>
    <row r="3444" spans="23:23" x14ac:dyDescent="0.2">
      <c r="W3444" s="319"/>
    </row>
    <row r="3445" spans="23:23" x14ac:dyDescent="0.2">
      <c r="W3445" s="319"/>
    </row>
    <row r="3446" spans="23:23" x14ac:dyDescent="0.2">
      <c r="W3446" s="319"/>
    </row>
    <row r="3447" spans="23:23" x14ac:dyDescent="0.2">
      <c r="W3447" s="319"/>
    </row>
    <row r="3448" spans="23:23" x14ac:dyDescent="0.2">
      <c r="W3448" s="319"/>
    </row>
    <row r="3449" spans="23:23" x14ac:dyDescent="0.2">
      <c r="W3449" s="319"/>
    </row>
    <row r="3450" spans="23:23" x14ac:dyDescent="0.2">
      <c r="W3450" s="319"/>
    </row>
    <row r="3451" spans="23:23" x14ac:dyDescent="0.2">
      <c r="W3451" s="319"/>
    </row>
    <row r="3452" spans="23:23" x14ac:dyDescent="0.2">
      <c r="W3452" s="319"/>
    </row>
    <row r="3453" spans="23:23" x14ac:dyDescent="0.2">
      <c r="W3453" s="319"/>
    </row>
    <row r="3454" spans="23:23" x14ac:dyDescent="0.2">
      <c r="W3454" s="319"/>
    </row>
    <row r="3455" spans="23:23" x14ac:dyDescent="0.2">
      <c r="W3455" s="319"/>
    </row>
    <row r="3456" spans="23:23" x14ac:dyDescent="0.2">
      <c r="W3456" s="319"/>
    </row>
    <row r="3457" spans="23:23" x14ac:dyDescent="0.2">
      <c r="W3457" s="319"/>
    </row>
    <row r="3458" spans="23:23" x14ac:dyDescent="0.2">
      <c r="W3458" s="319"/>
    </row>
    <row r="3459" spans="23:23" x14ac:dyDescent="0.2">
      <c r="W3459" s="319"/>
    </row>
    <row r="3460" spans="23:23" x14ac:dyDescent="0.2">
      <c r="W3460" s="319"/>
    </row>
    <row r="3461" spans="23:23" x14ac:dyDescent="0.2">
      <c r="W3461" s="319"/>
    </row>
    <row r="3462" spans="23:23" x14ac:dyDescent="0.2">
      <c r="W3462" s="319"/>
    </row>
    <row r="3463" spans="23:23" x14ac:dyDescent="0.2">
      <c r="W3463" s="319"/>
    </row>
    <row r="3464" spans="23:23" x14ac:dyDescent="0.2">
      <c r="W3464" s="319"/>
    </row>
    <row r="3465" spans="23:23" x14ac:dyDescent="0.2">
      <c r="W3465" s="319"/>
    </row>
    <row r="3466" spans="23:23" x14ac:dyDescent="0.2">
      <c r="W3466" s="319"/>
    </row>
    <row r="3467" spans="23:23" x14ac:dyDescent="0.2">
      <c r="W3467" s="319"/>
    </row>
    <row r="3468" spans="23:23" x14ac:dyDescent="0.2">
      <c r="W3468" s="319"/>
    </row>
    <row r="3469" spans="23:23" x14ac:dyDescent="0.2">
      <c r="W3469" s="319"/>
    </row>
    <row r="3470" spans="23:23" x14ac:dyDescent="0.2">
      <c r="W3470" s="319"/>
    </row>
    <row r="3471" spans="23:23" x14ac:dyDescent="0.2">
      <c r="W3471" s="319"/>
    </row>
    <row r="3472" spans="23:23" x14ac:dyDescent="0.2">
      <c r="W3472" s="319"/>
    </row>
    <row r="3473" spans="23:23" x14ac:dyDescent="0.2">
      <c r="W3473" s="319"/>
    </row>
    <row r="3474" spans="23:23" x14ac:dyDescent="0.2">
      <c r="W3474" s="319"/>
    </row>
    <row r="3475" spans="23:23" x14ac:dyDescent="0.2">
      <c r="W3475" s="319"/>
    </row>
    <row r="3476" spans="23:23" x14ac:dyDescent="0.2">
      <c r="W3476" s="319"/>
    </row>
    <row r="3477" spans="23:23" x14ac:dyDescent="0.2">
      <c r="W3477" s="319"/>
    </row>
    <row r="3478" spans="23:23" x14ac:dyDescent="0.2">
      <c r="W3478" s="319"/>
    </row>
    <row r="3479" spans="23:23" x14ac:dyDescent="0.2">
      <c r="W3479" s="319"/>
    </row>
    <row r="3480" spans="23:23" x14ac:dyDescent="0.2">
      <c r="W3480" s="319"/>
    </row>
    <row r="3481" spans="23:23" x14ac:dyDescent="0.2">
      <c r="W3481" s="319"/>
    </row>
    <row r="3482" spans="23:23" x14ac:dyDescent="0.2">
      <c r="W3482" s="319"/>
    </row>
    <row r="3483" spans="23:23" x14ac:dyDescent="0.2">
      <c r="W3483" s="319"/>
    </row>
    <row r="3484" spans="23:23" x14ac:dyDescent="0.2">
      <c r="W3484" s="319"/>
    </row>
    <row r="3485" spans="23:23" x14ac:dyDescent="0.2">
      <c r="W3485" s="319"/>
    </row>
    <row r="3486" spans="23:23" x14ac:dyDescent="0.2">
      <c r="W3486" s="319"/>
    </row>
    <row r="3487" spans="23:23" x14ac:dyDescent="0.2">
      <c r="W3487" s="319"/>
    </row>
    <row r="3488" spans="23:23" x14ac:dyDescent="0.2">
      <c r="W3488" s="319"/>
    </row>
    <row r="3489" spans="23:23" x14ac:dyDescent="0.2">
      <c r="W3489" s="319"/>
    </row>
    <row r="3490" spans="23:23" x14ac:dyDescent="0.2">
      <c r="W3490" s="319"/>
    </row>
    <row r="3491" spans="23:23" x14ac:dyDescent="0.2">
      <c r="W3491" s="319"/>
    </row>
    <row r="3492" spans="23:23" x14ac:dyDescent="0.2">
      <c r="W3492" s="319"/>
    </row>
    <row r="3493" spans="23:23" x14ac:dyDescent="0.2">
      <c r="W3493" s="319"/>
    </row>
    <row r="3494" spans="23:23" x14ac:dyDescent="0.2">
      <c r="W3494" s="319"/>
    </row>
    <row r="3495" spans="23:23" x14ac:dyDescent="0.2">
      <c r="W3495" s="319"/>
    </row>
    <row r="3496" spans="23:23" x14ac:dyDescent="0.2">
      <c r="W3496" s="319"/>
    </row>
    <row r="3497" spans="23:23" x14ac:dyDescent="0.2">
      <c r="W3497" s="319"/>
    </row>
    <row r="3498" spans="23:23" x14ac:dyDescent="0.2">
      <c r="W3498" s="319"/>
    </row>
    <row r="3499" spans="23:23" x14ac:dyDescent="0.2">
      <c r="W3499" s="319"/>
    </row>
    <row r="3500" spans="23:23" x14ac:dyDescent="0.2">
      <c r="W3500" s="319"/>
    </row>
    <row r="3501" spans="23:23" x14ac:dyDescent="0.2">
      <c r="W3501" s="319"/>
    </row>
    <row r="3502" spans="23:23" x14ac:dyDescent="0.2">
      <c r="W3502" s="319"/>
    </row>
    <row r="3503" spans="23:23" x14ac:dyDescent="0.2">
      <c r="W3503" s="319"/>
    </row>
    <row r="3504" spans="23:23" x14ac:dyDescent="0.2">
      <c r="W3504" s="319"/>
    </row>
    <row r="3505" spans="23:23" x14ac:dyDescent="0.2">
      <c r="W3505" s="319"/>
    </row>
    <row r="3506" spans="23:23" x14ac:dyDescent="0.2">
      <c r="W3506" s="319"/>
    </row>
    <row r="3507" spans="23:23" x14ac:dyDescent="0.2">
      <c r="W3507" s="319"/>
    </row>
    <row r="3508" spans="23:23" x14ac:dyDescent="0.2">
      <c r="W3508" s="319"/>
    </row>
    <row r="3509" spans="23:23" x14ac:dyDescent="0.2">
      <c r="W3509" s="319"/>
    </row>
    <row r="3510" spans="23:23" x14ac:dyDescent="0.2">
      <c r="W3510" s="319"/>
    </row>
    <row r="3511" spans="23:23" x14ac:dyDescent="0.2">
      <c r="W3511" s="319"/>
    </row>
    <row r="3512" spans="23:23" x14ac:dyDescent="0.2">
      <c r="W3512" s="319"/>
    </row>
    <row r="3513" spans="23:23" x14ac:dyDescent="0.2">
      <c r="W3513" s="319"/>
    </row>
    <row r="3514" spans="23:23" x14ac:dyDescent="0.2">
      <c r="W3514" s="319"/>
    </row>
    <row r="3515" spans="23:23" x14ac:dyDescent="0.2">
      <c r="W3515" s="319"/>
    </row>
    <row r="3516" spans="23:23" x14ac:dyDescent="0.2">
      <c r="W3516" s="319"/>
    </row>
    <row r="3517" spans="23:23" x14ac:dyDescent="0.2">
      <c r="W3517" s="319"/>
    </row>
    <row r="3518" spans="23:23" x14ac:dyDescent="0.2">
      <c r="W3518" s="319"/>
    </row>
    <row r="3519" spans="23:23" x14ac:dyDescent="0.2">
      <c r="W3519" s="319"/>
    </row>
    <row r="3520" spans="23:23" x14ac:dyDescent="0.2">
      <c r="W3520" s="319"/>
    </row>
    <row r="3521" spans="23:23" x14ac:dyDescent="0.2">
      <c r="W3521" s="319"/>
    </row>
    <row r="3522" spans="23:23" x14ac:dyDescent="0.2">
      <c r="W3522" s="319"/>
    </row>
    <row r="3523" spans="23:23" x14ac:dyDescent="0.2">
      <c r="W3523" s="319"/>
    </row>
    <row r="3524" spans="23:23" x14ac:dyDescent="0.2">
      <c r="W3524" s="319"/>
    </row>
    <row r="3525" spans="23:23" x14ac:dyDescent="0.2">
      <c r="W3525" s="319"/>
    </row>
    <row r="3526" spans="23:23" x14ac:dyDescent="0.2">
      <c r="W3526" s="319"/>
    </row>
    <row r="3527" spans="23:23" x14ac:dyDescent="0.2">
      <c r="W3527" s="319"/>
    </row>
    <row r="3528" spans="23:23" x14ac:dyDescent="0.2">
      <c r="W3528" s="319"/>
    </row>
    <row r="3529" spans="23:23" x14ac:dyDescent="0.2">
      <c r="W3529" s="319"/>
    </row>
    <row r="3530" spans="23:23" x14ac:dyDescent="0.2">
      <c r="W3530" s="319"/>
    </row>
    <row r="3531" spans="23:23" x14ac:dyDescent="0.2">
      <c r="W3531" s="319"/>
    </row>
    <row r="3532" spans="23:23" x14ac:dyDescent="0.2">
      <c r="W3532" s="319"/>
    </row>
    <row r="3533" spans="23:23" x14ac:dyDescent="0.2">
      <c r="W3533" s="319"/>
    </row>
    <row r="3534" spans="23:23" x14ac:dyDescent="0.2">
      <c r="W3534" s="319"/>
    </row>
    <row r="3535" spans="23:23" x14ac:dyDescent="0.2">
      <c r="W3535" s="319"/>
    </row>
    <row r="3536" spans="23:23" x14ac:dyDescent="0.2">
      <c r="W3536" s="319"/>
    </row>
    <row r="3537" spans="23:23" x14ac:dyDescent="0.2">
      <c r="W3537" s="319"/>
    </row>
    <row r="3538" spans="23:23" x14ac:dyDescent="0.2">
      <c r="W3538" s="319"/>
    </row>
    <row r="3539" spans="23:23" x14ac:dyDescent="0.2">
      <c r="W3539" s="319"/>
    </row>
    <row r="3540" spans="23:23" x14ac:dyDescent="0.2">
      <c r="W3540" s="319"/>
    </row>
    <row r="3541" spans="23:23" x14ac:dyDescent="0.2">
      <c r="W3541" s="319"/>
    </row>
    <row r="3542" spans="23:23" x14ac:dyDescent="0.2">
      <c r="W3542" s="319"/>
    </row>
    <row r="3543" spans="23:23" x14ac:dyDescent="0.2">
      <c r="W3543" s="319"/>
    </row>
    <row r="3544" spans="23:23" x14ac:dyDescent="0.2">
      <c r="W3544" s="319"/>
    </row>
    <row r="3545" spans="23:23" x14ac:dyDescent="0.2">
      <c r="W3545" s="319"/>
    </row>
    <row r="3546" spans="23:23" x14ac:dyDescent="0.2">
      <c r="W3546" s="319"/>
    </row>
    <row r="3547" spans="23:23" x14ac:dyDescent="0.2">
      <c r="W3547" s="319"/>
    </row>
    <row r="3548" spans="23:23" x14ac:dyDescent="0.2">
      <c r="W3548" s="319"/>
    </row>
    <row r="3549" spans="23:23" x14ac:dyDescent="0.2">
      <c r="W3549" s="319"/>
    </row>
    <row r="3550" spans="23:23" x14ac:dyDescent="0.2">
      <c r="W3550" s="319"/>
    </row>
    <row r="3551" spans="23:23" x14ac:dyDescent="0.2">
      <c r="W3551" s="319"/>
    </row>
    <row r="3552" spans="23:23" x14ac:dyDescent="0.2">
      <c r="W3552" s="319"/>
    </row>
    <row r="3553" spans="23:23" x14ac:dyDescent="0.2">
      <c r="W3553" s="319"/>
    </row>
    <row r="3554" spans="23:23" x14ac:dyDescent="0.2">
      <c r="W3554" s="319"/>
    </row>
    <row r="3555" spans="23:23" x14ac:dyDescent="0.2">
      <c r="W3555" s="319"/>
    </row>
    <row r="3556" spans="23:23" x14ac:dyDescent="0.2">
      <c r="W3556" s="319"/>
    </row>
    <row r="3557" spans="23:23" x14ac:dyDescent="0.2">
      <c r="W3557" s="319"/>
    </row>
    <row r="3558" spans="23:23" x14ac:dyDescent="0.2">
      <c r="W3558" s="319"/>
    </row>
    <row r="3559" spans="23:23" x14ac:dyDescent="0.2">
      <c r="W3559" s="319"/>
    </row>
    <row r="3560" spans="23:23" x14ac:dyDescent="0.2">
      <c r="W3560" s="319"/>
    </row>
    <row r="3561" spans="23:23" x14ac:dyDescent="0.2">
      <c r="W3561" s="319"/>
    </row>
    <row r="3562" spans="23:23" x14ac:dyDescent="0.2">
      <c r="W3562" s="319"/>
    </row>
    <row r="3563" spans="23:23" x14ac:dyDescent="0.2">
      <c r="W3563" s="319"/>
    </row>
    <row r="3564" spans="23:23" x14ac:dyDescent="0.2">
      <c r="W3564" s="319"/>
    </row>
    <row r="3565" spans="23:23" x14ac:dyDescent="0.2">
      <c r="W3565" s="319"/>
    </row>
    <row r="3566" spans="23:23" x14ac:dyDescent="0.2">
      <c r="W3566" s="319"/>
    </row>
    <row r="3567" spans="23:23" x14ac:dyDescent="0.2">
      <c r="W3567" s="319"/>
    </row>
    <row r="3568" spans="23:23" x14ac:dyDescent="0.2">
      <c r="W3568" s="319"/>
    </row>
    <row r="3569" spans="23:23" x14ac:dyDescent="0.2">
      <c r="W3569" s="319"/>
    </row>
    <row r="3570" spans="23:23" x14ac:dyDescent="0.2">
      <c r="W3570" s="319"/>
    </row>
    <row r="3571" spans="23:23" x14ac:dyDescent="0.2">
      <c r="W3571" s="319"/>
    </row>
    <row r="3572" spans="23:23" x14ac:dyDescent="0.2">
      <c r="W3572" s="319"/>
    </row>
    <row r="3573" spans="23:23" x14ac:dyDescent="0.2">
      <c r="W3573" s="319"/>
    </row>
    <row r="3574" spans="23:23" x14ac:dyDescent="0.2">
      <c r="W3574" s="319"/>
    </row>
    <row r="3575" spans="23:23" x14ac:dyDescent="0.2">
      <c r="W3575" s="319"/>
    </row>
    <row r="3576" spans="23:23" x14ac:dyDescent="0.2">
      <c r="W3576" s="319"/>
    </row>
    <row r="3577" spans="23:23" x14ac:dyDescent="0.2">
      <c r="W3577" s="319"/>
    </row>
    <row r="3578" spans="23:23" x14ac:dyDescent="0.2">
      <c r="W3578" s="319"/>
    </row>
    <row r="3579" spans="23:23" x14ac:dyDescent="0.2">
      <c r="W3579" s="319"/>
    </row>
    <row r="3580" spans="23:23" x14ac:dyDescent="0.2">
      <c r="W3580" s="319"/>
    </row>
    <row r="3581" spans="23:23" x14ac:dyDescent="0.2">
      <c r="W3581" s="319"/>
    </row>
    <row r="3582" spans="23:23" x14ac:dyDescent="0.2">
      <c r="W3582" s="319"/>
    </row>
    <row r="3583" spans="23:23" x14ac:dyDescent="0.2">
      <c r="W3583" s="319"/>
    </row>
    <row r="3584" spans="23:23" x14ac:dyDescent="0.2">
      <c r="W3584" s="319"/>
    </row>
    <row r="3585" spans="23:23" x14ac:dyDescent="0.2">
      <c r="W3585" s="319"/>
    </row>
    <row r="3586" spans="23:23" x14ac:dyDescent="0.2">
      <c r="W3586" s="319"/>
    </row>
    <row r="3587" spans="23:23" x14ac:dyDescent="0.2">
      <c r="W3587" s="319"/>
    </row>
    <row r="3588" spans="23:23" x14ac:dyDescent="0.2">
      <c r="W3588" s="319"/>
    </row>
    <row r="3589" spans="23:23" x14ac:dyDescent="0.2">
      <c r="W3589" s="319"/>
    </row>
    <row r="3590" spans="23:23" x14ac:dyDescent="0.2">
      <c r="W3590" s="319"/>
    </row>
    <row r="3591" spans="23:23" x14ac:dyDescent="0.2">
      <c r="W3591" s="319"/>
    </row>
    <row r="3592" spans="23:23" x14ac:dyDescent="0.2">
      <c r="W3592" s="319"/>
    </row>
    <row r="3593" spans="23:23" x14ac:dyDescent="0.2">
      <c r="W3593" s="319"/>
    </row>
    <row r="3594" spans="23:23" x14ac:dyDescent="0.2">
      <c r="W3594" s="319"/>
    </row>
    <row r="3595" spans="23:23" x14ac:dyDescent="0.2">
      <c r="W3595" s="319"/>
    </row>
    <row r="3596" spans="23:23" x14ac:dyDescent="0.2">
      <c r="W3596" s="319"/>
    </row>
    <row r="3597" spans="23:23" x14ac:dyDescent="0.2">
      <c r="W3597" s="319"/>
    </row>
    <row r="3598" spans="23:23" x14ac:dyDescent="0.2">
      <c r="W3598" s="319"/>
    </row>
    <row r="3599" spans="23:23" x14ac:dyDescent="0.2">
      <c r="W3599" s="319"/>
    </row>
    <row r="3600" spans="23:23" x14ac:dyDescent="0.2">
      <c r="W3600" s="319"/>
    </row>
    <row r="3601" spans="23:23" x14ac:dyDescent="0.2">
      <c r="W3601" s="319"/>
    </row>
    <row r="3602" spans="23:23" x14ac:dyDescent="0.2">
      <c r="W3602" s="319"/>
    </row>
    <row r="3603" spans="23:23" x14ac:dyDescent="0.2">
      <c r="W3603" s="319"/>
    </row>
    <row r="3604" spans="23:23" x14ac:dyDescent="0.2">
      <c r="W3604" s="319"/>
    </row>
    <row r="3605" spans="23:23" x14ac:dyDescent="0.2">
      <c r="W3605" s="319"/>
    </row>
    <row r="3606" spans="23:23" x14ac:dyDescent="0.2">
      <c r="W3606" s="319"/>
    </row>
    <row r="3607" spans="23:23" x14ac:dyDescent="0.2">
      <c r="W3607" s="319"/>
    </row>
    <row r="3608" spans="23:23" x14ac:dyDescent="0.2">
      <c r="W3608" s="319"/>
    </row>
    <row r="3609" spans="23:23" x14ac:dyDescent="0.2">
      <c r="W3609" s="319"/>
    </row>
    <row r="3610" spans="23:23" x14ac:dyDescent="0.2">
      <c r="W3610" s="319"/>
    </row>
    <row r="3611" spans="23:23" x14ac:dyDescent="0.2">
      <c r="W3611" s="319"/>
    </row>
    <row r="3612" spans="23:23" x14ac:dyDescent="0.2">
      <c r="W3612" s="319"/>
    </row>
    <row r="3613" spans="23:23" x14ac:dyDescent="0.2">
      <c r="W3613" s="319"/>
    </row>
    <row r="3614" spans="23:23" x14ac:dyDescent="0.2">
      <c r="W3614" s="319"/>
    </row>
    <row r="3615" spans="23:23" x14ac:dyDescent="0.2">
      <c r="W3615" s="319"/>
    </row>
    <row r="3616" spans="23:23" x14ac:dyDescent="0.2">
      <c r="W3616" s="319"/>
    </row>
    <row r="3617" spans="23:23" x14ac:dyDescent="0.2">
      <c r="W3617" s="319"/>
    </row>
    <row r="3618" spans="23:23" x14ac:dyDescent="0.2">
      <c r="W3618" s="319"/>
    </row>
    <row r="3619" spans="23:23" x14ac:dyDescent="0.2">
      <c r="W3619" s="319"/>
    </row>
    <row r="3620" spans="23:23" x14ac:dyDescent="0.2">
      <c r="W3620" s="319"/>
    </row>
    <row r="3621" spans="23:23" x14ac:dyDescent="0.2">
      <c r="W3621" s="319"/>
    </row>
    <row r="3622" spans="23:23" x14ac:dyDescent="0.2">
      <c r="W3622" s="319"/>
    </row>
    <row r="3623" spans="23:23" x14ac:dyDescent="0.2">
      <c r="W3623" s="319"/>
    </row>
    <row r="3624" spans="23:23" x14ac:dyDescent="0.2">
      <c r="W3624" s="319"/>
    </row>
    <row r="3625" spans="23:23" x14ac:dyDescent="0.2">
      <c r="W3625" s="319"/>
    </row>
    <row r="3626" spans="23:23" x14ac:dyDescent="0.2">
      <c r="W3626" s="319"/>
    </row>
    <row r="3627" spans="23:23" x14ac:dyDescent="0.2">
      <c r="W3627" s="319"/>
    </row>
    <row r="3628" spans="23:23" x14ac:dyDescent="0.2">
      <c r="W3628" s="319"/>
    </row>
    <row r="3629" spans="23:23" x14ac:dyDescent="0.2">
      <c r="W3629" s="319"/>
    </row>
    <row r="3630" spans="23:23" x14ac:dyDescent="0.2">
      <c r="W3630" s="319"/>
    </row>
    <row r="3631" spans="23:23" x14ac:dyDescent="0.2">
      <c r="W3631" s="319"/>
    </row>
    <row r="3632" spans="23:23" x14ac:dyDescent="0.2">
      <c r="W3632" s="319"/>
    </row>
    <row r="3633" spans="23:23" x14ac:dyDescent="0.2">
      <c r="W3633" s="319"/>
    </row>
    <row r="3634" spans="23:23" x14ac:dyDescent="0.2">
      <c r="W3634" s="319"/>
    </row>
    <row r="3635" spans="23:23" x14ac:dyDescent="0.2">
      <c r="W3635" s="319"/>
    </row>
    <row r="3636" spans="23:23" x14ac:dyDescent="0.2">
      <c r="W3636" s="319"/>
    </row>
    <row r="3637" spans="23:23" x14ac:dyDescent="0.2">
      <c r="W3637" s="319"/>
    </row>
    <row r="3638" spans="23:23" x14ac:dyDescent="0.2">
      <c r="W3638" s="319"/>
    </row>
    <row r="3639" spans="23:23" x14ac:dyDescent="0.2">
      <c r="W3639" s="319"/>
    </row>
    <row r="3640" spans="23:23" x14ac:dyDescent="0.2">
      <c r="W3640" s="319"/>
    </row>
    <row r="3641" spans="23:23" x14ac:dyDescent="0.2">
      <c r="W3641" s="319"/>
    </row>
    <row r="3642" spans="23:23" x14ac:dyDescent="0.2">
      <c r="W3642" s="319"/>
    </row>
    <row r="3643" spans="23:23" x14ac:dyDescent="0.2">
      <c r="W3643" s="319"/>
    </row>
    <row r="3644" spans="23:23" x14ac:dyDescent="0.2">
      <c r="W3644" s="319"/>
    </row>
    <row r="3645" spans="23:23" x14ac:dyDescent="0.2">
      <c r="W3645" s="319"/>
    </row>
    <row r="3646" spans="23:23" x14ac:dyDescent="0.2">
      <c r="W3646" s="319"/>
    </row>
    <row r="3647" spans="23:23" x14ac:dyDescent="0.2">
      <c r="W3647" s="319"/>
    </row>
    <row r="3648" spans="23:23" x14ac:dyDescent="0.2">
      <c r="W3648" s="319"/>
    </row>
    <row r="3649" spans="23:23" x14ac:dyDescent="0.2">
      <c r="W3649" s="319"/>
    </row>
    <row r="3650" spans="23:23" x14ac:dyDescent="0.2">
      <c r="W3650" s="319"/>
    </row>
    <row r="3651" spans="23:23" x14ac:dyDescent="0.2">
      <c r="W3651" s="319"/>
    </row>
    <row r="3652" spans="23:23" x14ac:dyDescent="0.2">
      <c r="W3652" s="319"/>
    </row>
    <row r="3653" spans="23:23" x14ac:dyDescent="0.2">
      <c r="W3653" s="319"/>
    </row>
    <row r="3654" spans="23:23" x14ac:dyDescent="0.2">
      <c r="W3654" s="319"/>
    </row>
    <row r="3655" spans="23:23" x14ac:dyDescent="0.2">
      <c r="W3655" s="319"/>
    </row>
    <row r="3656" spans="23:23" x14ac:dyDescent="0.2">
      <c r="W3656" s="319"/>
    </row>
    <row r="3657" spans="23:23" x14ac:dyDescent="0.2">
      <c r="W3657" s="319"/>
    </row>
    <row r="3658" spans="23:23" x14ac:dyDescent="0.2">
      <c r="W3658" s="319"/>
    </row>
    <row r="3659" spans="23:23" x14ac:dyDescent="0.2">
      <c r="W3659" s="319"/>
    </row>
    <row r="3660" spans="23:23" x14ac:dyDescent="0.2">
      <c r="W3660" s="319"/>
    </row>
    <row r="3661" spans="23:23" x14ac:dyDescent="0.2">
      <c r="W3661" s="319"/>
    </row>
    <row r="3662" spans="23:23" x14ac:dyDescent="0.2">
      <c r="W3662" s="319"/>
    </row>
    <row r="3663" spans="23:23" x14ac:dyDescent="0.2">
      <c r="W3663" s="319"/>
    </row>
    <row r="3664" spans="23:23" x14ac:dyDescent="0.2">
      <c r="W3664" s="319"/>
    </row>
    <row r="3665" spans="23:23" x14ac:dyDescent="0.2">
      <c r="W3665" s="319"/>
    </row>
    <row r="3666" spans="23:23" x14ac:dyDescent="0.2">
      <c r="W3666" s="319"/>
    </row>
    <row r="3667" spans="23:23" x14ac:dyDescent="0.2">
      <c r="W3667" s="319"/>
    </row>
    <row r="3668" spans="23:23" x14ac:dyDescent="0.2">
      <c r="W3668" s="319"/>
    </row>
    <row r="3669" spans="23:23" x14ac:dyDescent="0.2">
      <c r="W3669" s="319"/>
    </row>
    <row r="3670" spans="23:23" x14ac:dyDescent="0.2">
      <c r="W3670" s="319"/>
    </row>
    <row r="3671" spans="23:23" x14ac:dyDescent="0.2">
      <c r="W3671" s="319"/>
    </row>
    <row r="3672" spans="23:23" x14ac:dyDescent="0.2">
      <c r="W3672" s="319"/>
    </row>
    <row r="3673" spans="23:23" x14ac:dyDescent="0.2">
      <c r="W3673" s="319"/>
    </row>
    <row r="3674" spans="23:23" x14ac:dyDescent="0.2">
      <c r="W3674" s="319"/>
    </row>
    <row r="3675" spans="23:23" x14ac:dyDescent="0.2">
      <c r="W3675" s="319"/>
    </row>
    <row r="3676" spans="23:23" x14ac:dyDescent="0.2">
      <c r="W3676" s="319"/>
    </row>
    <row r="3677" spans="23:23" x14ac:dyDescent="0.2">
      <c r="W3677" s="319"/>
    </row>
    <row r="3678" spans="23:23" x14ac:dyDescent="0.2">
      <c r="W3678" s="319"/>
    </row>
    <row r="3679" spans="23:23" x14ac:dyDescent="0.2">
      <c r="W3679" s="319"/>
    </row>
    <row r="3680" spans="23:23" x14ac:dyDescent="0.2">
      <c r="W3680" s="319"/>
    </row>
    <row r="3681" spans="23:23" x14ac:dyDescent="0.2">
      <c r="W3681" s="319"/>
    </row>
    <row r="3682" spans="23:23" x14ac:dyDescent="0.2">
      <c r="W3682" s="319"/>
    </row>
    <row r="3683" spans="23:23" x14ac:dyDescent="0.2">
      <c r="W3683" s="319"/>
    </row>
    <row r="3684" spans="23:23" x14ac:dyDescent="0.2">
      <c r="W3684" s="319"/>
    </row>
    <row r="3685" spans="23:23" x14ac:dyDescent="0.2">
      <c r="W3685" s="319"/>
    </row>
    <row r="3686" spans="23:23" x14ac:dyDescent="0.2">
      <c r="W3686" s="319"/>
    </row>
    <row r="3687" spans="23:23" x14ac:dyDescent="0.2">
      <c r="W3687" s="319"/>
    </row>
    <row r="3688" spans="23:23" x14ac:dyDescent="0.2">
      <c r="W3688" s="319"/>
    </row>
    <row r="3689" spans="23:23" x14ac:dyDescent="0.2">
      <c r="W3689" s="319"/>
    </row>
    <row r="3690" spans="23:23" x14ac:dyDescent="0.2">
      <c r="W3690" s="319"/>
    </row>
    <row r="3691" spans="23:23" x14ac:dyDescent="0.2">
      <c r="W3691" s="319"/>
    </row>
    <row r="3692" spans="23:23" x14ac:dyDescent="0.2">
      <c r="W3692" s="319"/>
    </row>
    <row r="3693" spans="23:23" x14ac:dyDescent="0.2">
      <c r="W3693" s="319"/>
    </row>
    <row r="3694" spans="23:23" x14ac:dyDescent="0.2">
      <c r="W3694" s="319"/>
    </row>
    <row r="3695" spans="23:23" x14ac:dyDescent="0.2">
      <c r="W3695" s="319"/>
    </row>
    <row r="3696" spans="23:23" x14ac:dyDescent="0.2">
      <c r="W3696" s="319"/>
    </row>
    <row r="3697" spans="23:23" x14ac:dyDescent="0.2">
      <c r="W3697" s="319"/>
    </row>
    <row r="3698" spans="23:23" x14ac:dyDescent="0.2">
      <c r="W3698" s="319"/>
    </row>
    <row r="3699" spans="23:23" x14ac:dyDescent="0.2">
      <c r="W3699" s="319"/>
    </row>
    <row r="3700" spans="23:23" x14ac:dyDescent="0.2">
      <c r="W3700" s="319"/>
    </row>
    <row r="3701" spans="23:23" x14ac:dyDescent="0.2">
      <c r="W3701" s="319"/>
    </row>
    <row r="3702" spans="23:23" x14ac:dyDescent="0.2">
      <c r="W3702" s="319"/>
    </row>
    <row r="3703" spans="23:23" x14ac:dyDescent="0.2">
      <c r="W3703" s="319"/>
    </row>
    <row r="3704" spans="23:23" x14ac:dyDescent="0.2">
      <c r="W3704" s="319"/>
    </row>
    <row r="3705" spans="23:23" x14ac:dyDescent="0.2">
      <c r="W3705" s="319"/>
    </row>
    <row r="3706" spans="23:23" x14ac:dyDescent="0.2">
      <c r="W3706" s="319"/>
    </row>
    <row r="3707" spans="23:23" x14ac:dyDescent="0.2">
      <c r="W3707" s="319"/>
    </row>
    <row r="3708" spans="23:23" x14ac:dyDescent="0.2">
      <c r="W3708" s="319"/>
    </row>
    <row r="3709" spans="23:23" x14ac:dyDescent="0.2">
      <c r="W3709" s="319"/>
    </row>
    <row r="3710" spans="23:23" x14ac:dyDescent="0.2">
      <c r="W3710" s="319"/>
    </row>
    <row r="3711" spans="23:23" x14ac:dyDescent="0.2">
      <c r="W3711" s="319"/>
    </row>
    <row r="3712" spans="23:23" x14ac:dyDescent="0.2">
      <c r="W3712" s="319"/>
    </row>
    <row r="3713" spans="23:23" x14ac:dyDescent="0.2">
      <c r="W3713" s="319"/>
    </row>
    <row r="3714" spans="23:23" x14ac:dyDescent="0.2">
      <c r="W3714" s="319"/>
    </row>
    <row r="3715" spans="23:23" x14ac:dyDescent="0.2">
      <c r="W3715" s="319"/>
    </row>
    <row r="3716" spans="23:23" x14ac:dyDescent="0.2">
      <c r="W3716" s="319"/>
    </row>
    <row r="3717" spans="23:23" x14ac:dyDescent="0.2">
      <c r="W3717" s="319"/>
    </row>
    <row r="3718" spans="23:23" x14ac:dyDescent="0.2">
      <c r="W3718" s="319"/>
    </row>
    <row r="3719" spans="23:23" x14ac:dyDescent="0.2">
      <c r="W3719" s="319"/>
    </row>
    <row r="3720" spans="23:23" x14ac:dyDescent="0.2">
      <c r="W3720" s="319"/>
    </row>
    <row r="3721" spans="23:23" x14ac:dyDescent="0.2">
      <c r="W3721" s="319"/>
    </row>
    <row r="3722" spans="23:23" x14ac:dyDescent="0.2">
      <c r="W3722" s="319"/>
    </row>
    <row r="3723" spans="23:23" x14ac:dyDescent="0.2">
      <c r="W3723" s="319"/>
    </row>
    <row r="3724" spans="23:23" x14ac:dyDescent="0.2">
      <c r="W3724" s="319"/>
    </row>
    <row r="3725" spans="23:23" x14ac:dyDescent="0.2">
      <c r="W3725" s="319"/>
    </row>
    <row r="3726" spans="23:23" x14ac:dyDescent="0.2">
      <c r="W3726" s="319"/>
    </row>
    <row r="3727" spans="23:23" x14ac:dyDescent="0.2">
      <c r="W3727" s="319"/>
    </row>
    <row r="3728" spans="23:23" x14ac:dyDescent="0.2">
      <c r="W3728" s="319"/>
    </row>
    <row r="3729" spans="23:23" x14ac:dyDescent="0.2">
      <c r="W3729" s="319"/>
    </row>
    <row r="3730" spans="23:23" x14ac:dyDescent="0.2">
      <c r="W3730" s="319"/>
    </row>
    <row r="3731" spans="23:23" x14ac:dyDescent="0.2">
      <c r="W3731" s="319"/>
    </row>
    <row r="3732" spans="23:23" x14ac:dyDescent="0.2">
      <c r="W3732" s="319"/>
    </row>
    <row r="3733" spans="23:23" x14ac:dyDescent="0.2">
      <c r="W3733" s="319"/>
    </row>
    <row r="3734" spans="23:23" x14ac:dyDescent="0.2">
      <c r="W3734" s="319"/>
    </row>
    <row r="3735" spans="23:23" x14ac:dyDescent="0.2">
      <c r="W3735" s="319"/>
    </row>
    <row r="3736" spans="23:23" x14ac:dyDescent="0.2">
      <c r="W3736" s="319"/>
    </row>
    <row r="3737" spans="23:23" x14ac:dyDescent="0.2">
      <c r="W3737" s="319"/>
    </row>
    <row r="3738" spans="23:23" x14ac:dyDescent="0.2">
      <c r="W3738" s="319"/>
    </row>
    <row r="3739" spans="23:23" x14ac:dyDescent="0.2">
      <c r="W3739" s="319"/>
    </row>
    <row r="3740" spans="23:23" x14ac:dyDescent="0.2">
      <c r="W3740" s="319"/>
    </row>
    <row r="3741" spans="23:23" x14ac:dyDescent="0.2">
      <c r="W3741" s="319"/>
    </row>
    <row r="3742" spans="23:23" x14ac:dyDescent="0.2">
      <c r="W3742" s="319"/>
    </row>
    <row r="3743" spans="23:23" x14ac:dyDescent="0.2">
      <c r="W3743" s="319"/>
    </row>
    <row r="3744" spans="23:23" x14ac:dyDescent="0.2">
      <c r="W3744" s="319"/>
    </row>
    <row r="3745" spans="23:23" x14ac:dyDescent="0.2">
      <c r="W3745" s="319"/>
    </row>
    <row r="3746" spans="23:23" x14ac:dyDescent="0.2">
      <c r="W3746" s="319"/>
    </row>
    <row r="3747" spans="23:23" x14ac:dyDescent="0.2">
      <c r="W3747" s="319"/>
    </row>
    <row r="3748" spans="23:23" x14ac:dyDescent="0.2">
      <c r="W3748" s="319"/>
    </row>
    <row r="3749" spans="23:23" x14ac:dyDescent="0.2">
      <c r="W3749" s="319"/>
    </row>
    <row r="3750" spans="23:23" x14ac:dyDescent="0.2">
      <c r="W3750" s="319"/>
    </row>
    <row r="3751" spans="23:23" x14ac:dyDescent="0.2">
      <c r="W3751" s="319"/>
    </row>
    <row r="3752" spans="23:23" x14ac:dyDescent="0.2">
      <c r="W3752" s="319"/>
    </row>
    <row r="3753" spans="23:23" x14ac:dyDescent="0.2">
      <c r="W3753" s="319"/>
    </row>
    <row r="3754" spans="23:23" x14ac:dyDescent="0.2">
      <c r="W3754" s="319"/>
    </row>
    <row r="3755" spans="23:23" x14ac:dyDescent="0.2">
      <c r="W3755" s="319"/>
    </row>
    <row r="3756" spans="23:23" x14ac:dyDescent="0.2">
      <c r="W3756" s="319"/>
    </row>
    <row r="3757" spans="23:23" x14ac:dyDescent="0.2">
      <c r="W3757" s="319"/>
    </row>
    <row r="3758" spans="23:23" x14ac:dyDescent="0.2">
      <c r="W3758" s="319"/>
    </row>
    <row r="3759" spans="23:23" x14ac:dyDescent="0.2">
      <c r="W3759" s="319"/>
    </row>
    <row r="3760" spans="23:23" x14ac:dyDescent="0.2">
      <c r="W3760" s="319"/>
    </row>
    <row r="3761" spans="23:23" x14ac:dyDescent="0.2">
      <c r="W3761" s="319"/>
    </row>
    <row r="3762" spans="23:23" x14ac:dyDescent="0.2">
      <c r="W3762" s="319"/>
    </row>
    <row r="3763" spans="23:23" x14ac:dyDescent="0.2">
      <c r="W3763" s="319"/>
    </row>
    <row r="3764" spans="23:23" x14ac:dyDescent="0.2">
      <c r="W3764" s="319"/>
    </row>
    <row r="3765" spans="23:23" x14ac:dyDescent="0.2">
      <c r="W3765" s="319"/>
    </row>
    <row r="3766" spans="23:23" x14ac:dyDescent="0.2">
      <c r="W3766" s="319"/>
    </row>
    <row r="3767" spans="23:23" x14ac:dyDescent="0.2">
      <c r="W3767" s="319"/>
    </row>
    <row r="3768" spans="23:23" x14ac:dyDescent="0.2">
      <c r="W3768" s="319"/>
    </row>
    <row r="3769" spans="23:23" x14ac:dyDescent="0.2">
      <c r="W3769" s="319"/>
    </row>
    <row r="3770" spans="23:23" x14ac:dyDescent="0.2">
      <c r="W3770" s="319"/>
    </row>
    <row r="3771" spans="23:23" x14ac:dyDescent="0.2">
      <c r="W3771" s="319"/>
    </row>
    <row r="3772" spans="23:23" x14ac:dyDescent="0.2">
      <c r="W3772" s="319"/>
    </row>
    <row r="3773" spans="23:23" x14ac:dyDescent="0.2">
      <c r="W3773" s="319"/>
    </row>
    <row r="3774" spans="23:23" x14ac:dyDescent="0.2">
      <c r="W3774" s="319"/>
    </row>
    <row r="3775" spans="23:23" x14ac:dyDescent="0.2">
      <c r="W3775" s="319"/>
    </row>
    <row r="3776" spans="23:23" x14ac:dyDescent="0.2">
      <c r="W3776" s="319"/>
    </row>
    <row r="3777" spans="23:23" x14ac:dyDescent="0.2">
      <c r="W3777" s="319"/>
    </row>
    <row r="3778" spans="23:23" x14ac:dyDescent="0.2">
      <c r="W3778" s="319"/>
    </row>
    <row r="3779" spans="23:23" x14ac:dyDescent="0.2">
      <c r="W3779" s="319"/>
    </row>
    <row r="3780" spans="23:23" x14ac:dyDescent="0.2">
      <c r="W3780" s="319"/>
    </row>
    <row r="3781" spans="23:23" x14ac:dyDescent="0.2">
      <c r="W3781" s="319"/>
    </row>
    <row r="3782" spans="23:23" x14ac:dyDescent="0.2">
      <c r="W3782" s="319"/>
    </row>
    <row r="3783" spans="23:23" x14ac:dyDescent="0.2">
      <c r="W3783" s="319"/>
    </row>
    <row r="3784" spans="23:23" x14ac:dyDescent="0.2">
      <c r="W3784" s="319"/>
    </row>
    <row r="3785" spans="23:23" x14ac:dyDescent="0.2">
      <c r="W3785" s="319"/>
    </row>
    <row r="3786" spans="23:23" x14ac:dyDescent="0.2">
      <c r="W3786" s="319"/>
    </row>
    <row r="3787" spans="23:23" x14ac:dyDescent="0.2">
      <c r="W3787" s="319"/>
    </row>
    <row r="3788" spans="23:23" x14ac:dyDescent="0.2">
      <c r="W3788" s="319"/>
    </row>
    <row r="3789" spans="23:23" x14ac:dyDescent="0.2">
      <c r="W3789" s="319"/>
    </row>
    <row r="3790" spans="23:23" x14ac:dyDescent="0.2">
      <c r="W3790" s="319"/>
    </row>
    <row r="3791" spans="23:23" x14ac:dyDescent="0.2">
      <c r="W3791" s="319"/>
    </row>
    <row r="3792" spans="23:23" x14ac:dyDescent="0.2">
      <c r="W3792" s="319"/>
    </row>
    <row r="3793" spans="23:23" x14ac:dyDescent="0.2">
      <c r="W3793" s="319"/>
    </row>
    <row r="3794" spans="23:23" x14ac:dyDescent="0.2">
      <c r="W3794" s="319"/>
    </row>
    <row r="3795" spans="23:23" x14ac:dyDescent="0.2">
      <c r="W3795" s="319"/>
    </row>
    <row r="3796" spans="23:23" x14ac:dyDescent="0.2">
      <c r="W3796" s="319"/>
    </row>
    <row r="3797" spans="23:23" x14ac:dyDescent="0.2">
      <c r="W3797" s="319"/>
    </row>
    <row r="3798" spans="23:23" x14ac:dyDescent="0.2">
      <c r="W3798" s="319"/>
    </row>
    <row r="3799" spans="23:23" x14ac:dyDescent="0.2">
      <c r="W3799" s="319"/>
    </row>
    <row r="3800" spans="23:23" x14ac:dyDescent="0.2">
      <c r="W3800" s="319"/>
    </row>
    <row r="3801" spans="23:23" x14ac:dyDescent="0.2">
      <c r="W3801" s="319"/>
    </row>
    <row r="3802" spans="23:23" x14ac:dyDescent="0.2">
      <c r="W3802" s="319"/>
    </row>
    <row r="3803" spans="23:23" x14ac:dyDescent="0.2">
      <c r="W3803" s="319"/>
    </row>
    <row r="3804" spans="23:23" x14ac:dyDescent="0.2">
      <c r="W3804" s="319"/>
    </row>
    <row r="3805" spans="23:23" x14ac:dyDescent="0.2">
      <c r="W3805" s="319"/>
    </row>
    <row r="3806" spans="23:23" x14ac:dyDescent="0.2">
      <c r="W3806" s="319"/>
    </row>
    <row r="3807" spans="23:23" x14ac:dyDescent="0.2">
      <c r="W3807" s="319"/>
    </row>
    <row r="3808" spans="23:23" x14ac:dyDescent="0.2">
      <c r="W3808" s="319"/>
    </row>
    <row r="3809" spans="23:23" x14ac:dyDescent="0.2">
      <c r="W3809" s="319"/>
    </row>
    <row r="3810" spans="23:23" x14ac:dyDescent="0.2">
      <c r="W3810" s="319"/>
    </row>
    <row r="3811" spans="23:23" x14ac:dyDescent="0.2">
      <c r="W3811" s="319"/>
    </row>
    <row r="3812" spans="23:23" x14ac:dyDescent="0.2">
      <c r="W3812" s="319"/>
    </row>
    <row r="3813" spans="23:23" x14ac:dyDescent="0.2">
      <c r="W3813" s="319"/>
    </row>
    <row r="3814" spans="23:23" x14ac:dyDescent="0.2">
      <c r="W3814" s="319"/>
    </row>
    <row r="3815" spans="23:23" x14ac:dyDescent="0.2">
      <c r="W3815" s="319"/>
    </row>
    <row r="3816" spans="23:23" x14ac:dyDescent="0.2">
      <c r="W3816" s="319"/>
    </row>
    <row r="3817" spans="23:23" x14ac:dyDescent="0.2">
      <c r="W3817" s="319"/>
    </row>
    <row r="3818" spans="23:23" x14ac:dyDescent="0.2">
      <c r="W3818" s="319"/>
    </row>
    <row r="3819" spans="23:23" x14ac:dyDescent="0.2">
      <c r="W3819" s="319"/>
    </row>
    <row r="3820" spans="23:23" x14ac:dyDescent="0.2">
      <c r="W3820" s="319"/>
    </row>
    <row r="3821" spans="23:23" x14ac:dyDescent="0.2">
      <c r="W3821" s="319"/>
    </row>
    <row r="3822" spans="23:23" x14ac:dyDescent="0.2">
      <c r="W3822" s="319"/>
    </row>
    <row r="3823" spans="23:23" x14ac:dyDescent="0.2">
      <c r="W3823" s="319"/>
    </row>
    <row r="3824" spans="23:23" x14ac:dyDescent="0.2">
      <c r="W3824" s="319"/>
    </row>
    <row r="3825" spans="23:23" x14ac:dyDescent="0.2">
      <c r="W3825" s="319"/>
    </row>
    <row r="3826" spans="23:23" x14ac:dyDescent="0.2">
      <c r="W3826" s="319"/>
    </row>
    <row r="3827" spans="23:23" x14ac:dyDescent="0.2">
      <c r="W3827" s="319"/>
    </row>
    <row r="3828" spans="23:23" x14ac:dyDescent="0.2">
      <c r="W3828" s="319"/>
    </row>
    <row r="3829" spans="23:23" x14ac:dyDescent="0.2">
      <c r="W3829" s="319"/>
    </row>
    <row r="3830" spans="23:23" x14ac:dyDescent="0.2">
      <c r="W3830" s="319"/>
    </row>
    <row r="3831" spans="23:23" x14ac:dyDescent="0.2">
      <c r="W3831" s="319"/>
    </row>
    <row r="3832" spans="23:23" x14ac:dyDescent="0.2">
      <c r="W3832" s="319"/>
    </row>
    <row r="3833" spans="23:23" x14ac:dyDescent="0.2">
      <c r="W3833" s="319"/>
    </row>
    <row r="3834" spans="23:23" x14ac:dyDescent="0.2">
      <c r="W3834" s="319"/>
    </row>
    <row r="3835" spans="23:23" x14ac:dyDescent="0.2">
      <c r="W3835" s="319"/>
    </row>
    <row r="3836" spans="23:23" x14ac:dyDescent="0.2">
      <c r="W3836" s="319"/>
    </row>
    <row r="3837" spans="23:23" x14ac:dyDescent="0.2">
      <c r="W3837" s="319"/>
    </row>
    <row r="3838" spans="23:23" x14ac:dyDescent="0.2">
      <c r="W3838" s="319"/>
    </row>
    <row r="3839" spans="23:23" x14ac:dyDescent="0.2">
      <c r="W3839" s="319"/>
    </row>
    <row r="3840" spans="23:23" x14ac:dyDescent="0.2">
      <c r="W3840" s="319"/>
    </row>
    <row r="3841" spans="23:23" x14ac:dyDescent="0.2">
      <c r="W3841" s="319"/>
    </row>
    <row r="3842" spans="23:23" x14ac:dyDescent="0.2">
      <c r="W3842" s="319"/>
    </row>
    <row r="3843" spans="23:23" x14ac:dyDescent="0.2">
      <c r="W3843" s="319"/>
    </row>
    <row r="3844" spans="23:23" x14ac:dyDescent="0.2">
      <c r="W3844" s="319"/>
    </row>
    <row r="3845" spans="23:23" x14ac:dyDescent="0.2">
      <c r="W3845" s="319"/>
    </row>
    <row r="3846" spans="23:23" x14ac:dyDescent="0.2">
      <c r="W3846" s="319"/>
    </row>
    <row r="3847" spans="23:23" x14ac:dyDescent="0.2">
      <c r="W3847" s="319"/>
    </row>
    <row r="3848" spans="23:23" x14ac:dyDescent="0.2">
      <c r="W3848" s="319"/>
    </row>
    <row r="3849" spans="23:23" x14ac:dyDescent="0.2">
      <c r="W3849" s="319"/>
    </row>
    <row r="3850" spans="23:23" x14ac:dyDescent="0.2">
      <c r="W3850" s="319"/>
    </row>
    <row r="3851" spans="23:23" x14ac:dyDescent="0.2">
      <c r="W3851" s="319"/>
    </row>
    <row r="3852" spans="23:23" x14ac:dyDescent="0.2">
      <c r="W3852" s="319"/>
    </row>
    <row r="3853" spans="23:23" x14ac:dyDescent="0.2">
      <c r="W3853" s="319"/>
    </row>
    <row r="3854" spans="23:23" x14ac:dyDescent="0.2">
      <c r="W3854" s="319"/>
    </row>
    <row r="3855" spans="23:23" x14ac:dyDescent="0.2">
      <c r="W3855" s="319"/>
    </row>
    <row r="3856" spans="23:23" x14ac:dyDescent="0.2">
      <c r="W3856" s="319"/>
    </row>
    <row r="3857" spans="23:23" x14ac:dyDescent="0.2">
      <c r="W3857" s="319"/>
    </row>
    <row r="3858" spans="23:23" x14ac:dyDescent="0.2">
      <c r="W3858" s="319"/>
    </row>
    <row r="3859" spans="23:23" x14ac:dyDescent="0.2">
      <c r="W3859" s="319"/>
    </row>
    <row r="3860" spans="23:23" x14ac:dyDescent="0.2">
      <c r="W3860" s="319"/>
    </row>
    <row r="3861" spans="23:23" x14ac:dyDescent="0.2">
      <c r="W3861" s="319"/>
    </row>
    <row r="3862" spans="23:23" x14ac:dyDescent="0.2">
      <c r="W3862" s="319"/>
    </row>
    <row r="3863" spans="23:23" x14ac:dyDescent="0.2">
      <c r="W3863" s="319"/>
    </row>
    <row r="3864" spans="23:23" x14ac:dyDescent="0.2">
      <c r="W3864" s="319"/>
    </row>
    <row r="3865" spans="23:23" x14ac:dyDescent="0.2">
      <c r="W3865" s="319"/>
    </row>
    <row r="3866" spans="23:23" x14ac:dyDescent="0.2">
      <c r="W3866" s="319"/>
    </row>
    <row r="3867" spans="23:23" x14ac:dyDescent="0.2">
      <c r="W3867" s="319"/>
    </row>
    <row r="3868" spans="23:23" x14ac:dyDescent="0.2">
      <c r="W3868" s="319"/>
    </row>
    <row r="3869" spans="23:23" x14ac:dyDescent="0.2">
      <c r="W3869" s="319"/>
    </row>
    <row r="3870" spans="23:23" x14ac:dyDescent="0.2">
      <c r="W3870" s="319"/>
    </row>
    <row r="3871" spans="23:23" x14ac:dyDescent="0.2">
      <c r="W3871" s="319"/>
    </row>
    <row r="3872" spans="23:23" x14ac:dyDescent="0.2">
      <c r="W3872" s="319"/>
    </row>
    <row r="3873" spans="23:23" x14ac:dyDescent="0.2">
      <c r="W3873" s="319"/>
    </row>
    <row r="3874" spans="23:23" x14ac:dyDescent="0.2">
      <c r="W3874" s="319"/>
    </row>
    <row r="3875" spans="23:23" x14ac:dyDescent="0.2">
      <c r="W3875" s="319"/>
    </row>
    <row r="3876" spans="23:23" x14ac:dyDescent="0.2">
      <c r="W3876" s="319"/>
    </row>
    <row r="3877" spans="23:23" x14ac:dyDescent="0.2">
      <c r="W3877" s="319"/>
    </row>
    <row r="3878" spans="23:23" x14ac:dyDescent="0.2">
      <c r="W3878" s="319"/>
    </row>
    <row r="3879" spans="23:23" x14ac:dyDescent="0.2">
      <c r="W3879" s="319"/>
    </row>
    <row r="3880" spans="23:23" x14ac:dyDescent="0.2">
      <c r="W3880" s="319"/>
    </row>
    <row r="3881" spans="23:23" x14ac:dyDescent="0.2">
      <c r="W3881" s="319"/>
    </row>
    <row r="3882" spans="23:23" x14ac:dyDescent="0.2">
      <c r="W3882" s="319"/>
    </row>
    <row r="3883" spans="23:23" x14ac:dyDescent="0.2">
      <c r="W3883" s="319"/>
    </row>
    <row r="3884" spans="23:23" x14ac:dyDescent="0.2">
      <c r="W3884" s="319"/>
    </row>
    <row r="3885" spans="23:23" x14ac:dyDescent="0.2">
      <c r="W3885" s="319"/>
    </row>
    <row r="3886" spans="23:23" x14ac:dyDescent="0.2">
      <c r="W3886" s="319"/>
    </row>
    <row r="3887" spans="23:23" x14ac:dyDescent="0.2">
      <c r="W3887" s="319"/>
    </row>
    <row r="3888" spans="23:23" x14ac:dyDescent="0.2">
      <c r="W3888" s="319"/>
    </row>
    <row r="3889" spans="23:23" x14ac:dyDescent="0.2">
      <c r="W3889" s="319"/>
    </row>
    <row r="3890" spans="23:23" x14ac:dyDescent="0.2">
      <c r="W3890" s="319"/>
    </row>
    <row r="3891" spans="23:23" x14ac:dyDescent="0.2">
      <c r="W3891" s="319"/>
    </row>
    <row r="3892" spans="23:23" x14ac:dyDescent="0.2">
      <c r="W3892" s="319"/>
    </row>
    <row r="3893" spans="23:23" x14ac:dyDescent="0.2">
      <c r="W3893" s="319"/>
    </row>
    <row r="3894" spans="23:23" x14ac:dyDescent="0.2">
      <c r="W3894" s="319"/>
    </row>
    <row r="3895" spans="23:23" x14ac:dyDescent="0.2">
      <c r="W3895" s="319"/>
    </row>
    <row r="3896" spans="23:23" x14ac:dyDescent="0.2">
      <c r="W3896" s="319"/>
    </row>
    <row r="3897" spans="23:23" x14ac:dyDescent="0.2">
      <c r="W3897" s="319"/>
    </row>
    <row r="3898" spans="23:23" x14ac:dyDescent="0.2">
      <c r="W3898" s="319"/>
    </row>
    <row r="3899" spans="23:23" x14ac:dyDescent="0.2">
      <c r="W3899" s="319"/>
    </row>
    <row r="3900" spans="23:23" x14ac:dyDescent="0.2">
      <c r="W3900" s="319"/>
    </row>
    <row r="3901" spans="23:23" x14ac:dyDescent="0.2">
      <c r="W3901" s="319"/>
    </row>
    <row r="3902" spans="23:23" x14ac:dyDescent="0.2">
      <c r="W3902" s="319"/>
    </row>
    <row r="3903" spans="23:23" x14ac:dyDescent="0.2">
      <c r="W3903" s="319"/>
    </row>
    <row r="3904" spans="23:23" x14ac:dyDescent="0.2">
      <c r="W3904" s="319"/>
    </row>
    <row r="3905" spans="23:23" x14ac:dyDescent="0.2">
      <c r="W3905" s="319"/>
    </row>
    <row r="3906" spans="23:23" x14ac:dyDescent="0.2">
      <c r="W3906" s="319"/>
    </row>
    <row r="3907" spans="23:23" x14ac:dyDescent="0.2">
      <c r="W3907" s="319"/>
    </row>
    <row r="3908" spans="23:23" x14ac:dyDescent="0.2">
      <c r="W3908" s="319"/>
    </row>
    <row r="3909" spans="23:23" x14ac:dyDescent="0.2">
      <c r="W3909" s="319"/>
    </row>
    <row r="3910" spans="23:23" x14ac:dyDescent="0.2">
      <c r="W3910" s="319"/>
    </row>
    <row r="3911" spans="23:23" x14ac:dyDescent="0.2">
      <c r="W3911" s="319"/>
    </row>
    <row r="3912" spans="23:23" x14ac:dyDescent="0.2">
      <c r="W3912" s="319"/>
    </row>
    <row r="3913" spans="23:23" x14ac:dyDescent="0.2">
      <c r="W3913" s="319"/>
    </row>
    <row r="3914" spans="23:23" x14ac:dyDescent="0.2">
      <c r="W3914" s="319"/>
    </row>
    <row r="3915" spans="23:23" x14ac:dyDescent="0.2">
      <c r="W3915" s="319"/>
    </row>
    <row r="3916" spans="23:23" x14ac:dyDescent="0.2">
      <c r="W3916" s="319"/>
    </row>
    <row r="3917" spans="23:23" x14ac:dyDescent="0.2">
      <c r="W3917" s="319"/>
    </row>
    <row r="3918" spans="23:23" x14ac:dyDescent="0.2">
      <c r="W3918" s="319"/>
    </row>
    <row r="3919" spans="23:23" x14ac:dyDescent="0.2">
      <c r="W3919" s="319"/>
    </row>
    <row r="3920" spans="23:23" x14ac:dyDescent="0.2">
      <c r="W3920" s="319"/>
    </row>
    <row r="3921" spans="23:23" x14ac:dyDescent="0.2">
      <c r="W3921" s="319"/>
    </row>
    <row r="3922" spans="23:23" x14ac:dyDescent="0.2">
      <c r="W3922" s="319"/>
    </row>
    <row r="3923" spans="23:23" x14ac:dyDescent="0.2">
      <c r="W3923" s="319"/>
    </row>
    <row r="3924" spans="23:23" x14ac:dyDescent="0.2">
      <c r="W3924" s="319"/>
    </row>
    <row r="3925" spans="23:23" x14ac:dyDescent="0.2">
      <c r="W3925" s="319"/>
    </row>
    <row r="3926" spans="23:23" x14ac:dyDescent="0.2">
      <c r="W3926" s="319"/>
    </row>
    <row r="3927" spans="23:23" x14ac:dyDescent="0.2">
      <c r="W3927" s="319"/>
    </row>
    <row r="3928" spans="23:23" x14ac:dyDescent="0.2">
      <c r="W3928" s="319"/>
    </row>
    <row r="3929" spans="23:23" x14ac:dyDescent="0.2">
      <c r="W3929" s="319"/>
    </row>
    <row r="3930" spans="23:23" x14ac:dyDescent="0.2">
      <c r="W3930" s="319"/>
    </row>
    <row r="3931" spans="23:23" x14ac:dyDescent="0.2">
      <c r="W3931" s="319"/>
    </row>
    <row r="3932" spans="23:23" x14ac:dyDescent="0.2">
      <c r="W3932" s="319"/>
    </row>
    <row r="3933" spans="23:23" x14ac:dyDescent="0.2">
      <c r="W3933" s="319"/>
    </row>
    <row r="3934" spans="23:23" x14ac:dyDescent="0.2">
      <c r="W3934" s="319"/>
    </row>
    <row r="3935" spans="23:23" x14ac:dyDescent="0.2">
      <c r="W3935" s="319"/>
    </row>
    <row r="3936" spans="23:23" x14ac:dyDescent="0.2">
      <c r="W3936" s="319"/>
    </row>
    <row r="3937" spans="23:23" x14ac:dyDescent="0.2">
      <c r="W3937" s="319"/>
    </row>
    <row r="3938" spans="23:23" x14ac:dyDescent="0.2">
      <c r="W3938" s="319"/>
    </row>
    <row r="3939" spans="23:23" x14ac:dyDescent="0.2">
      <c r="W3939" s="319"/>
    </row>
    <row r="3940" spans="23:23" x14ac:dyDescent="0.2">
      <c r="W3940" s="319"/>
    </row>
    <row r="3941" spans="23:23" x14ac:dyDescent="0.2">
      <c r="W3941" s="319"/>
    </row>
    <row r="3942" spans="23:23" x14ac:dyDescent="0.2">
      <c r="W3942" s="319"/>
    </row>
    <row r="3943" spans="23:23" x14ac:dyDescent="0.2">
      <c r="W3943" s="319"/>
    </row>
    <row r="3944" spans="23:23" x14ac:dyDescent="0.2">
      <c r="W3944" s="319"/>
    </row>
    <row r="3945" spans="23:23" x14ac:dyDescent="0.2">
      <c r="W3945" s="319"/>
    </row>
    <row r="3946" spans="23:23" x14ac:dyDescent="0.2">
      <c r="W3946" s="319"/>
    </row>
    <row r="3947" spans="23:23" x14ac:dyDescent="0.2">
      <c r="W3947" s="319"/>
    </row>
    <row r="3948" spans="23:23" x14ac:dyDescent="0.2">
      <c r="W3948" s="319"/>
    </row>
    <row r="3949" spans="23:23" x14ac:dyDescent="0.2">
      <c r="W3949" s="319"/>
    </row>
    <row r="3950" spans="23:23" x14ac:dyDescent="0.2">
      <c r="W3950" s="319"/>
    </row>
    <row r="3951" spans="23:23" x14ac:dyDescent="0.2">
      <c r="W3951" s="319"/>
    </row>
    <row r="3952" spans="23:23" x14ac:dyDescent="0.2">
      <c r="W3952" s="319"/>
    </row>
    <row r="3953" spans="23:23" x14ac:dyDescent="0.2">
      <c r="W3953" s="319"/>
    </row>
    <row r="3954" spans="23:23" x14ac:dyDescent="0.2">
      <c r="W3954" s="319"/>
    </row>
    <row r="3955" spans="23:23" x14ac:dyDescent="0.2">
      <c r="W3955" s="319"/>
    </row>
    <row r="3956" spans="23:23" x14ac:dyDescent="0.2">
      <c r="W3956" s="319"/>
    </row>
    <row r="3957" spans="23:23" x14ac:dyDescent="0.2">
      <c r="W3957" s="319"/>
    </row>
    <row r="3958" spans="23:23" x14ac:dyDescent="0.2">
      <c r="W3958" s="319"/>
    </row>
    <row r="3959" spans="23:23" x14ac:dyDescent="0.2">
      <c r="W3959" s="319"/>
    </row>
    <row r="3960" spans="23:23" x14ac:dyDescent="0.2">
      <c r="W3960" s="319"/>
    </row>
    <row r="3961" spans="23:23" x14ac:dyDescent="0.2">
      <c r="W3961" s="319"/>
    </row>
    <row r="3962" spans="23:23" x14ac:dyDescent="0.2">
      <c r="W3962" s="319"/>
    </row>
    <row r="3963" spans="23:23" x14ac:dyDescent="0.2">
      <c r="W3963" s="319"/>
    </row>
    <row r="3964" spans="23:23" x14ac:dyDescent="0.2">
      <c r="W3964" s="319"/>
    </row>
    <row r="3965" spans="23:23" x14ac:dyDescent="0.2">
      <c r="W3965" s="319"/>
    </row>
    <row r="3966" spans="23:23" x14ac:dyDescent="0.2">
      <c r="W3966" s="319"/>
    </row>
    <row r="3967" spans="23:23" x14ac:dyDescent="0.2">
      <c r="W3967" s="319"/>
    </row>
    <row r="3968" spans="23:23" x14ac:dyDescent="0.2">
      <c r="W3968" s="319"/>
    </row>
    <row r="3969" spans="23:23" x14ac:dyDescent="0.2">
      <c r="W3969" s="319"/>
    </row>
    <row r="3970" spans="23:23" x14ac:dyDescent="0.2">
      <c r="W3970" s="319"/>
    </row>
    <row r="3971" spans="23:23" x14ac:dyDescent="0.2">
      <c r="W3971" s="319"/>
    </row>
    <row r="3972" spans="23:23" x14ac:dyDescent="0.2">
      <c r="W3972" s="319"/>
    </row>
    <row r="3973" spans="23:23" x14ac:dyDescent="0.2">
      <c r="W3973" s="319"/>
    </row>
    <row r="3974" spans="23:23" x14ac:dyDescent="0.2">
      <c r="W3974" s="319"/>
    </row>
    <row r="3975" spans="23:23" x14ac:dyDescent="0.2">
      <c r="W3975" s="319"/>
    </row>
    <row r="3976" spans="23:23" x14ac:dyDescent="0.2">
      <c r="W3976" s="319"/>
    </row>
    <row r="3977" spans="23:23" x14ac:dyDescent="0.2">
      <c r="W3977" s="319"/>
    </row>
    <row r="3978" spans="23:23" x14ac:dyDescent="0.2">
      <c r="W3978" s="319"/>
    </row>
    <row r="3979" spans="23:23" x14ac:dyDescent="0.2">
      <c r="W3979" s="319"/>
    </row>
    <row r="3980" spans="23:23" x14ac:dyDescent="0.2">
      <c r="W3980" s="319"/>
    </row>
    <row r="3981" spans="23:23" x14ac:dyDescent="0.2">
      <c r="W3981" s="319"/>
    </row>
    <row r="3982" spans="23:23" x14ac:dyDescent="0.2">
      <c r="W3982" s="319"/>
    </row>
    <row r="3983" spans="23:23" x14ac:dyDescent="0.2">
      <c r="W3983" s="319"/>
    </row>
    <row r="3984" spans="23:23" x14ac:dyDescent="0.2">
      <c r="W3984" s="319"/>
    </row>
    <row r="3985" spans="23:23" x14ac:dyDescent="0.2">
      <c r="W3985" s="319"/>
    </row>
    <row r="3986" spans="23:23" x14ac:dyDescent="0.2">
      <c r="W3986" s="319"/>
    </row>
    <row r="3987" spans="23:23" x14ac:dyDescent="0.2">
      <c r="W3987" s="319"/>
    </row>
    <row r="3988" spans="23:23" x14ac:dyDescent="0.2">
      <c r="W3988" s="319"/>
    </row>
    <row r="3989" spans="23:23" x14ac:dyDescent="0.2">
      <c r="W3989" s="319"/>
    </row>
    <row r="3990" spans="23:23" x14ac:dyDescent="0.2">
      <c r="W3990" s="319"/>
    </row>
    <row r="3991" spans="23:23" x14ac:dyDescent="0.2">
      <c r="W3991" s="319"/>
    </row>
    <row r="3992" spans="23:23" x14ac:dyDescent="0.2">
      <c r="W3992" s="319"/>
    </row>
    <row r="3993" spans="23:23" x14ac:dyDescent="0.2">
      <c r="W3993" s="319"/>
    </row>
    <row r="3994" spans="23:23" x14ac:dyDescent="0.2">
      <c r="W3994" s="319"/>
    </row>
    <row r="3995" spans="23:23" x14ac:dyDescent="0.2">
      <c r="W3995" s="319"/>
    </row>
    <row r="3996" spans="23:23" x14ac:dyDescent="0.2">
      <c r="W3996" s="319"/>
    </row>
    <row r="3997" spans="23:23" x14ac:dyDescent="0.2">
      <c r="W3997" s="319"/>
    </row>
    <row r="3998" spans="23:23" x14ac:dyDescent="0.2">
      <c r="W3998" s="319"/>
    </row>
    <row r="3999" spans="23:23" x14ac:dyDescent="0.2">
      <c r="W3999" s="319"/>
    </row>
    <row r="4000" spans="23:23" x14ac:dyDescent="0.2">
      <c r="W4000" s="319"/>
    </row>
    <row r="4001" spans="23:23" x14ac:dyDescent="0.2">
      <c r="W4001" s="319"/>
    </row>
    <row r="4002" spans="23:23" x14ac:dyDescent="0.2">
      <c r="W4002" s="319"/>
    </row>
    <row r="4003" spans="23:23" x14ac:dyDescent="0.2">
      <c r="W4003" s="319"/>
    </row>
    <row r="4004" spans="23:23" x14ac:dyDescent="0.2">
      <c r="W4004" s="319"/>
    </row>
    <row r="4005" spans="23:23" x14ac:dyDescent="0.2">
      <c r="W4005" s="319"/>
    </row>
    <row r="4006" spans="23:23" x14ac:dyDescent="0.2">
      <c r="W4006" s="319"/>
    </row>
    <row r="4007" spans="23:23" x14ac:dyDescent="0.2">
      <c r="W4007" s="319"/>
    </row>
    <row r="4008" spans="23:23" x14ac:dyDescent="0.2">
      <c r="W4008" s="319"/>
    </row>
    <row r="4009" spans="23:23" x14ac:dyDescent="0.2">
      <c r="W4009" s="319"/>
    </row>
    <row r="4010" spans="23:23" x14ac:dyDescent="0.2">
      <c r="W4010" s="319"/>
    </row>
    <row r="4011" spans="23:23" x14ac:dyDescent="0.2">
      <c r="W4011" s="319"/>
    </row>
    <row r="4012" spans="23:23" x14ac:dyDescent="0.2">
      <c r="W4012" s="319"/>
    </row>
    <row r="4013" spans="23:23" x14ac:dyDescent="0.2">
      <c r="W4013" s="319"/>
    </row>
    <row r="4014" spans="23:23" x14ac:dyDescent="0.2">
      <c r="W4014" s="319"/>
    </row>
    <row r="4015" spans="23:23" x14ac:dyDescent="0.2">
      <c r="W4015" s="319"/>
    </row>
    <row r="4016" spans="23:23" x14ac:dyDescent="0.2">
      <c r="W4016" s="319"/>
    </row>
    <row r="4017" spans="23:23" x14ac:dyDescent="0.2">
      <c r="W4017" s="319"/>
    </row>
    <row r="4018" spans="23:23" x14ac:dyDescent="0.2">
      <c r="W4018" s="319"/>
    </row>
    <row r="4019" spans="23:23" x14ac:dyDescent="0.2">
      <c r="W4019" s="319"/>
    </row>
    <row r="4020" spans="23:23" x14ac:dyDescent="0.2">
      <c r="W4020" s="319"/>
    </row>
    <row r="4021" spans="23:23" x14ac:dyDescent="0.2">
      <c r="W4021" s="319"/>
    </row>
    <row r="4022" spans="23:23" x14ac:dyDescent="0.2">
      <c r="W4022" s="319"/>
    </row>
    <row r="4023" spans="23:23" x14ac:dyDescent="0.2">
      <c r="W4023" s="319"/>
    </row>
    <row r="4024" spans="23:23" x14ac:dyDescent="0.2">
      <c r="W4024" s="319"/>
    </row>
    <row r="4025" spans="23:23" x14ac:dyDescent="0.2">
      <c r="W4025" s="319"/>
    </row>
    <row r="4026" spans="23:23" x14ac:dyDescent="0.2">
      <c r="W4026" s="319"/>
    </row>
    <row r="4027" spans="23:23" x14ac:dyDescent="0.2">
      <c r="W4027" s="319"/>
    </row>
    <row r="4028" spans="23:23" x14ac:dyDescent="0.2">
      <c r="W4028" s="319"/>
    </row>
    <row r="4029" spans="23:23" x14ac:dyDescent="0.2">
      <c r="W4029" s="319"/>
    </row>
    <row r="4030" spans="23:23" x14ac:dyDescent="0.2">
      <c r="W4030" s="319"/>
    </row>
    <row r="4031" spans="23:23" x14ac:dyDescent="0.2">
      <c r="W4031" s="319"/>
    </row>
    <row r="4032" spans="23:23" x14ac:dyDescent="0.2">
      <c r="W4032" s="319"/>
    </row>
    <row r="4033" spans="23:23" x14ac:dyDescent="0.2">
      <c r="W4033" s="319"/>
    </row>
    <row r="4034" spans="23:23" x14ac:dyDescent="0.2">
      <c r="W4034" s="319"/>
    </row>
    <row r="4035" spans="23:23" x14ac:dyDescent="0.2">
      <c r="W4035" s="319"/>
    </row>
    <row r="4036" spans="23:23" x14ac:dyDescent="0.2">
      <c r="W4036" s="319"/>
    </row>
    <row r="4037" spans="23:23" x14ac:dyDescent="0.2">
      <c r="W4037" s="319"/>
    </row>
    <row r="4038" spans="23:23" x14ac:dyDescent="0.2">
      <c r="W4038" s="319"/>
    </row>
    <row r="4039" spans="23:23" x14ac:dyDescent="0.2">
      <c r="W4039" s="319"/>
    </row>
    <row r="4040" spans="23:23" x14ac:dyDescent="0.2">
      <c r="W4040" s="319"/>
    </row>
    <row r="4041" spans="23:23" x14ac:dyDescent="0.2">
      <c r="W4041" s="319"/>
    </row>
    <row r="4042" spans="23:23" x14ac:dyDescent="0.2">
      <c r="W4042" s="319"/>
    </row>
    <row r="4043" spans="23:23" x14ac:dyDescent="0.2">
      <c r="W4043" s="319"/>
    </row>
    <row r="4044" spans="23:23" x14ac:dyDescent="0.2">
      <c r="W4044" s="319"/>
    </row>
    <row r="4045" spans="23:23" x14ac:dyDescent="0.2">
      <c r="W4045" s="319"/>
    </row>
    <row r="4046" spans="23:23" x14ac:dyDescent="0.2">
      <c r="W4046" s="319"/>
    </row>
    <row r="4047" spans="23:23" x14ac:dyDescent="0.2">
      <c r="W4047" s="319"/>
    </row>
    <row r="4048" spans="23:23" x14ac:dyDescent="0.2">
      <c r="W4048" s="319"/>
    </row>
    <row r="4049" spans="23:23" x14ac:dyDescent="0.2">
      <c r="W4049" s="319"/>
    </row>
    <row r="4050" spans="23:23" x14ac:dyDescent="0.2">
      <c r="W4050" s="319"/>
    </row>
    <row r="4051" spans="23:23" x14ac:dyDescent="0.2">
      <c r="W4051" s="319"/>
    </row>
    <row r="4052" spans="23:23" x14ac:dyDescent="0.2">
      <c r="W4052" s="319"/>
    </row>
    <row r="4053" spans="23:23" x14ac:dyDescent="0.2">
      <c r="W4053" s="319"/>
    </row>
    <row r="4054" spans="23:23" x14ac:dyDescent="0.2">
      <c r="W4054" s="319"/>
    </row>
    <row r="4055" spans="23:23" x14ac:dyDescent="0.2">
      <c r="W4055" s="319"/>
    </row>
    <row r="4056" spans="23:23" x14ac:dyDescent="0.2">
      <c r="W4056" s="319"/>
    </row>
    <row r="4057" spans="23:23" x14ac:dyDescent="0.2">
      <c r="W4057" s="319"/>
    </row>
    <row r="4058" spans="23:23" x14ac:dyDescent="0.2">
      <c r="W4058" s="319"/>
    </row>
    <row r="4059" spans="23:23" x14ac:dyDescent="0.2">
      <c r="W4059" s="319"/>
    </row>
    <row r="4060" spans="23:23" x14ac:dyDescent="0.2">
      <c r="W4060" s="319"/>
    </row>
    <row r="4061" spans="23:23" x14ac:dyDescent="0.2">
      <c r="W4061" s="319"/>
    </row>
    <row r="4062" spans="23:23" x14ac:dyDescent="0.2">
      <c r="W4062" s="319"/>
    </row>
    <row r="4063" spans="23:23" x14ac:dyDescent="0.2">
      <c r="W4063" s="319"/>
    </row>
    <row r="4064" spans="23:23" x14ac:dyDescent="0.2">
      <c r="W4064" s="319"/>
    </row>
    <row r="4065" spans="23:23" x14ac:dyDescent="0.2">
      <c r="W4065" s="319"/>
    </row>
    <row r="4066" spans="23:23" x14ac:dyDescent="0.2">
      <c r="W4066" s="319"/>
    </row>
    <row r="4067" spans="23:23" x14ac:dyDescent="0.2">
      <c r="W4067" s="319"/>
    </row>
    <row r="4068" spans="23:23" x14ac:dyDescent="0.2">
      <c r="W4068" s="319"/>
    </row>
    <row r="4069" spans="23:23" x14ac:dyDescent="0.2">
      <c r="W4069" s="319"/>
    </row>
    <row r="4070" spans="23:23" x14ac:dyDescent="0.2">
      <c r="W4070" s="319"/>
    </row>
    <row r="4071" spans="23:23" x14ac:dyDescent="0.2">
      <c r="W4071" s="319"/>
    </row>
    <row r="4072" spans="23:23" x14ac:dyDescent="0.2">
      <c r="W4072" s="319"/>
    </row>
    <row r="4073" spans="23:23" x14ac:dyDescent="0.2">
      <c r="W4073" s="319"/>
    </row>
    <row r="4074" spans="23:23" x14ac:dyDescent="0.2">
      <c r="W4074" s="319"/>
    </row>
    <row r="4075" spans="23:23" x14ac:dyDescent="0.2">
      <c r="W4075" s="319"/>
    </row>
    <row r="4076" spans="23:23" x14ac:dyDescent="0.2">
      <c r="W4076" s="319"/>
    </row>
    <row r="4077" spans="23:23" x14ac:dyDescent="0.2">
      <c r="W4077" s="319"/>
    </row>
    <row r="4078" spans="23:23" x14ac:dyDescent="0.2">
      <c r="W4078" s="319"/>
    </row>
    <row r="4079" spans="23:23" x14ac:dyDescent="0.2">
      <c r="W4079" s="319"/>
    </row>
    <row r="4080" spans="23:23" x14ac:dyDescent="0.2">
      <c r="W4080" s="319"/>
    </row>
    <row r="4081" spans="23:23" x14ac:dyDescent="0.2">
      <c r="W4081" s="319"/>
    </row>
    <row r="4082" spans="23:23" x14ac:dyDescent="0.2">
      <c r="W4082" s="319"/>
    </row>
    <row r="4083" spans="23:23" x14ac:dyDescent="0.2">
      <c r="W4083" s="319"/>
    </row>
    <row r="4084" spans="23:23" x14ac:dyDescent="0.2">
      <c r="W4084" s="319"/>
    </row>
    <row r="4085" spans="23:23" x14ac:dyDescent="0.2">
      <c r="W4085" s="319"/>
    </row>
    <row r="4086" spans="23:23" x14ac:dyDescent="0.2">
      <c r="W4086" s="319"/>
    </row>
    <row r="4087" spans="23:23" x14ac:dyDescent="0.2">
      <c r="W4087" s="319"/>
    </row>
    <row r="4088" spans="23:23" x14ac:dyDescent="0.2">
      <c r="W4088" s="319"/>
    </row>
    <row r="4089" spans="23:23" x14ac:dyDescent="0.2">
      <c r="W4089" s="319"/>
    </row>
    <row r="4090" spans="23:23" x14ac:dyDescent="0.2">
      <c r="W4090" s="319"/>
    </row>
    <row r="4091" spans="23:23" x14ac:dyDescent="0.2">
      <c r="W4091" s="319"/>
    </row>
    <row r="4092" spans="23:23" x14ac:dyDescent="0.2">
      <c r="W4092" s="319"/>
    </row>
    <row r="4093" spans="23:23" x14ac:dyDescent="0.2">
      <c r="W4093" s="319"/>
    </row>
    <row r="4094" spans="23:23" x14ac:dyDescent="0.2">
      <c r="W4094" s="319"/>
    </row>
    <row r="4095" spans="23:23" x14ac:dyDescent="0.2">
      <c r="W4095" s="319"/>
    </row>
    <row r="4096" spans="23:23" x14ac:dyDescent="0.2">
      <c r="W4096" s="319"/>
    </row>
    <row r="4097" spans="23:23" x14ac:dyDescent="0.2">
      <c r="W4097" s="319"/>
    </row>
    <row r="4098" spans="23:23" x14ac:dyDescent="0.2">
      <c r="W4098" s="319"/>
    </row>
    <row r="4099" spans="23:23" x14ac:dyDescent="0.2">
      <c r="W4099" s="319"/>
    </row>
    <row r="4100" spans="23:23" x14ac:dyDescent="0.2">
      <c r="W4100" s="319"/>
    </row>
    <row r="4101" spans="23:23" x14ac:dyDescent="0.2">
      <c r="W4101" s="319"/>
    </row>
    <row r="4102" spans="23:23" x14ac:dyDescent="0.2">
      <c r="W4102" s="319"/>
    </row>
    <row r="4103" spans="23:23" x14ac:dyDescent="0.2">
      <c r="W4103" s="319"/>
    </row>
    <row r="4104" spans="23:23" x14ac:dyDescent="0.2">
      <c r="W4104" s="319"/>
    </row>
    <row r="4105" spans="23:23" x14ac:dyDescent="0.2">
      <c r="W4105" s="319"/>
    </row>
    <row r="4106" spans="23:23" x14ac:dyDescent="0.2">
      <c r="W4106" s="319"/>
    </row>
    <row r="4107" spans="23:23" x14ac:dyDescent="0.2">
      <c r="W4107" s="319"/>
    </row>
    <row r="4108" spans="23:23" x14ac:dyDescent="0.2">
      <c r="W4108" s="319"/>
    </row>
    <row r="4109" spans="23:23" x14ac:dyDescent="0.2">
      <c r="W4109" s="319"/>
    </row>
    <row r="4110" spans="23:23" x14ac:dyDescent="0.2">
      <c r="W4110" s="319"/>
    </row>
    <row r="4111" spans="23:23" x14ac:dyDescent="0.2">
      <c r="W4111" s="319"/>
    </row>
    <row r="4112" spans="23:23" x14ac:dyDescent="0.2">
      <c r="W4112" s="319"/>
    </row>
    <row r="4113" spans="23:23" x14ac:dyDescent="0.2">
      <c r="W4113" s="319"/>
    </row>
    <row r="4114" spans="23:23" x14ac:dyDescent="0.2">
      <c r="W4114" s="319"/>
    </row>
    <row r="4115" spans="23:23" x14ac:dyDescent="0.2">
      <c r="W4115" s="319"/>
    </row>
    <row r="4116" spans="23:23" x14ac:dyDescent="0.2">
      <c r="W4116" s="319"/>
    </row>
    <row r="4117" spans="23:23" x14ac:dyDescent="0.2">
      <c r="W4117" s="319"/>
    </row>
    <row r="4118" spans="23:23" x14ac:dyDescent="0.2">
      <c r="W4118" s="319"/>
    </row>
    <row r="4119" spans="23:23" x14ac:dyDescent="0.2">
      <c r="W4119" s="319"/>
    </row>
    <row r="4120" spans="23:23" x14ac:dyDescent="0.2">
      <c r="W4120" s="319"/>
    </row>
    <row r="4121" spans="23:23" x14ac:dyDescent="0.2">
      <c r="W4121" s="319"/>
    </row>
    <row r="4122" spans="23:23" x14ac:dyDescent="0.2">
      <c r="W4122" s="319"/>
    </row>
    <row r="4123" spans="23:23" x14ac:dyDescent="0.2">
      <c r="W4123" s="319"/>
    </row>
    <row r="4124" spans="23:23" x14ac:dyDescent="0.2">
      <c r="W4124" s="319"/>
    </row>
    <row r="4125" spans="23:23" x14ac:dyDescent="0.2">
      <c r="W4125" s="319"/>
    </row>
    <row r="4126" spans="23:23" x14ac:dyDescent="0.2">
      <c r="W4126" s="319"/>
    </row>
    <row r="4127" spans="23:23" x14ac:dyDescent="0.2">
      <c r="W4127" s="319"/>
    </row>
    <row r="4128" spans="23:23" x14ac:dyDescent="0.2">
      <c r="W4128" s="319"/>
    </row>
    <row r="4129" spans="23:23" x14ac:dyDescent="0.2">
      <c r="W4129" s="319"/>
    </row>
    <row r="4130" spans="23:23" x14ac:dyDescent="0.2">
      <c r="W4130" s="319"/>
    </row>
    <row r="4131" spans="23:23" x14ac:dyDescent="0.2">
      <c r="W4131" s="319"/>
    </row>
    <row r="4132" spans="23:23" x14ac:dyDescent="0.2">
      <c r="W4132" s="319"/>
    </row>
    <row r="4133" spans="23:23" x14ac:dyDescent="0.2">
      <c r="W4133" s="319"/>
    </row>
    <row r="4134" spans="23:23" x14ac:dyDescent="0.2">
      <c r="W4134" s="319"/>
    </row>
    <row r="4135" spans="23:23" x14ac:dyDescent="0.2">
      <c r="W4135" s="319"/>
    </row>
    <row r="4136" spans="23:23" x14ac:dyDescent="0.2">
      <c r="W4136" s="319"/>
    </row>
    <row r="4137" spans="23:23" x14ac:dyDescent="0.2">
      <c r="W4137" s="319"/>
    </row>
    <row r="4138" spans="23:23" x14ac:dyDescent="0.2">
      <c r="W4138" s="319"/>
    </row>
    <row r="4139" spans="23:23" x14ac:dyDescent="0.2">
      <c r="W4139" s="319"/>
    </row>
    <row r="4140" spans="23:23" x14ac:dyDescent="0.2">
      <c r="W4140" s="319"/>
    </row>
    <row r="4141" spans="23:23" x14ac:dyDescent="0.2">
      <c r="W4141" s="319"/>
    </row>
    <row r="4142" spans="23:23" x14ac:dyDescent="0.2">
      <c r="W4142" s="319"/>
    </row>
    <row r="4143" spans="23:23" x14ac:dyDescent="0.2">
      <c r="W4143" s="319"/>
    </row>
    <row r="4144" spans="23:23" x14ac:dyDescent="0.2">
      <c r="W4144" s="319"/>
    </row>
    <row r="4145" spans="23:23" x14ac:dyDescent="0.2">
      <c r="W4145" s="319"/>
    </row>
    <row r="4146" spans="23:23" x14ac:dyDescent="0.2">
      <c r="W4146" s="319"/>
    </row>
    <row r="4147" spans="23:23" x14ac:dyDescent="0.2">
      <c r="W4147" s="319"/>
    </row>
    <row r="4148" spans="23:23" x14ac:dyDescent="0.2">
      <c r="W4148" s="319"/>
    </row>
    <row r="4149" spans="23:23" x14ac:dyDescent="0.2">
      <c r="W4149" s="319"/>
    </row>
    <row r="4150" spans="23:23" x14ac:dyDescent="0.2">
      <c r="W4150" s="319"/>
    </row>
    <row r="4151" spans="23:23" x14ac:dyDescent="0.2">
      <c r="W4151" s="319"/>
    </row>
    <row r="4152" spans="23:23" x14ac:dyDescent="0.2">
      <c r="W4152" s="319"/>
    </row>
    <row r="4153" spans="23:23" x14ac:dyDescent="0.2">
      <c r="W4153" s="319"/>
    </row>
    <row r="4154" spans="23:23" x14ac:dyDescent="0.2">
      <c r="W4154" s="319"/>
    </row>
    <row r="4155" spans="23:23" x14ac:dyDescent="0.2">
      <c r="W4155" s="319"/>
    </row>
    <row r="4156" spans="23:23" x14ac:dyDescent="0.2">
      <c r="W4156" s="319"/>
    </row>
    <row r="4157" spans="23:23" x14ac:dyDescent="0.2">
      <c r="W4157" s="319"/>
    </row>
    <row r="4158" spans="23:23" x14ac:dyDescent="0.2">
      <c r="W4158" s="319"/>
    </row>
    <row r="4159" spans="23:23" x14ac:dyDescent="0.2">
      <c r="W4159" s="319"/>
    </row>
    <row r="4160" spans="23:23" x14ac:dyDescent="0.2">
      <c r="W4160" s="319"/>
    </row>
    <row r="4161" spans="23:23" x14ac:dyDescent="0.2">
      <c r="W4161" s="319"/>
    </row>
    <row r="4162" spans="23:23" x14ac:dyDescent="0.2">
      <c r="W4162" s="319"/>
    </row>
    <row r="4163" spans="23:23" x14ac:dyDescent="0.2">
      <c r="W4163" s="319"/>
    </row>
    <row r="4164" spans="23:23" x14ac:dyDescent="0.2">
      <c r="W4164" s="319"/>
    </row>
    <row r="4165" spans="23:23" x14ac:dyDescent="0.2">
      <c r="W4165" s="319"/>
    </row>
    <row r="4166" spans="23:23" x14ac:dyDescent="0.2">
      <c r="W4166" s="319"/>
    </row>
    <row r="4167" spans="23:23" x14ac:dyDescent="0.2">
      <c r="W4167" s="319"/>
    </row>
    <row r="4168" spans="23:23" x14ac:dyDescent="0.2">
      <c r="W4168" s="319"/>
    </row>
    <row r="4169" spans="23:23" x14ac:dyDescent="0.2">
      <c r="W4169" s="319"/>
    </row>
    <row r="4170" spans="23:23" x14ac:dyDescent="0.2">
      <c r="W4170" s="319"/>
    </row>
    <row r="4171" spans="23:23" x14ac:dyDescent="0.2">
      <c r="W4171" s="319"/>
    </row>
    <row r="4172" spans="23:23" x14ac:dyDescent="0.2">
      <c r="W4172" s="319"/>
    </row>
    <row r="4173" spans="23:23" x14ac:dyDescent="0.2">
      <c r="W4173" s="319"/>
    </row>
    <row r="4174" spans="23:23" x14ac:dyDescent="0.2">
      <c r="W4174" s="319"/>
    </row>
    <row r="4175" spans="23:23" x14ac:dyDescent="0.2">
      <c r="W4175" s="319"/>
    </row>
    <row r="4176" spans="23:23" x14ac:dyDescent="0.2">
      <c r="W4176" s="319"/>
    </row>
    <row r="4177" spans="23:23" x14ac:dyDescent="0.2">
      <c r="W4177" s="319"/>
    </row>
    <row r="4178" spans="23:23" x14ac:dyDescent="0.2">
      <c r="W4178" s="319"/>
    </row>
    <row r="4179" spans="23:23" x14ac:dyDescent="0.2">
      <c r="W4179" s="319"/>
    </row>
    <row r="4180" spans="23:23" x14ac:dyDescent="0.2">
      <c r="W4180" s="319"/>
    </row>
    <row r="4181" spans="23:23" x14ac:dyDescent="0.2">
      <c r="W4181" s="319"/>
    </row>
    <row r="4182" spans="23:23" x14ac:dyDescent="0.2">
      <c r="W4182" s="319"/>
    </row>
    <row r="4183" spans="23:23" x14ac:dyDescent="0.2">
      <c r="W4183" s="319"/>
    </row>
    <row r="4184" spans="23:23" x14ac:dyDescent="0.2">
      <c r="W4184" s="319"/>
    </row>
    <row r="4185" spans="23:23" x14ac:dyDescent="0.2">
      <c r="W4185" s="319"/>
    </row>
    <row r="4186" spans="23:23" x14ac:dyDescent="0.2">
      <c r="W4186" s="319"/>
    </row>
    <row r="4187" spans="23:23" x14ac:dyDescent="0.2">
      <c r="W4187" s="319"/>
    </row>
    <row r="4188" spans="23:23" x14ac:dyDescent="0.2">
      <c r="W4188" s="319"/>
    </row>
    <row r="4189" spans="23:23" x14ac:dyDescent="0.2">
      <c r="W4189" s="319"/>
    </row>
    <row r="4190" spans="23:23" x14ac:dyDescent="0.2">
      <c r="W4190" s="319"/>
    </row>
    <row r="4191" spans="23:23" x14ac:dyDescent="0.2">
      <c r="W4191" s="319"/>
    </row>
    <row r="4192" spans="23:23" x14ac:dyDescent="0.2">
      <c r="W4192" s="319"/>
    </row>
    <row r="4193" spans="23:23" x14ac:dyDescent="0.2">
      <c r="W4193" s="319"/>
    </row>
    <row r="4194" spans="23:23" x14ac:dyDescent="0.2">
      <c r="W4194" s="319"/>
    </row>
    <row r="4195" spans="23:23" x14ac:dyDescent="0.2">
      <c r="W4195" s="319"/>
    </row>
    <row r="4196" spans="23:23" x14ac:dyDescent="0.2">
      <c r="W4196" s="319"/>
    </row>
    <row r="4197" spans="23:23" x14ac:dyDescent="0.2">
      <c r="W4197" s="319"/>
    </row>
    <row r="4198" spans="23:23" x14ac:dyDescent="0.2">
      <c r="W4198" s="319"/>
    </row>
    <row r="4199" spans="23:23" x14ac:dyDescent="0.2">
      <c r="W4199" s="319"/>
    </row>
    <row r="4200" spans="23:23" x14ac:dyDescent="0.2">
      <c r="W4200" s="319"/>
    </row>
    <row r="4201" spans="23:23" x14ac:dyDescent="0.2">
      <c r="W4201" s="319"/>
    </row>
    <row r="4202" spans="23:23" x14ac:dyDescent="0.2">
      <c r="W4202" s="319"/>
    </row>
    <row r="4203" spans="23:23" x14ac:dyDescent="0.2">
      <c r="W4203" s="319"/>
    </row>
    <row r="4204" spans="23:23" x14ac:dyDescent="0.2">
      <c r="W4204" s="319"/>
    </row>
    <row r="4205" spans="23:23" x14ac:dyDescent="0.2">
      <c r="W4205" s="319"/>
    </row>
    <row r="4206" spans="23:23" x14ac:dyDescent="0.2">
      <c r="W4206" s="319"/>
    </row>
    <row r="4207" spans="23:23" x14ac:dyDescent="0.2">
      <c r="W4207" s="319"/>
    </row>
    <row r="4208" spans="23:23" x14ac:dyDescent="0.2">
      <c r="W4208" s="319"/>
    </row>
    <row r="4209" spans="23:23" x14ac:dyDescent="0.2">
      <c r="W4209" s="319"/>
    </row>
    <row r="4210" spans="23:23" x14ac:dyDescent="0.2">
      <c r="W4210" s="319"/>
    </row>
    <row r="4211" spans="23:23" x14ac:dyDescent="0.2">
      <c r="W4211" s="319"/>
    </row>
    <row r="4212" spans="23:23" x14ac:dyDescent="0.2">
      <c r="W4212" s="319"/>
    </row>
    <row r="4213" spans="23:23" x14ac:dyDescent="0.2">
      <c r="W4213" s="319"/>
    </row>
    <row r="4214" spans="23:23" x14ac:dyDescent="0.2">
      <c r="W4214" s="319"/>
    </row>
    <row r="4215" spans="23:23" x14ac:dyDescent="0.2">
      <c r="W4215" s="319"/>
    </row>
    <row r="4216" spans="23:23" x14ac:dyDescent="0.2">
      <c r="W4216" s="319"/>
    </row>
    <row r="4217" spans="23:23" x14ac:dyDescent="0.2">
      <c r="W4217" s="319"/>
    </row>
    <row r="4218" spans="23:23" x14ac:dyDescent="0.2">
      <c r="W4218" s="319"/>
    </row>
    <row r="4219" spans="23:23" x14ac:dyDescent="0.2">
      <c r="W4219" s="319"/>
    </row>
    <row r="4220" spans="23:23" x14ac:dyDescent="0.2">
      <c r="W4220" s="319"/>
    </row>
    <row r="4221" spans="23:23" x14ac:dyDescent="0.2">
      <c r="W4221" s="319"/>
    </row>
    <row r="4222" spans="23:23" x14ac:dyDescent="0.2">
      <c r="W4222" s="319"/>
    </row>
    <row r="4223" spans="23:23" x14ac:dyDescent="0.2">
      <c r="W4223" s="319"/>
    </row>
    <row r="4224" spans="23:23" x14ac:dyDescent="0.2">
      <c r="W4224" s="319"/>
    </row>
    <row r="4225" spans="23:23" x14ac:dyDescent="0.2">
      <c r="W4225" s="319"/>
    </row>
    <row r="4226" spans="23:23" x14ac:dyDescent="0.2">
      <c r="W4226" s="319"/>
    </row>
    <row r="4227" spans="23:23" x14ac:dyDescent="0.2">
      <c r="W4227" s="319"/>
    </row>
    <row r="4228" spans="23:23" x14ac:dyDescent="0.2">
      <c r="W4228" s="319"/>
    </row>
    <row r="4229" spans="23:23" x14ac:dyDescent="0.2">
      <c r="W4229" s="319"/>
    </row>
    <row r="4230" spans="23:23" x14ac:dyDescent="0.2">
      <c r="W4230" s="319"/>
    </row>
    <row r="4231" spans="23:23" x14ac:dyDescent="0.2">
      <c r="W4231" s="319"/>
    </row>
    <row r="4232" spans="23:23" x14ac:dyDescent="0.2">
      <c r="W4232" s="319"/>
    </row>
    <row r="4233" spans="23:23" x14ac:dyDescent="0.2">
      <c r="W4233" s="319"/>
    </row>
    <row r="4234" spans="23:23" x14ac:dyDescent="0.2">
      <c r="W4234" s="319"/>
    </row>
    <row r="4235" spans="23:23" x14ac:dyDescent="0.2">
      <c r="W4235" s="319"/>
    </row>
    <row r="4236" spans="23:23" x14ac:dyDescent="0.2">
      <c r="W4236" s="319"/>
    </row>
    <row r="4237" spans="23:23" x14ac:dyDescent="0.2">
      <c r="W4237" s="319"/>
    </row>
    <row r="4238" spans="23:23" x14ac:dyDescent="0.2">
      <c r="W4238" s="319"/>
    </row>
    <row r="4239" spans="23:23" x14ac:dyDescent="0.2">
      <c r="W4239" s="319"/>
    </row>
    <row r="4240" spans="23:23" x14ac:dyDescent="0.2">
      <c r="W4240" s="319"/>
    </row>
    <row r="4241" spans="23:23" x14ac:dyDescent="0.2">
      <c r="W4241" s="319"/>
    </row>
    <row r="4242" spans="23:23" x14ac:dyDescent="0.2">
      <c r="W4242" s="319"/>
    </row>
    <row r="4243" spans="23:23" x14ac:dyDescent="0.2">
      <c r="W4243" s="319"/>
    </row>
    <row r="4244" spans="23:23" x14ac:dyDescent="0.2">
      <c r="W4244" s="319"/>
    </row>
    <row r="4245" spans="23:23" x14ac:dyDescent="0.2">
      <c r="W4245" s="319"/>
    </row>
    <row r="4246" spans="23:23" x14ac:dyDescent="0.2">
      <c r="W4246" s="319"/>
    </row>
    <row r="4247" spans="23:23" x14ac:dyDescent="0.2">
      <c r="W4247" s="319"/>
    </row>
    <row r="4248" spans="23:23" x14ac:dyDescent="0.2">
      <c r="W4248" s="319"/>
    </row>
    <row r="4249" spans="23:23" x14ac:dyDescent="0.2">
      <c r="W4249" s="319"/>
    </row>
    <row r="4250" spans="23:23" x14ac:dyDescent="0.2">
      <c r="W4250" s="319"/>
    </row>
    <row r="4251" spans="23:23" x14ac:dyDescent="0.2">
      <c r="W4251" s="319"/>
    </row>
    <row r="4252" spans="23:23" x14ac:dyDescent="0.2">
      <c r="W4252" s="319"/>
    </row>
    <row r="4253" spans="23:23" x14ac:dyDescent="0.2">
      <c r="W4253" s="319"/>
    </row>
    <row r="4254" spans="23:23" x14ac:dyDescent="0.2">
      <c r="W4254" s="319"/>
    </row>
    <row r="4255" spans="23:23" x14ac:dyDescent="0.2">
      <c r="W4255" s="319"/>
    </row>
    <row r="4256" spans="23:23" x14ac:dyDescent="0.2">
      <c r="W4256" s="319"/>
    </row>
    <row r="4257" spans="23:23" x14ac:dyDescent="0.2">
      <c r="W4257" s="319"/>
    </row>
    <row r="4258" spans="23:23" x14ac:dyDescent="0.2">
      <c r="W4258" s="319"/>
    </row>
    <row r="4259" spans="23:23" x14ac:dyDescent="0.2">
      <c r="W4259" s="319"/>
    </row>
    <row r="4260" spans="23:23" x14ac:dyDescent="0.2">
      <c r="W4260" s="319"/>
    </row>
    <row r="4261" spans="23:23" x14ac:dyDescent="0.2">
      <c r="W4261" s="319"/>
    </row>
    <row r="4262" spans="23:23" x14ac:dyDescent="0.2">
      <c r="W4262" s="319"/>
    </row>
    <row r="4263" spans="23:23" x14ac:dyDescent="0.2">
      <c r="W4263" s="319"/>
    </row>
    <row r="4264" spans="23:23" x14ac:dyDescent="0.2">
      <c r="W4264" s="319"/>
    </row>
    <row r="4265" spans="23:23" x14ac:dyDescent="0.2">
      <c r="W4265" s="319"/>
    </row>
    <row r="4266" spans="23:23" x14ac:dyDescent="0.2">
      <c r="W4266" s="319"/>
    </row>
    <row r="4267" spans="23:23" x14ac:dyDescent="0.2">
      <c r="W4267" s="319"/>
    </row>
    <row r="4268" spans="23:23" x14ac:dyDescent="0.2">
      <c r="W4268" s="319"/>
    </row>
    <row r="4269" spans="23:23" x14ac:dyDescent="0.2">
      <c r="W4269" s="319"/>
    </row>
    <row r="4270" spans="23:23" x14ac:dyDescent="0.2">
      <c r="W4270" s="319"/>
    </row>
    <row r="4271" spans="23:23" x14ac:dyDescent="0.2">
      <c r="W4271" s="319"/>
    </row>
    <row r="4272" spans="23:23" x14ac:dyDescent="0.2">
      <c r="W4272" s="319"/>
    </row>
    <row r="4273" spans="23:23" x14ac:dyDescent="0.2">
      <c r="W4273" s="319"/>
    </row>
    <row r="4274" spans="23:23" x14ac:dyDescent="0.2">
      <c r="W4274" s="319"/>
    </row>
    <row r="4275" spans="23:23" x14ac:dyDescent="0.2">
      <c r="W4275" s="319"/>
    </row>
    <row r="4276" spans="23:23" x14ac:dyDescent="0.2">
      <c r="W4276" s="319"/>
    </row>
    <row r="4277" spans="23:23" x14ac:dyDescent="0.2">
      <c r="W4277" s="319"/>
    </row>
    <row r="4278" spans="23:23" x14ac:dyDescent="0.2">
      <c r="W4278" s="319"/>
    </row>
    <row r="4279" spans="23:23" x14ac:dyDescent="0.2">
      <c r="W4279" s="319"/>
    </row>
    <row r="4280" spans="23:23" x14ac:dyDescent="0.2">
      <c r="W4280" s="319"/>
    </row>
    <row r="4281" spans="23:23" x14ac:dyDescent="0.2">
      <c r="W4281" s="319"/>
    </row>
    <row r="4282" spans="23:23" x14ac:dyDescent="0.2">
      <c r="W4282" s="319"/>
    </row>
    <row r="4283" spans="23:23" x14ac:dyDescent="0.2">
      <c r="W4283" s="319"/>
    </row>
    <row r="4284" spans="23:23" x14ac:dyDescent="0.2">
      <c r="W4284" s="319"/>
    </row>
    <row r="4285" spans="23:23" x14ac:dyDescent="0.2">
      <c r="W4285" s="319"/>
    </row>
    <row r="4286" spans="23:23" x14ac:dyDescent="0.2">
      <c r="W4286" s="319"/>
    </row>
    <row r="4287" spans="23:23" x14ac:dyDescent="0.2">
      <c r="W4287" s="319"/>
    </row>
    <row r="4288" spans="23:23" x14ac:dyDescent="0.2">
      <c r="W4288" s="319"/>
    </row>
    <row r="4289" spans="23:23" x14ac:dyDescent="0.2">
      <c r="W4289" s="319"/>
    </row>
    <row r="4290" spans="23:23" x14ac:dyDescent="0.2">
      <c r="W4290" s="319"/>
    </row>
    <row r="4291" spans="23:23" x14ac:dyDescent="0.2">
      <c r="W4291" s="319"/>
    </row>
    <row r="4292" spans="23:23" x14ac:dyDescent="0.2">
      <c r="W4292" s="319"/>
    </row>
    <row r="4293" spans="23:23" x14ac:dyDescent="0.2">
      <c r="W4293" s="319"/>
    </row>
    <row r="4294" spans="23:23" x14ac:dyDescent="0.2">
      <c r="W4294" s="319"/>
    </row>
    <row r="4295" spans="23:23" x14ac:dyDescent="0.2">
      <c r="W4295" s="319"/>
    </row>
    <row r="4296" spans="23:23" x14ac:dyDescent="0.2">
      <c r="W4296" s="319"/>
    </row>
    <row r="4297" spans="23:23" x14ac:dyDescent="0.2">
      <c r="W4297" s="319"/>
    </row>
    <row r="4298" spans="23:23" x14ac:dyDescent="0.2">
      <c r="W4298" s="319"/>
    </row>
    <row r="4299" spans="23:23" x14ac:dyDescent="0.2">
      <c r="W4299" s="319"/>
    </row>
    <row r="4300" spans="23:23" x14ac:dyDescent="0.2">
      <c r="W4300" s="319"/>
    </row>
    <row r="4301" spans="23:23" x14ac:dyDescent="0.2">
      <c r="W4301" s="319"/>
    </row>
    <row r="4302" spans="23:23" x14ac:dyDescent="0.2">
      <c r="W4302" s="319"/>
    </row>
    <row r="4303" spans="23:23" x14ac:dyDescent="0.2">
      <c r="W4303" s="319"/>
    </row>
    <row r="4304" spans="23:23" x14ac:dyDescent="0.2">
      <c r="W4304" s="319"/>
    </row>
    <row r="4305" spans="23:23" x14ac:dyDescent="0.2">
      <c r="W4305" s="319"/>
    </row>
    <row r="4306" spans="23:23" x14ac:dyDescent="0.2">
      <c r="W4306" s="319"/>
    </row>
    <row r="4307" spans="23:23" x14ac:dyDescent="0.2">
      <c r="W4307" s="319"/>
    </row>
    <row r="4308" spans="23:23" x14ac:dyDescent="0.2">
      <c r="W4308" s="319"/>
    </row>
    <row r="4309" spans="23:23" x14ac:dyDescent="0.2">
      <c r="W4309" s="319"/>
    </row>
    <row r="4310" spans="23:23" x14ac:dyDescent="0.2">
      <c r="W4310" s="319"/>
    </row>
    <row r="4311" spans="23:23" x14ac:dyDescent="0.2">
      <c r="W4311" s="319"/>
    </row>
    <row r="4312" spans="23:23" x14ac:dyDescent="0.2">
      <c r="W4312" s="319"/>
    </row>
    <row r="4313" spans="23:23" x14ac:dyDescent="0.2">
      <c r="W4313" s="319"/>
    </row>
    <row r="4314" spans="23:23" x14ac:dyDescent="0.2">
      <c r="W4314" s="319"/>
    </row>
    <row r="4315" spans="23:23" x14ac:dyDescent="0.2">
      <c r="W4315" s="319"/>
    </row>
    <row r="4316" spans="23:23" x14ac:dyDescent="0.2">
      <c r="W4316" s="319"/>
    </row>
    <row r="4317" spans="23:23" x14ac:dyDescent="0.2">
      <c r="W4317" s="319"/>
    </row>
    <row r="4318" spans="23:23" x14ac:dyDescent="0.2">
      <c r="W4318" s="319"/>
    </row>
    <row r="4319" spans="23:23" x14ac:dyDescent="0.2">
      <c r="W4319" s="319"/>
    </row>
    <row r="4320" spans="23:23" x14ac:dyDescent="0.2">
      <c r="W4320" s="319"/>
    </row>
    <row r="4321" spans="23:23" x14ac:dyDescent="0.2">
      <c r="W4321" s="319"/>
    </row>
    <row r="4322" spans="23:23" x14ac:dyDescent="0.2">
      <c r="W4322" s="319"/>
    </row>
    <row r="4323" spans="23:23" x14ac:dyDescent="0.2">
      <c r="W4323" s="319"/>
    </row>
    <row r="4324" spans="23:23" x14ac:dyDescent="0.2">
      <c r="W4324" s="319"/>
    </row>
    <row r="4325" spans="23:23" x14ac:dyDescent="0.2">
      <c r="W4325" s="319"/>
    </row>
    <row r="4326" spans="23:23" x14ac:dyDescent="0.2">
      <c r="W4326" s="319"/>
    </row>
    <row r="4327" spans="23:23" x14ac:dyDescent="0.2">
      <c r="W4327" s="319"/>
    </row>
    <row r="4328" spans="23:23" x14ac:dyDescent="0.2">
      <c r="W4328" s="319"/>
    </row>
    <row r="4329" spans="23:23" x14ac:dyDescent="0.2">
      <c r="W4329" s="319"/>
    </row>
    <row r="4330" spans="23:23" x14ac:dyDescent="0.2">
      <c r="W4330" s="319"/>
    </row>
    <row r="4331" spans="23:23" x14ac:dyDescent="0.2">
      <c r="W4331" s="319"/>
    </row>
    <row r="4332" spans="23:23" x14ac:dyDescent="0.2">
      <c r="W4332" s="319"/>
    </row>
    <row r="4333" spans="23:23" x14ac:dyDescent="0.2">
      <c r="W4333" s="319"/>
    </row>
    <row r="4334" spans="23:23" x14ac:dyDescent="0.2">
      <c r="W4334" s="319"/>
    </row>
    <row r="4335" spans="23:23" x14ac:dyDescent="0.2">
      <c r="W4335" s="319"/>
    </row>
    <row r="4336" spans="23:23" x14ac:dyDescent="0.2">
      <c r="W4336" s="319"/>
    </row>
    <row r="4337" spans="23:23" x14ac:dyDescent="0.2">
      <c r="W4337" s="319"/>
    </row>
    <row r="4338" spans="23:23" x14ac:dyDescent="0.2">
      <c r="W4338" s="319"/>
    </row>
    <row r="4339" spans="23:23" x14ac:dyDescent="0.2">
      <c r="W4339" s="319"/>
    </row>
    <row r="4340" spans="23:23" x14ac:dyDescent="0.2">
      <c r="W4340" s="319"/>
    </row>
    <row r="4341" spans="23:23" x14ac:dyDescent="0.2">
      <c r="W4341" s="319"/>
    </row>
    <row r="4342" spans="23:23" x14ac:dyDescent="0.2">
      <c r="W4342" s="319"/>
    </row>
    <row r="4343" spans="23:23" x14ac:dyDescent="0.2">
      <c r="W4343" s="319"/>
    </row>
    <row r="4344" spans="23:23" x14ac:dyDescent="0.2">
      <c r="W4344" s="319"/>
    </row>
    <row r="4345" spans="23:23" x14ac:dyDescent="0.2">
      <c r="W4345" s="319"/>
    </row>
    <row r="4346" spans="23:23" x14ac:dyDescent="0.2">
      <c r="W4346" s="319"/>
    </row>
    <row r="4347" spans="23:23" x14ac:dyDescent="0.2">
      <c r="W4347" s="319"/>
    </row>
    <row r="4348" spans="23:23" x14ac:dyDescent="0.2">
      <c r="W4348" s="319"/>
    </row>
    <row r="4349" spans="23:23" x14ac:dyDescent="0.2">
      <c r="W4349" s="319"/>
    </row>
    <row r="4350" spans="23:23" x14ac:dyDescent="0.2">
      <c r="W4350" s="319"/>
    </row>
    <row r="4351" spans="23:23" x14ac:dyDescent="0.2">
      <c r="W4351" s="319"/>
    </row>
    <row r="4352" spans="23:23" x14ac:dyDescent="0.2">
      <c r="W4352" s="319"/>
    </row>
    <row r="4353" spans="23:23" x14ac:dyDescent="0.2">
      <c r="W4353" s="319"/>
    </row>
    <row r="4354" spans="23:23" x14ac:dyDescent="0.2">
      <c r="W4354" s="319"/>
    </row>
    <row r="4355" spans="23:23" x14ac:dyDescent="0.2">
      <c r="W4355" s="319"/>
    </row>
    <row r="4356" spans="23:23" x14ac:dyDescent="0.2">
      <c r="W4356" s="319"/>
    </row>
    <row r="4357" spans="23:23" x14ac:dyDescent="0.2">
      <c r="W4357" s="319"/>
    </row>
    <row r="4358" spans="23:23" x14ac:dyDescent="0.2">
      <c r="W4358" s="319"/>
    </row>
    <row r="4359" spans="23:23" x14ac:dyDescent="0.2">
      <c r="W4359" s="319"/>
    </row>
    <row r="4360" spans="23:23" x14ac:dyDescent="0.2">
      <c r="W4360" s="319"/>
    </row>
    <row r="4361" spans="23:23" x14ac:dyDescent="0.2">
      <c r="W4361" s="319"/>
    </row>
    <row r="4362" spans="23:23" x14ac:dyDescent="0.2">
      <c r="W4362" s="319"/>
    </row>
    <row r="4363" spans="23:23" x14ac:dyDescent="0.2">
      <c r="W4363" s="319"/>
    </row>
    <row r="4364" spans="23:23" x14ac:dyDescent="0.2">
      <c r="W4364" s="319"/>
    </row>
    <row r="4365" spans="23:23" x14ac:dyDescent="0.2">
      <c r="W4365" s="319"/>
    </row>
    <row r="4366" spans="23:23" x14ac:dyDescent="0.2">
      <c r="W4366" s="319"/>
    </row>
    <row r="4367" spans="23:23" x14ac:dyDescent="0.2">
      <c r="W4367" s="319"/>
    </row>
    <row r="4368" spans="23:23" x14ac:dyDescent="0.2">
      <c r="W4368" s="319"/>
    </row>
    <row r="4369" spans="23:23" x14ac:dyDescent="0.2">
      <c r="W4369" s="319"/>
    </row>
    <row r="4370" spans="23:23" x14ac:dyDescent="0.2">
      <c r="W4370" s="319"/>
    </row>
    <row r="4371" spans="23:23" x14ac:dyDescent="0.2">
      <c r="W4371" s="319"/>
    </row>
    <row r="4372" spans="23:23" x14ac:dyDescent="0.2">
      <c r="W4372" s="319"/>
    </row>
    <row r="4373" spans="23:23" x14ac:dyDescent="0.2">
      <c r="W4373" s="319"/>
    </row>
    <row r="4374" spans="23:23" x14ac:dyDescent="0.2">
      <c r="W4374" s="319"/>
    </row>
    <row r="4375" spans="23:23" x14ac:dyDescent="0.2">
      <c r="W4375" s="319"/>
    </row>
    <row r="4376" spans="23:23" x14ac:dyDescent="0.2">
      <c r="W4376" s="319"/>
    </row>
    <row r="4377" spans="23:23" x14ac:dyDescent="0.2">
      <c r="W4377" s="319"/>
    </row>
    <row r="4378" spans="23:23" x14ac:dyDescent="0.2">
      <c r="W4378" s="319"/>
    </row>
    <row r="4379" spans="23:23" x14ac:dyDescent="0.2">
      <c r="W4379" s="319"/>
    </row>
    <row r="4380" spans="23:23" x14ac:dyDescent="0.2">
      <c r="W4380" s="319"/>
    </row>
    <row r="4381" spans="23:23" x14ac:dyDescent="0.2">
      <c r="W4381" s="319"/>
    </row>
    <row r="4382" spans="23:23" x14ac:dyDescent="0.2">
      <c r="W4382" s="319"/>
    </row>
    <row r="4383" spans="23:23" x14ac:dyDescent="0.2">
      <c r="W4383" s="319"/>
    </row>
    <row r="4384" spans="23:23" x14ac:dyDescent="0.2">
      <c r="W4384" s="319"/>
    </row>
    <row r="4385" spans="23:23" x14ac:dyDescent="0.2">
      <c r="W4385" s="319"/>
    </row>
    <row r="4386" spans="23:23" x14ac:dyDescent="0.2">
      <c r="W4386" s="319"/>
    </row>
    <row r="4387" spans="23:23" x14ac:dyDescent="0.2">
      <c r="W4387" s="319"/>
    </row>
    <row r="4388" spans="23:23" x14ac:dyDescent="0.2">
      <c r="W4388" s="319"/>
    </row>
    <row r="4389" spans="23:23" x14ac:dyDescent="0.2">
      <c r="W4389" s="319"/>
    </row>
    <row r="4390" spans="23:23" x14ac:dyDescent="0.2">
      <c r="W4390" s="319"/>
    </row>
    <row r="4391" spans="23:23" x14ac:dyDescent="0.2">
      <c r="W4391" s="319"/>
    </row>
    <row r="4392" spans="23:23" x14ac:dyDescent="0.2">
      <c r="W4392" s="319"/>
    </row>
    <row r="4393" spans="23:23" x14ac:dyDescent="0.2">
      <c r="W4393" s="319"/>
    </row>
    <row r="4394" spans="23:23" x14ac:dyDescent="0.2">
      <c r="W4394" s="319"/>
    </row>
    <row r="4395" spans="23:23" x14ac:dyDescent="0.2">
      <c r="W4395" s="319"/>
    </row>
    <row r="4396" spans="23:23" x14ac:dyDescent="0.2">
      <c r="W4396" s="319"/>
    </row>
    <row r="4397" spans="23:23" x14ac:dyDescent="0.2">
      <c r="W4397" s="319"/>
    </row>
    <row r="4398" spans="23:23" x14ac:dyDescent="0.2">
      <c r="W4398" s="319"/>
    </row>
    <row r="4399" spans="23:23" x14ac:dyDescent="0.2">
      <c r="W4399" s="319"/>
    </row>
    <row r="4400" spans="23:23" x14ac:dyDescent="0.2">
      <c r="W4400" s="319"/>
    </row>
    <row r="4401" spans="23:23" x14ac:dyDescent="0.2">
      <c r="W4401" s="319"/>
    </row>
    <row r="4402" spans="23:23" x14ac:dyDescent="0.2">
      <c r="W4402" s="319"/>
    </row>
    <row r="4403" spans="23:23" x14ac:dyDescent="0.2">
      <c r="W4403" s="319"/>
    </row>
    <row r="4404" spans="23:23" x14ac:dyDescent="0.2">
      <c r="W4404" s="319"/>
    </row>
    <row r="4405" spans="23:23" x14ac:dyDescent="0.2">
      <c r="W4405" s="319"/>
    </row>
    <row r="4406" spans="23:23" x14ac:dyDescent="0.2">
      <c r="W4406" s="319"/>
    </row>
    <row r="4407" spans="23:23" x14ac:dyDescent="0.2">
      <c r="W4407" s="319"/>
    </row>
    <row r="4408" spans="23:23" x14ac:dyDescent="0.2">
      <c r="W4408" s="319"/>
    </row>
    <row r="4409" spans="23:23" x14ac:dyDescent="0.2">
      <c r="W4409" s="319"/>
    </row>
    <row r="4410" spans="23:23" x14ac:dyDescent="0.2">
      <c r="W4410" s="319"/>
    </row>
    <row r="4411" spans="23:23" x14ac:dyDescent="0.2">
      <c r="W4411" s="319"/>
    </row>
    <row r="4412" spans="23:23" x14ac:dyDescent="0.2">
      <c r="W4412" s="319"/>
    </row>
    <row r="4413" spans="23:23" x14ac:dyDescent="0.2">
      <c r="W4413" s="319"/>
    </row>
    <row r="4414" spans="23:23" x14ac:dyDescent="0.2">
      <c r="W4414" s="319"/>
    </row>
    <row r="4415" spans="23:23" x14ac:dyDescent="0.2">
      <c r="W4415" s="319"/>
    </row>
    <row r="4416" spans="23:23" x14ac:dyDescent="0.2">
      <c r="W4416" s="319"/>
    </row>
    <row r="4417" spans="23:23" x14ac:dyDescent="0.2">
      <c r="W4417" s="319"/>
    </row>
    <row r="4418" spans="23:23" x14ac:dyDescent="0.2">
      <c r="W4418" s="319"/>
    </row>
    <row r="4419" spans="23:23" x14ac:dyDescent="0.2">
      <c r="W4419" s="319"/>
    </row>
    <row r="4420" spans="23:23" x14ac:dyDescent="0.2">
      <c r="W4420" s="319"/>
    </row>
    <row r="4421" spans="23:23" x14ac:dyDescent="0.2">
      <c r="W4421" s="319"/>
    </row>
    <row r="4422" spans="23:23" x14ac:dyDescent="0.2">
      <c r="W4422" s="319"/>
    </row>
    <row r="4423" spans="23:23" x14ac:dyDescent="0.2">
      <c r="W4423" s="319"/>
    </row>
    <row r="4424" spans="23:23" x14ac:dyDescent="0.2">
      <c r="W4424" s="319"/>
    </row>
    <row r="4425" spans="23:23" x14ac:dyDescent="0.2">
      <c r="W4425" s="319"/>
    </row>
    <row r="4426" spans="23:23" x14ac:dyDescent="0.2">
      <c r="W4426" s="319"/>
    </row>
    <row r="4427" spans="23:23" x14ac:dyDescent="0.2">
      <c r="W4427" s="319"/>
    </row>
    <row r="4428" spans="23:23" x14ac:dyDescent="0.2">
      <c r="W4428" s="319"/>
    </row>
    <row r="4429" spans="23:23" x14ac:dyDescent="0.2">
      <c r="W4429" s="319"/>
    </row>
    <row r="4430" spans="23:23" x14ac:dyDescent="0.2">
      <c r="W4430" s="319"/>
    </row>
    <row r="4431" spans="23:23" x14ac:dyDescent="0.2">
      <c r="W4431" s="319"/>
    </row>
    <row r="4432" spans="23:23" x14ac:dyDescent="0.2">
      <c r="W4432" s="319"/>
    </row>
    <row r="4433" spans="23:23" x14ac:dyDescent="0.2">
      <c r="W4433" s="319"/>
    </row>
    <row r="4434" spans="23:23" x14ac:dyDescent="0.2">
      <c r="W4434" s="319"/>
    </row>
    <row r="4435" spans="23:23" x14ac:dyDescent="0.2">
      <c r="W4435" s="319"/>
    </row>
    <row r="4436" spans="23:23" x14ac:dyDescent="0.2">
      <c r="W4436" s="319"/>
    </row>
    <row r="4437" spans="23:23" x14ac:dyDescent="0.2">
      <c r="W4437" s="319"/>
    </row>
    <row r="4438" spans="23:23" x14ac:dyDescent="0.2">
      <c r="W4438" s="319"/>
    </row>
    <row r="4439" spans="23:23" x14ac:dyDescent="0.2">
      <c r="W4439" s="319"/>
    </row>
    <row r="4440" spans="23:23" x14ac:dyDescent="0.2">
      <c r="W4440" s="319"/>
    </row>
    <row r="4441" spans="23:23" x14ac:dyDescent="0.2">
      <c r="W4441" s="319"/>
    </row>
    <row r="4442" spans="23:23" x14ac:dyDescent="0.2">
      <c r="W4442" s="319"/>
    </row>
    <row r="4443" spans="23:23" x14ac:dyDescent="0.2">
      <c r="W4443" s="319"/>
    </row>
    <row r="4444" spans="23:23" x14ac:dyDescent="0.2">
      <c r="W4444" s="319"/>
    </row>
    <row r="4445" spans="23:23" x14ac:dyDescent="0.2">
      <c r="W4445" s="319"/>
    </row>
    <row r="4446" spans="23:23" x14ac:dyDescent="0.2">
      <c r="W4446" s="319"/>
    </row>
    <row r="4447" spans="23:23" x14ac:dyDescent="0.2">
      <c r="W4447" s="319"/>
    </row>
    <row r="4448" spans="23:23" x14ac:dyDescent="0.2">
      <c r="W4448" s="319"/>
    </row>
    <row r="4449" spans="23:23" x14ac:dyDescent="0.2">
      <c r="W4449" s="319"/>
    </row>
    <row r="4450" spans="23:23" x14ac:dyDescent="0.2">
      <c r="W4450" s="319"/>
    </row>
    <row r="4451" spans="23:23" x14ac:dyDescent="0.2">
      <c r="W4451" s="319"/>
    </row>
    <row r="4452" spans="23:23" x14ac:dyDescent="0.2">
      <c r="W4452" s="319"/>
    </row>
    <row r="4453" spans="23:23" x14ac:dyDescent="0.2">
      <c r="W4453" s="319"/>
    </row>
    <row r="4454" spans="23:23" x14ac:dyDescent="0.2">
      <c r="W4454" s="319"/>
    </row>
    <row r="4455" spans="23:23" x14ac:dyDescent="0.2">
      <c r="W4455" s="319"/>
    </row>
    <row r="4456" spans="23:23" x14ac:dyDescent="0.2">
      <c r="W4456" s="319"/>
    </row>
    <row r="4457" spans="23:23" x14ac:dyDescent="0.2">
      <c r="W4457" s="319"/>
    </row>
    <row r="4458" spans="23:23" x14ac:dyDescent="0.2">
      <c r="W4458" s="319"/>
    </row>
    <row r="4459" spans="23:23" x14ac:dyDescent="0.2">
      <c r="W4459" s="319"/>
    </row>
    <row r="4460" spans="23:23" x14ac:dyDescent="0.2">
      <c r="W4460" s="319"/>
    </row>
    <row r="4461" spans="23:23" x14ac:dyDescent="0.2">
      <c r="W4461" s="319"/>
    </row>
    <row r="4462" spans="23:23" x14ac:dyDescent="0.2">
      <c r="W4462" s="319"/>
    </row>
    <row r="4463" spans="23:23" x14ac:dyDescent="0.2">
      <c r="W4463" s="319"/>
    </row>
    <row r="4464" spans="23:23" x14ac:dyDescent="0.2">
      <c r="W4464" s="319"/>
    </row>
    <row r="4465" spans="23:23" x14ac:dyDescent="0.2">
      <c r="W4465" s="319"/>
    </row>
    <row r="4466" spans="23:23" x14ac:dyDescent="0.2">
      <c r="W4466" s="319"/>
    </row>
    <row r="4467" spans="23:23" x14ac:dyDescent="0.2">
      <c r="W4467" s="319"/>
    </row>
    <row r="4468" spans="23:23" x14ac:dyDescent="0.2">
      <c r="W4468" s="319"/>
    </row>
    <row r="4469" spans="23:23" x14ac:dyDescent="0.2">
      <c r="W4469" s="319"/>
    </row>
    <row r="4470" spans="23:23" x14ac:dyDescent="0.2">
      <c r="W4470" s="319"/>
    </row>
    <row r="4471" spans="23:23" x14ac:dyDescent="0.2">
      <c r="W4471" s="319"/>
    </row>
    <row r="4472" spans="23:23" x14ac:dyDescent="0.2">
      <c r="W4472" s="319"/>
    </row>
    <row r="4473" spans="23:23" x14ac:dyDescent="0.2">
      <c r="W4473" s="319"/>
    </row>
    <row r="4474" spans="23:23" x14ac:dyDescent="0.2">
      <c r="W4474" s="319"/>
    </row>
    <row r="4475" spans="23:23" x14ac:dyDescent="0.2">
      <c r="W4475" s="319"/>
    </row>
    <row r="4476" spans="23:23" x14ac:dyDescent="0.2">
      <c r="W4476" s="319"/>
    </row>
    <row r="4477" spans="23:23" x14ac:dyDescent="0.2">
      <c r="W4477" s="319"/>
    </row>
    <row r="4478" spans="23:23" x14ac:dyDescent="0.2">
      <c r="W4478" s="319"/>
    </row>
    <row r="4479" spans="23:23" x14ac:dyDescent="0.2">
      <c r="W4479" s="319"/>
    </row>
    <row r="4480" spans="23:23" x14ac:dyDescent="0.2">
      <c r="W4480" s="319"/>
    </row>
    <row r="4481" spans="23:23" x14ac:dyDescent="0.2">
      <c r="W4481" s="319"/>
    </row>
    <row r="4482" spans="23:23" x14ac:dyDescent="0.2">
      <c r="W4482" s="319"/>
    </row>
    <row r="4483" spans="23:23" x14ac:dyDescent="0.2">
      <c r="W4483" s="319"/>
    </row>
    <row r="4484" spans="23:23" x14ac:dyDescent="0.2">
      <c r="W4484" s="319"/>
    </row>
    <row r="4485" spans="23:23" x14ac:dyDescent="0.2">
      <c r="W4485" s="319"/>
    </row>
    <row r="4486" spans="23:23" x14ac:dyDescent="0.2">
      <c r="W4486" s="319"/>
    </row>
    <row r="4487" spans="23:23" x14ac:dyDescent="0.2">
      <c r="W4487" s="319"/>
    </row>
    <row r="4488" spans="23:23" x14ac:dyDescent="0.2">
      <c r="W4488" s="319"/>
    </row>
    <row r="4489" spans="23:23" x14ac:dyDescent="0.2">
      <c r="W4489" s="319"/>
    </row>
    <row r="4490" spans="23:23" x14ac:dyDescent="0.2">
      <c r="W4490" s="319"/>
    </row>
    <row r="4491" spans="23:23" x14ac:dyDescent="0.2">
      <c r="W4491" s="319"/>
    </row>
    <row r="4492" spans="23:23" x14ac:dyDescent="0.2">
      <c r="W4492" s="319"/>
    </row>
    <row r="4493" spans="23:23" x14ac:dyDescent="0.2">
      <c r="W4493" s="319"/>
    </row>
    <row r="4494" spans="23:23" x14ac:dyDescent="0.2">
      <c r="W4494" s="319"/>
    </row>
    <row r="4495" spans="23:23" x14ac:dyDescent="0.2">
      <c r="W4495" s="319"/>
    </row>
    <row r="4496" spans="23:23" x14ac:dyDescent="0.2">
      <c r="W4496" s="319"/>
    </row>
    <row r="4497" spans="23:23" x14ac:dyDescent="0.2">
      <c r="W4497" s="319"/>
    </row>
    <row r="4498" spans="23:23" x14ac:dyDescent="0.2">
      <c r="W4498" s="319"/>
    </row>
    <row r="4499" spans="23:23" x14ac:dyDescent="0.2">
      <c r="W4499" s="319"/>
    </row>
    <row r="4500" spans="23:23" x14ac:dyDescent="0.2">
      <c r="W4500" s="319"/>
    </row>
    <row r="4501" spans="23:23" x14ac:dyDescent="0.2">
      <c r="W4501" s="319"/>
    </row>
    <row r="4502" spans="23:23" x14ac:dyDescent="0.2">
      <c r="W4502" s="319"/>
    </row>
    <row r="4503" spans="23:23" x14ac:dyDescent="0.2">
      <c r="W4503" s="319"/>
    </row>
    <row r="4504" spans="23:23" x14ac:dyDescent="0.2">
      <c r="W4504" s="319"/>
    </row>
    <row r="4505" spans="23:23" x14ac:dyDescent="0.2">
      <c r="W4505" s="319"/>
    </row>
    <row r="4506" spans="23:23" x14ac:dyDescent="0.2">
      <c r="W4506" s="319"/>
    </row>
    <row r="4507" spans="23:23" x14ac:dyDescent="0.2">
      <c r="W4507" s="319"/>
    </row>
    <row r="4508" spans="23:23" x14ac:dyDescent="0.2">
      <c r="W4508" s="319"/>
    </row>
    <row r="4509" spans="23:23" x14ac:dyDescent="0.2">
      <c r="W4509" s="319"/>
    </row>
    <row r="4510" spans="23:23" x14ac:dyDescent="0.2">
      <c r="W4510" s="319"/>
    </row>
    <row r="4511" spans="23:23" x14ac:dyDescent="0.2">
      <c r="W4511" s="319"/>
    </row>
    <row r="4512" spans="23:23" x14ac:dyDescent="0.2">
      <c r="W4512" s="319"/>
    </row>
    <row r="4513" spans="23:23" x14ac:dyDescent="0.2">
      <c r="W4513" s="319"/>
    </row>
    <row r="4514" spans="23:23" x14ac:dyDescent="0.2">
      <c r="W4514" s="319"/>
    </row>
    <row r="4515" spans="23:23" x14ac:dyDescent="0.2">
      <c r="W4515" s="319"/>
    </row>
    <row r="4516" spans="23:23" x14ac:dyDescent="0.2">
      <c r="W4516" s="319"/>
    </row>
    <row r="4517" spans="23:23" x14ac:dyDescent="0.2">
      <c r="W4517" s="319"/>
    </row>
    <row r="4518" spans="23:23" x14ac:dyDescent="0.2">
      <c r="W4518" s="319"/>
    </row>
    <row r="4519" spans="23:23" x14ac:dyDescent="0.2">
      <c r="W4519" s="319"/>
    </row>
    <row r="4520" spans="23:23" x14ac:dyDescent="0.2">
      <c r="W4520" s="319"/>
    </row>
    <row r="4521" spans="23:23" x14ac:dyDescent="0.2">
      <c r="W4521" s="319"/>
    </row>
    <row r="4522" spans="23:23" x14ac:dyDescent="0.2">
      <c r="W4522" s="319"/>
    </row>
    <row r="4523" spans="23:23" x14ac:dyDescent="0.2">
      <c r="W4523" s="319"/>
    </row>
    <row r="4524" spans="23:23" x14ac:dyDescent="0.2">
      <c r="W4524" s="319"/>
    </row>
    <row r="4525" spans="23:23" x14ac:dyDescent="0.2">
      <c r="W4525" s="319"/>
    </row>
    <row r="4526" spans="23:23" x14ac:dyDescent="0.2">
      <c r="W4526" s="319"/>
    </row>
    <row r="4527" spans="23:23" x14ac:dyDescent="0.2">
      <c r="W4527" s="319"/>
    </row>
    <row r="4528" spans="23:23" x14ac:dyDescent="0.2">
      <c r="W4528" s="319"/>
    </row>
    <row r="4529" spans="23:23" x14ac:dyDescent="0.2">
      <c r="W4529" s="319"/>
    </row>
    <row r="4530" spans="23:23" x14ac:dyDescent="0.2">
      <c r="W4530" s="319"/>
    </row>
    <row r="4531" spans="23:23" x14ac:dyDescent="0.2">
      <c r="W4531" s="319"/>
    </row>
    <row r="4532" spans="23:23" x14ac:dyDescent="0.2">
      <c r="W4532" s="319"/>
    </row>
    <row r="4533" spans="23:23" x14ac:dyDescent="0.2">
      <c r="W4533" s="319"/>
    </row>
    <row r="4534" spans="23:23" x14ac:dyDescent="0.2">
      <c r="W4534" s="319"/>
    </row>
    <row r="4535" spans="23:23" x14ac:dyDescent="0.2">
      <c r="W4535" s="319"/>
    </row>
    <row r="4536" spans="23:23" x14ac:dyDescent="0.2">
      <c r="W4536" s="319"/>
    </row>
    <row r="4537" spans="23:23" x14ac:dyDescent="0.2">
      <c r="W4537" s="319"/>
    </row>
    <row r="4538" spans="23:23" x14ac:dyDescent="0.2">
      <c r="W4538" s="319"/>
    </row>
    <row r="4539" spans="23:23" x14ac:dyDescent="0.2">
      <c r="W4539" s="319"/>
    </row>
    <row r="4540" spans="23:23" x14ac:dyDescent="0.2">
      <c r="W4540" s="319"/>
    </row>
    <row r="4541" spans="23:23" x14ac:dyDescent="0.2">
      <c r="W4541" s="319"/>
    </row>
    <row r="4542" spans="23:23" x14ac:dyDescent="0.2">
      <c r="W4542" s="319"/>
    </row>
    <row r="4543" spans="23:23" x14ac:dyDescent="0.2">
      <c r="W4543" s="319"/>
    </row>
    <row r="4544" spans="23:23" x14ac:dyDescent="0.2">
      <c r="W4544" s="319"/>
    </row>
    <row r="4545" spans="23:23" x14ac:dyDescent="0.2">
      <c r="W4545" s="319"/>
    </row>
    <row r="4546" spans="23:23" x14ac:dyDescent="0.2">
      <c r="W4546" s="319"/>
    </row>
    <row r="4547" spans="23:23" x14ac:dyDescent="0.2">
      <c r="W4547" s="319"/>
    </row>
    <row r="4548" spans="23:23" x14ac:dyDescent="0.2">
      <c r="W4548" s="319"/>
    </row>
    <row r="4549" spans="23:23" x14ac:dyDescent="0.2">
      <c r="W4549" s="319"/>
    </row>
    <row r="4550" spans="23:23" x14ac:dyDescent="0.2">
      <c r="W4550" s="319"/>
    </row>
    <row r="4551" spans="23:23" x14ac:dyDescent="0.2">
      <c r="W4551" s="319"/>
    </row>
    <row r="4552" spans="23:23" x14ac:dyDescent="0.2">
      <c r="W4552" s="319"/>
    </row>
    <row r="4553" spans="23:23" x14ac:dyDescent="0.2">
      <c r="W4553" s="319"/>
    </row>
    <row r="4554" spans="23:23" x14ac:dyDescent="0.2">
      <c r="W4554" s="319"/>
    </row>
    <row r="4555" spans="23:23" x14ac:dyDescent="0.2">
      <c r="W4555" s="319"/>
    </row>
    <row r="4556" spans="23:23" x14ac:dyDescent="0.2">
      <c r="W4556" s="319"/>
    </row>
    <row r="4557" spans="23:23" x14ac:dyDescent="0.2">
      <c r="W4557" s="319"/>
    </row>
    <row r="4558" spans="23:23" x14ac:dyDescent="0.2">
      <c r="W4558" s="319"/>
    </row>
    <row r="4559" spans="23:23" x14ac:dyDescent="0.2">
      <c r="W4559" s="319"/>
    </row>
    <row r="4560" spans="23:23" x14ac:dyDescent="0.2">
      <c r="W4560" s="319"/>
    </row>
    <row r="4561" spans="23:23" x14ac:dyDescent="0.2">
      <c r="W4561" s="319"/>
    </row>
    <row r="4562" spans="23:23" x14ac:dyDescent="0.2">
      <c r="W4562" s="319"/>
    </row>
    <row r="4563" spans="23:23" x14ac:dyDescent="0.2">
      <c r="W4563" s="319"/>
    </row>
    <row r="4564" spans="23:23" x14ac:dyDescent="0.2">
      <c r="W4564" s="319"/>
    </row>
    <row r="4565" spans="23:23" x14ac:dyDescent="0.2">
      <c r="W4565" s="319"/>
    </row>
    <row r="4566" spans="23:23" x14ac:dyDescent="0.2">
      <c r="W4566" s="319"/>
    </row>
    <row r="4567" spans="23:23" x14ac:dyDescent="0.2">
      <c r="W4567" s="319"/>
    </row>
    <row r="4568" spans="23:23" x14ac:dyDescent="0.2">
      <c r="W4568" s="319"/>
    </row>
    <row r="4569" spans="23:23" x14ac:dyDescent="0.2">
      <c r="W4569" s="319"/>
    </row>
    <row r="4570" spans="23:23" x14ac:dyDescent="0.2">
      <c r="W4570" s="319"/>
    </row>
    <row r="4571" spans="23:23" x14ac:dyDescent="0.2">
      <c r="W4571" s="319"/>
    </row>
    <row r="4572" spans="23:23" x14ac:dyDescent="0.2">
      <c r="W4572" s="319"/>
    </row>
    <row r="4573" spans="23:23" x14ac:dyDescent="0.2">
      <c r="W4573" s="319"/>
    </row>
    <row r="4574" spans="23:23" x14ac:dyDescent="0.2">
      <c r="W4574" s="319"/>
    </row>
    <row r="4575" spans="23:23" x14ac:dyDescent="0.2">
      <c r="W4575" s="319"/>
    </row>
    <row r="4576" spans="23:23" x14ac:dyDescent="0.2">
      <c r="W4576" s="319"/>
    </row>
    <row r="4577" spans="23:23" x14ac:dyDescent="0.2">
      <c r="W4577" s="319"/>
    </row>
    <row r="4578" spans="23:23" x14ac:dyDescent="0.2">
      <c r="W4578" s="319"/>
    </row>
    <row r="4579" spans="23:23" x14ac:dyDescent="0.2">
      <c r="W4579" s="319"/>
    </row>
    <row r="4580" spans="23:23" x14ac:dyDescent="0.2">
      <c r="W4580" s="319"/>
    </row>
    <row r="4581" spans="23:23" x14ac:dyDescent="0.2">
      <c r="W4581" s="319"/>
    </row>
    <row r="4582" spans="23:23" x14ac:dyDescent="0.2">
      <c r="W4582" s="319"/>
    </row>
    <row r="4583" spans="23:23" x14ac:dyDescent="0.2">
      <c r="W4583" s="319"/>
    </row>
    <row r="4584" spans="23:23" x14ac:dyDescent="0.2">
      <c r="W4584" s="319"/>
    </row>
    <row r="4585" spans="23:23" x14ac:dyDescent="0.2">
      <c r="W4585" s="319"/>
    </row>
    <row r="4586" spans="23:23" x14ac:dyDescent="0.2">
      <c r="W4586" s="319"/>
    </row>
    <row r="4587" spans="23:23" x14ac:dyDescent="0.2">
      <c r="W4587" s="319"/>
    </row>
    <row r="4588" spans="23:23" x14ac:dyDescent="0.2">
      <c r="W4588" s="319"/>
    </row>
    <row r="4589" spans="23:23" x14ac:dyDescent="0.2">
      <c r="W4589" s="319"/>
    </row>
    <row r="4590" spans="23:23" x14ac:dyDescent="0.2">
      <c r="W4590" s="319"/>
    </row>
    <row r="4591" spans="23:23" x14ac:dyDescent="0.2">
      <c r="W4591" s="319"/>
    </row>
    <row r="4592" spans="23:23" x14ac:dyDescent="0.2">
      <c r="W4592" s="319"/>
    </row>
    <row r="4593" spans="23:23" x14ac:dyDescent="0.2">
      <c r="W4593" s="319"/>
    </row>
    <row r="4594" spans="23:23" x14ac:dyDescent="0.2">
      <c r="W4594" s="319"/>
    </row>
    <row r="4595" spans="23:23" x14ac:dyDescent="0.2">
      <c r="W4595" s="319"/>
    </row>
    <row r="4596" spans="23:23" x14ac:dyDescent="0.2">
      <c r="W4596" s="319"/>
    </row>
    <row r="4597" spans="23:23" x14ac:dyDescent="0.2">
      <c r="W4597" s="319"/>
    </row>
    <row r="4598" spans="23:23" x14ac:dyDescent="0.2">
      <c r="W4598" s="319"/>
    </row>
    <row r="4599" spans="23:23" x14ac:dyDescent="0.2">
      <c r="W4599" s="319"/>
    </row>
    <row r="4600" spans="23:23" x14ac:dyDescent="0.2">
      <c r="W4600" s="319"/>
    </row>
    <row r="4601" spans="23:23" x14ac:dyDescent="0.2">
      <c r="W4601" s="319"/>
    </row>
    <row r="4602" spans="23:23" x14ac:dyDescent="0.2">
      <c r="W4602" s="319"/>
    </row>
    <row r="4603" spans="23:23" x14ac:dyDescent="0.2">
      <c r="W4603" s="319"/>
    </row>
    <row r="4604" spans="23:23" x14ac:dyDescent="0.2">
      <c r="W4604" s="319"/>
    </row>
    <row r="4605" spans="23:23" x14ac:dyDescent="0.2">
      <c r="W4605" s="319"/>
    </row>
    <row r="4606" spans="23:23" x14ac:dyDescent="0.2">
      <c r="W4606" s="319"/>
    </row>
    <row r="4607" spans="23:23" x14ac:dyDescent="0.2">
      <c r="W4607" s="319"/>
    </row>
    <row r="4608" spans="23:23" x14ac:dyDescent="0.2">
      <c r="W4608" s="319"/>
    </row>
    <row r="4609" spans="23:23" x14ac:dyDescent="0.2">
      <c r="W4609" s="319"/>
    </row>
    <row r="4610" spans="23:23" x14ac:dyDescent="0.2">
      <c r="W4610" s="319"/>
    </row>
    <row r="4611" spans="23:23" x14ac:dyDescent="0.2">
      <c r="W4611" s="319"/>
    </row>
    <row r="4612" spans="23:23" x14ac:dyDescent="0.2">
      <c r="W4612" s="319"/>
    </row>
    <row r="4613" spans="23:23" x14ac:dyDescent="0.2">
      <c r="W4613" s="319"/>
    </row>
    <row r="4614" spans="23:23" x14ac:dyDescent="0.2">
      <c r="W4614" s="319"/>
    </row>
    <row r="4615" spans="23:23" x14ac:dyDescent="0.2">
      <c r="W4615" s="319"/>
    </row>
    <row r="4616" spans="23:23" x14ac:dyDescent="0.2">
      <c r="W4616" s="319"/>
    </row>
    <row r="4617" spans="23:23" x14ac:dyDescent="0.2">
      <c r="W4617" s="319"/>
    </row>
    <row r="4618" spans="23:23" x14ac:dyDescent="0.2">
      <c r="W4618" s="319"/>
    </row>
    <row r="4619" spans="23:23" x14ac:dyDescent="0.2">
      <c r="W4619" s="319"/>
    </row>
    <row r="4620" spans="23:23" x14ac:dyDescent="0.2">
      <c r="W4620" s="319"/>
    </row>
    <row r="4621" spans="23:23" x14ac:dyDescent="0.2">
      <c r="W4621" s="319"/>
    </row>
    <row r="4622" spans="23:23" x14ac:dyDescent="0.2">
      <c r="W4622" s="319"/>
    </row>
    <row r="4623" spans="23:23" x14ac:dyDescent="0.2">
      <c r="W4623" s="319"/>
    </row>
    <row r="4624" spans="23:23" x14ac:dyDescent="0.2">
      <c r="W4624" s="319"/>
    </row>
    <row r="4625" spans="23:23" x14ac:dyDescent="0.2">
      <c r="W4625" s="319"/>
    </row>
    <row r="4626" spans="23:23" x14ac:dyDescent="0.2">
      <c r="W4626" s="319"/>
    </row>
    <row r="4627" spans="23:23" x14ac:dyDescent="0.2">
      <c r="W4627" s="319"/>
    </row>
    <row r="4628" spans="23:23" x14ac:dyDescent="0.2">
      <c r="W4628" s="319"/>
    </row>
    <row r="4629" spans="23:23" x14ac:dyDescent="0.2">
      <c r="W4629" s="319"/>
    </row>
    <row r="4630" spans="23:23" x14ac:dyDescent="0.2">
      <c r="W4630" s="319"/>
    </row>
    <row r="4631" spans="23:23" x14ac:dyDescent="0.2">
      <c r="W4631" s="319"/>
    </row>
    <row r="4632" spans="23:23" x14ac:dyDescent="0.2">
      <c r="W4632" s="319"/>
    </row>
    <row r="4633" spans="23:23" x14ac:dyDescent="0.2">
      <c r="W4633" s="319"/>
    </row>
    <row r="4634" spans="23:23" x14ac:dyDescent="0.2">
      <c r="W4634" s="319"/>
    </row>
    <row r="4635" spans="23:23" x14ac:dyDescent="0.2">
      <c r="W4635" s="319"/>
    </row>
    <row r="4636" spans="23:23" x14ac:dyDescent="0.2">
      <c r="W4636" s="319"/>
    </row>
    <row r="4637" spans="23:23" x14ac:dyDescent="0.2">
      <c r="W4637" s="319"/>
    </row>
    <row r="4638" spans="23:23" x14ac:dyDescent="0.2">
      <c r="W4638" s="319"/>
    </row>
    <row r="4639" spans="23:23" x14ac:dyDescent="0.2">
      <c r="W4639" s="319"/>
    </row>
    <row r="4640" spans="23:23" x14ac:dyDescent="0.2">
      <c r="W4640" s="319"/>
    </row>
    <row r="4641" spans="23:23" x14ac:dyDescent="0.2">
      <c r="W4641" s="319"/>
    </row>
    <row r="4642" spans="23:23" x14ac:dyDescent="0.2">
      <c r="W4642" s="319"/>
    </row>
    <row r="4643" spans="23:23" x14ac:dyDescent="0.2">
      <c r="W4643" s="319"/>
    </row>
    <row r="4644" spans="23:23" x14ac:dyDescent="0.2">
      <c r="W4644" s="319"/>
    </row>
    <row r="4645" spans="23:23" x14ac:dyDescent="0.2">
      <c r="W4645" s="319"/>
    </row>
    <row r="4646" spans="23:23" x14ac:dyDescent="0.2">
      <c r="W4646" s="319"/>
    </row>
    <row r="4647" spans="23:23" x14ac:dyDescent="0.2">
      <c r="W4647" s="319"/>
    </row>
    <row r="4648" spans="23:23" x14ac:dyDescent="0.2">
      <c r="W4648" s="319"/>
    </row>
    <row r="4649" spans="23:23" x14ac:dyDescent="0.2">
      <c r="W4649" s="319"/>
    </row>
    <row r="4650" spans="23:23" x14ac:dyDescent="0.2">
      <c r="W4650" s="319"/>
    </row>
    <row r="4651" spans="23:23" x14ac:dyDescent="0.2">
      <c r="W4651" s="319"/>
    </row>
    <row r="4652" spans="23:23" x14ac:dyDescent="0.2">
      <c r="W4652" s="319"/>
    </row>
    <row r="4653" spans="23:23" x14ac:dyDescent="0.2">
      <c r="W4653" s="319"/>
    </row>
    <row r="4654" spans="23:23" x14ac:dyDescent="0.2">
      <c r="W4654" s="319"/>
    </row>
    <row r="4655" spans="23:23" x14ac:dyDescent="0.2">
      <c r="W4655" s="319"/>
    </row>
    <row r="4656" spans="23:23" x14ac:dyDescent="0.2">
      <c r="W4656" s="319"/>
    </row>
    <row r="4657" spans="23:23" x14ac:dyDescent="0.2">
      <c r="W4657" s="319"/>
    </row>
    <row r="4658" spans="23:23" x14ac:dyDescent="0.2">
      <c r="W4658" s="319"/>
    </row>
    <row r="4659" spans="23:23" x14ac:dyDescent="0.2">
      <c r="W4659" s="319"/>
    </row>
    <row r="4660" spans="23:23" x14ac:dyDescent="0.2">
      <c r="W4660" s="319"/>
    </row>
    <row r="4661" spans="23:23" x14ac:dyDescent="0.2">
      <c r="W4661" s="319"/>
    </row>
    <row r="4662" spans="23:23" x14ac:dyDescent="0.2">
      <c r="W4662" s="319"/>
    </row>
    <row r="4663" spans="23:23" x14ac:dyDescent="0.2">
      <c r="W4663" s="319"/>
    </row>
    <row r="4664" spans="23:23" x14ac:dyDescent="0.2">
      <c r="W4664" s="319"/>
    </row>
    <row r="4665" spans="23:23" x14ac:dyDescent="0.2">
      <c r="W4665" s="319"/>
    </row>
    <row r="4666" spans="23:23" x14ac:dyDescent="0.2">
      <c r="W4666" s="319"/>
    </row>
    <row r="4667" spans="23:23" x14ac:dyDescent="0.2">
      <c r="W4667" s="319"/>
    </row>
    <row r="4668" spans="23:23" x14ac:dyDescent="0.2">
      <c r="W4668" s="319"/>
    </row>
    <row r="4669" spans="23:23" x14ac:dyDescent="0.2">
      <c r="W4669" s="319"/>
    </row>
    <row r="4670" spans="23:23" x14ac:dyDescent="0.2">
      <c r="W4670" s="319"/>
    </row>
    <row r="4671" spans="23:23" x14ac:dyDescent="0.2">
      <c r="W4671" s="319"/>
    </row>
    <row r="4672" spans="23:23" x14ac:dyDescent="0.2">
      <c r="W4672" s="319"/>
    </row>
    <row r="4673" spans="23:23" x14ac:dyDescent="0.2">
      <c r="W4673" s="319"/>
    </row>
    <row r="4674" spans="23:23" x14ac:dyDescent="0.2">
      <c r="W4674" s="319"/>
    </row>
    <row r="4675" spans="23:23" x14ac:dyDescent="0.2">
      <c r="W4675" s="319"/>
    </row>
    <row r="4676" spans="23:23" x14ac:dyDescent="0.2">
      <c r="W4676" s="319"/>
    </row>
    <row r="4677" spans="23:23" x14ac:dyDescent="0.2">
      <c r="W4677" s="319"/>
    </row>
    <row r="4678" spans="23:23" x14ac:dyDescent="0.2">
      <c r="W4678" s="319"/>
    </row>
    <row r="4679" spans="23:23" x14ac:dyDescent="0.2">
      <c r="W4679" s="319"/>
    </row>
    <row r="4680" spans="23:23" x14ac:dyDescent="0.2">
      <c r="W4680" s="319"/>
    </row>
    <row r="4681" spans="23:23" x14ac:dyDescent="0.2">
      <c r="W4681" s="319"/>
    </row>
    <row r="4682" spans="23:23" x14ac:dyDescent="0.2">
      <c r="W4682" s="319"/>
    </row>
    <row r="4683" spans="23:23" x14ac:dyDescent="0.2">
      <c r="W4683" s="319"/>
    </row>
    <row r="4684" spans="23:23" x14ac:dyDescent="0.2">
      <c r="W4684" s="319"/>
    </row>
    <row r="4685" spans="23:23" x14ac:dyDescent="0.2">
      <c r="W4685" s="319"/>
    </row>
    <row r="4686" spans="23:23" x14ac:dyDescent="0.2">
      <c r="W4686" s="319"/>
    </row>
    <row r="4687" spans="23:23" x14ac:dyDescent="0.2">
      <c r="W4687" s="319"/>
    </row>
    <row r="4688" spans="23:23" x14ac:dyDescent="0.2">
      <c r="W4688" s="319"/>
    </row>
    <row r="4689" spans="23:23" x14ac:dyDescent="0.2">
      <c r="W4689" s="319"/>
    </row>
    <row r="4690" spans="23:23" x14ac:dyDescent="0.2">
      <c r="W4690" s="319"/>
    </row>
    <row r="4691" spans="23:23" x14ac:dyDescent="0.2">
      <c r="W4691" s="319"/>
    </row>
    <row r="4692" spans="23:23" x14ac:dyDescent="0.2">
      <c r="W4692" s="319"/>
    </row>
    <row r="4693" spans="23:23" x14ac:dyDescent="0.2">
      <c r="W4693" s="319"/>
    </row>
    <row r="4694" spans="23:23" x14ac:dyDescent="0.2">
      <c r="W4694" s="319"/>
    </row>
    <row r="4695" spans="23:23" x14ac:dyDescent="0.2">
      <c r="W4695" s="319"/>
    </row>
    <row r="4696" spans="23:23" x14ac:dyDescent="0.2">
      <c r="W4696" s="319"/>
    </row>
    <row r="4697" spans="23:23" x14ac:dyDescent="0.2">
      <c r="W4697" s="319"/>
    </row>
    <row r="4698" spans="23:23" x14ac:dyDescent="0.2">
      <c r="W4698" s="319"/>
    </row>
    <row r="4699" spans="23:23" x14ac:dyDescent="0.2">
      <c r="W4699" s="319"/>
    </row>
    <row r="4700" spans="23:23" x14ac:dyDescent="0.2">
      <c r="W4700" s="319"/>
    </row>
    <row r="4701" spans="23:23" x14ac:dyDescent="0.2">
      <c r="W4701" s="319"/>
    </row>
    <row r="4702" spans="23:23" x14ac:dyDescent="0.2">
      <c r="W4702" s="319"/>
    </row>
    <row r="4703" spans="23:23" x14ac:dyDescent="0.2">
      <c r="W4703" s="319"/>
    </row>
    <row r="4704" spans="23:23" x14ac:dyDescent="0.2">
      <c r="W4704" s="319"/>
    </row>
    <row r="4705" spans="23:23" x14ac:dyDescent="0.2">
      <c r="W4705" s="319"/>
    </row>
    <row r="4706" spans="23:23" x14ac:dyDescent="0.2">
      <c r="W4706" s="319"/>
    </row>
    <row r="4707" spans="23:23" x14ac:dyDescent="0.2">
      <c r="W4707" s="319"/>
    </row>
    <row r="4708" spans="23:23" x14ac:dyDescent="0.2">
      <c r="W4708" s="319"/>
    </row>
    <row r="4709" spans="23:23" x14ac:dyDescent="0.2">
      <c r="W4709" s="319"/>
    </row>
    <row r="4710" spans="23:23" x14ac:dyDescent="0.2">
      <c r="W4710" s="319"/>
    </row>
    <row r="4711" spans="23:23" x14ac:dyDescent="0.2">
      <c r="W4711" s="319"/>
    </row>
    <row r="4712" spans="23:23" x14ac:dyDescent="0.2">
      <c r="W4712" s="319"/>
    </row>
    <row r="4713" spans="23:23" x14ac:dyDescent="0.2">
      <c r="W4713" s="319"/>
    </row>
    <row r="4714" spans="23:23" x14ac:dyDescent="0.2">
      <c r="W4714" s="319"/>
    </row>
    <row r="4715" spans="23:23" x14ac:dyDescent="0.2">
      <c r="W4715" s="319"/>
    </row>
    <row r="4716" spans="23:23" x14ac:dyDescent="0.2">
      <c r="W4716" s="319"/>
    </row>
    <row r="4717" spans="23:23" x14ac:dyDescent="0.2">
      <c r="W4717" s="319"/>
    </row>
    <row r="4718" spans="23:23" x14ac:dyDescent="0.2">
      <c r="W4718" s="319"/>
    </row>
    <row r="4719" spans="23:23" x14ac:dyDescent="0.2">
      <c r="W4719" s="319"/>
    </row>
    <row r="4720" spans="23:23" x14ac:dyDescent="0.2">
      <c r="W4720" s="319"/>
    </row>
    <row r="4721" spans="23:23" x14ac:dyDescent="0.2">
      <c r="W4721" s="319"/>
    </row>
    <row r="4722" spans="23:23" x14ac:dyDescent="0.2">
      <c r="W4722" s="319"/>
    </row>
    <row r="4723" spans="23:23" x14ac:dyDescent="0.2">
      <c r="W4723" s="319"/>
    </row>
    <row r="4724" spans="23:23" x14ac:dyDescent="0.2">
      <c r="W4724" s="319"/>
    </row>
    <row r="4725" spans="23:23" x14ac:dyDescent="0.2">
      <c r="W4725" s="319"/>
    </row>
    <row r="4726" spans="23:23" x14ac:dyDescent="0.2">
      <c r="W4726" s="319"/>
    </row>
    <row r="4727" spans="23:23" x14ac:dyDescent="0.2">
      <c r="W4727" s="319"/>
    </row>
    <row r="4728" spans="23:23" x14ac:dyDescent="0.2">
      <c r="W4728" s="319"/>
    </row>
    <row r="4729" spans="23:23" x14ac:dyDescent="0.2">
      <c r="W4729" s="319"/>
    </row>
    <row r="4730" spans="23:23" x14ac:dyDescent="0.2">
      <c r="W4730" s="319"/>
    </row>
    <row r="4731" spans="23:23" x14ac:dyDescent="0.2">
      <c r="W4731" s="319"/>
    </row>
    <row r="4732" spans="23:23" x14ac:dyDescent="0.2">
      <c r="W4732" s="319"/>
    </row>
    <row r="4733" spans="23:23" x14ac:dyDescent="0.2">
      <c r="W4733" s="319"/>
    </row>
    <row r="4734" spans="23:23" x14ac:dyDescent="0.2">
      <c r="W4734" s="319"/>
    </row>
    <row r="4735" spans="23:23" x14ac:dyDescent="0.2">
      <c r="W4735" s="319"/>
    </row>
    <row r="4736" spans="23:23" x14ac:dyDescent="0.2">
      <c r="W4736" s="319"/>
    </row>
    <row r="4737" spans="23:23" x14ac:dyDescent="0.2">
      <c r="W4737" s="319"/>
    </row>
    <row r="4738" spans="23:23" x14ac:dyDescent="0.2">
      <c r="W4738" s="319"/>
    </row>
    <row r="4739" spans="23:23" x14ac:dyDescent="0.2">
      <c r="W4739" s="319"/>
    </row>
    <row r="4740" spans="23:23" x14ac:dyDescent="0.2">
      <c r="W4740" s="319"/>
    </row>
    <row r="4741" spans="23:23" x14ac:dyDescent="0.2">
      <c r="W4741" s="319"/>
    </row>
    <row r="4742" spans="23:23" x14ac:dyDescent="0.2">
      <c r="W4742" s="319"/>
    </row>
    <row r="4743" spans="23:23" x14ac:dyDescent="0.2">
      <c r="W4743" s="319"/>
    </row>
    <row r="4744" spans="23:23" x14ac:dyDescent="0.2">
      <c r="W4744" s="319"/>
    </row>
    <row r="4745" spans="23:23" x14ac:dyDescent="0.2">
      <c r="W4745" s="319"/>
    </row>
    <row r="4746" spans="23:23" x14ac:dyDescent="0.2">
      <c r="W4746" s="319"/>
    </row>
    <row r="4747" spans="23:23" x14ac:dyDescent="0.2">
      <c r="W4747" s="319"/>
    </row>
    <row r="4748" spans="23:23" x14ac:dyDescent="0.2">
      <c r="W4748" s="319"/>
    </row>
    <row r="4749" spans="23:23" x14ac:dyDescent="0.2">
      <c r="W4749" s="319"/>
    </row>
    <row r="4750" spans="23:23" x14ac:dyDescent="0.2">
      <c r="W4750" s="319"/>
    </row>
    <row r="4751" spans="23:23" x14ac:dyDescent="0.2">
      <c r="W4751" s="319"/>
    </row>
    <row r="4752" spans="23:23" x14ac:dyDescent="0.2">
      <c r="W4752" s="319"/>
    </row>
    <row r="4753" spans="23:23" x14ac:dyDescent="0.2">
      <c r="W4753" s="319"/>
    </row>
    <row r="4754" spans="23:23" x14ac:dyDescent="0.2">
      <c r="W4754" s="319"/>
    </row>
    <row r="4755" spans="23:23" x14ac:dyDescent="0.2">
      <c r="W4755" s="319"/>
    </row>
    <row r="4756" spans="23:23" x14ac:dyDescent="0.2">
      <c r="W4756" s="319"/>
    </row>
    <row r="4757" spans="23:23" x14ac:dyDescent="0.2">
      <c r="W4757" s="319"/>
    </row>
    <row r="4758" spans="23:23" x14ac:dyDescent="0.2">
      <c r="W4758" s="319"/>
    </row>
    <row r="4759" spans="23:23" x14ac:dyDescent="0.2">
      <c r="W4759" s="319"/>
    </row>
    <row r="4760" spans="23:23" x14ac:dyDescent="0.2">
      <c r="W4760" s="319"/>
    </row>
    <row r="4761" spans="23:23" x14ac:dyDescent="0.2">
      <c r="W4761" s="319"/>
    </row>
    <row r="4762" spans="23:23" x14ac:dyDescent="0.2">
      <c r="W4762" s="319"/>
    </row>
    <row r="4763" spans="23:23" x14ac:dyDescent="0.2">
      <c r="W4763" s="319"/>
    </row>
    <row r="4764" spans="23:23" x14ac:dyDescent="0.2">
      <c r="W4764" s="319"/>
    </row>
    <row r="4765" spans="23:23" x14ac:dyDescent="0.2">
      <c r="W4765" s="319"/>
    </row>
    <row r="4766" spans="23:23" x14ac:dyDescent="0.2">
      <c r="W4766" s="319"/>
    </row>
    <row r="4767" spans="23:23" x14ac:dyDescent="0.2">
      <c r="W4767" s="319"/>
    </row>
    <row r="4768" spans="23:23" x14ac:dyDescent="0.2">
      <c r="W4768" s="319"/>
    </row>
    <row r="4769" spans="23:23" x14ac:dyDescent="0.2">
      <c r="W4769" s="319"/>
    </row>
    <row r="4770" spans="23:23" x14ac:dyDescent="0.2">
      <c r="W4770" s="319"/>
    </row>
    <row r="4771" spans="23:23" x14ac:dyDescent="0.2">
      <c r="W4771" s="319"/>
    </row>
    <row r="4772" spans="23:23" x14ac:dyDescent="0.2">
      <c r="W4772" s="319"/>
    </row>
    <row r="4773" spans="23:23" x14ac:dyDescent="0.2">
      <c r="W4773" s="319"/>
    </row>
    <row r="4774" spans="23:23" x14ac:dyDescent="0.2">
      <c r="W4774" s="319"/>
    </row>
    <row r="4775" spans="23:23" x14ac:dyDescent="0.2">
      <c r="W4775" s="319"/>
    </row>
    <row r="4776" spans="23:23" x14ac:dyDescent="0.2">
      <c r="W4776" s="319"/>
    </row>
    <row r="4777" spans="23:23" x14ac:dyDescent="0.2">
      <c r="W4777" s="319"/>
    </row>
    <row r="4778" spans="23:23" x14ac:dyDescent="0.2">
      <c r="W4778" s="319"/>
    </row>
    <row r="4779" spans="23:23" x14ac:dyDescent="0.2">
      <c r="W4779" s="319"/>
    </row>
    <row r="4780" spans="23:23" x14ac:dyDescent="0.2">
      <c r="W4780" s="319"/>
    </row>
    <row r="4781" spans="23:23" x14ac:dyDescent="0.2">
      <c r="W4781" s="319"/>
    </row>
    <row r="4782" spans="23:23" x14ac:dyDescent="0.2">
      <c r="W4782" s="319"/>
    </row>
    <row r="4783" spans="23:23" x14ac:dyDescent="0.2">
      <c r="W4783" s="319"/>
    </row>
    <row r="4784" spans="23:23" x14ac:dyDescent="0.2">
      <c r="W4784" s="319"/>
    </row>
    <row r="4785" spans="23:23" x14ac:dyDescent="0.2">
      <c r="W4785" s="319"/>
    </row>
    <row r="4786" spans="23:23" x14ac:dyDescent="0.2">
      <c r="W4786" s="319"/>
    </row>
    <row r="4787" spans="23:23" x14ac:dyDescent="0.2">
      <c r="W4787" s="319"/>
    </row>
    <row r="4788" spans="23:23" x14ac:dyDescent="0.2">
      <c r="W4788" s="319"/>
    </row>
    <row r="4789" spans="23:23" x14ac:dyDescent="0.2">
      <c r="W4789" s="319"/>
    </row>
    <row r="4790" spans="23:23" x14ac:dyDescent="0.2">
      <c r="W4790" s="319"/>
    </row>
    <row r="4791" spans="23:23" x14ac:dyDescent="0.2">
      <c r="W4791" s="319"/>
    </row>
    <row r="4792" spans="23:23" x14ac:dyDescent="0.2">
      <c r="W4792" s="319"/>
    </row>
    <row r="4793" spans="23:23" x14ac:dyDescent="0.2">
      <c r="W4793" s="319"/>
    </row>
    <row r="4794" spans="23:23" x14ac:dyDescent="0.2">
      <c r="W4794" s="319"/>
    </row>
    <row r="4795" spans="23:23" x14ac:dyDescent="0.2">
      <c r="W4795" s="319"/>
    </row>
    <row r="4796" spans="23:23" x14ac:dyDescent="0.2">
      <c r="W4796" s="319"/>
    </row>
    <row r="4797" spans="23:23" x14ac:dyDescent="0.2">
      <c r="W4797" s="319"/>
    </row>
    <row r="4798" spans="23:23" x14ac:dyDescent="0.2">
      <c r="W4798" s="319"/>
    </row>
    <row r="4799" spans="23:23" x14ac:dyDescent="0.2">
      <c r="W4799" s="319"/>
    </row>
    <row r="4800" spans="23:23" x14ac:dyDescent="0.2">
      <c r="W4800" s="319"/>
    </row>
    <row r="4801" spans="23:23" x14ac:dyDescent="0.2">
      <c r="W4801" s="319"/>
    </row>
    <row r="4802" spans="23:23" x14ac:dyDescent="0.2">
      <c r="W4802" s="319"/>
    </row>
    <row r="4803" spans="23:23" x14ac:dyDescent="0.2">
      <c r="W4803" s="319"/>
    </row>
    <row r="4804" spans="23:23" x14ac:dyDescent="0.2">
      <c r="W4804" s="319"/>
    </row>
    <row r="4805" spans="23:23" x14ac:dyDescent="0.2">
      <c r="W4805" s="319"/>
    </row>
    <row r="4806" spans="23:23" x14ac:dyDescent="0.2">
      <c r="W4806" s="319"/>
    </row>
    <row r="4807" spans="23:23" x14ac:dyDescent="0.2">
      <c r="W4807" s="319"/>
    </row>
    <row r="4808" spans="23:23" x14ac:dyDescent="0.2">
      <c r="W4808" s="319"/>
    </row>
    <row r="4809" spans="23:23" x14ac:dyDescent="0.2">
      <c r="W4809" s="319"/>
    </row>
    <row r="4810" spans="23:23" x14ac:dyDescent="0.2">
      <c r="W4810" s="319"/>
    </row>
    <row r="4811" spans="23:23" x14ac:dyDescent="0.2">
      <c r="W4811" s="319"/>
    </row>
    <row r="4812" spans="23:23" x14ac:dyDescent="0.2">
      <c r="W4812" s="319"/>
    </row>
    <row r="4813" spans="23:23" x14ac:dyDescent="0.2">
      <c r="W4813" s="319"/>
    </row>
    <row r="4814" spans="23:23" x14ac:dyDescent="0.2">
      <c r="W4814" s="319"/>
    </row>
    <row r="4815" spans="23:23" x14ac:dyDescent="0.2">
      <c r="W4815" s="319"/>
    </row>
    <row r="4816" spans="23:23" x14ac:dyDescent="0.2">
      <c r="W4816" s="319"/>
    </row>
    <row r="4817" spans="23:23" x14ac:dyDescent="0.2">
      <c r="W4817" s="319"/>
    </row>
    <row r="4818" spans="23:23" x14ac:dyDescent="0.2">
      <c r="W4818" s="319"/>
    </row>
    <row r="4819" spans="23:23" x14ac:dyDescent="0.2">
      <c r="W4819" s="319"/>
    </row>
    <row r="4820" spans="23:23" x14ac:dyDescent="0.2">
      <c r="W4820" s="319"/>
    </row>
    <row r="4821" spans="23:23" x14ac:dyDescent="0.2">
      <c r="W4821" s="319"/>
    </row>
    <row r="4822" spans="23:23" x14ac:dyDescent="0.2">
      <c r="W4822" s="319"/>
    </row>
    <row r="4823" spans="23:23" x14ac:dyDescent="0.2">
      <c r="W4823" s="319"/>
    </row>
    <row r="4824" spans="23:23" x14ac:dyDescent="0.2">
      <c r="W4824" s="319"/>
    </row>
    <row r="4825" spans="23:23" x14ac:dyDescent="0.2">
      <c r="W4825" s="319"/>
    </row>
    <row r="4826" spans="23:23" x14ac:dyDescent="0.2">
      <c r="W4826" s="319"/>
    </row>
    <row r="4827" spans="23:23" x14ac:dyDescent="0.2">
      <c r="W4827" s="319"/>
    </row>
    <row r="4828" spans="23:23" x14ac:dyDescent="0.2">
      <c r="W4828" s="319"/>
    </row>
    <row r="4829" spans="23:23" x14ac:dyDescent="0.2">
      <c r="W4829" s="319"/>
    </row>
    <row r="4830" spans="23:23" x14ac:dyDescent="0.2">
      <c r="W4830" s="319"/>
    </row>
    <row r="4831" spans="23:23" x14ac:dyDescent="0.2">
      <c r="W4831" s="319"/>
    </row>
    <row r="4832" spans="23:23" x14ac:dyDescent="0.2">
      <c r="W4832" s="319"/>
    </row>
    <row r="4833" spans="23:23" x14ac:dyDescent="0.2">
      <c r="W4833" s="319"/>
    </row>
    <row r="4834" spans="23:23" x14ac:dyDescent="0.2">
      <c r="W4834" s="319"/>
    </row>
    <row r="4835" spans="23:23" x14ac:dyDescent="0.2">
      <c r="W4835" s="319"/>
    </row>
    <row r="4836" spans="23:23" x14ac:dyDescent="0.2">
      <c r="W4836" s="319"/>
    </row>
    <row r="4837" spans="23:23" x14ac:dyDescent="0.2">
      <c r="W4837" s="319"/>
    </row>
    <row r="4838" spans="23:23" x14ac:dyDescent="0.2">
      <c r="W4838" s="319"/>
    </row>
    <row r="4839" spans="23:23" x14ac:dyDescent="0.2">
      <c r="W4839" s="319"/>
    </row>
    <row r="4840" spans="23:23" x14ac:dyDescent="0.2">
      <c r="W4840" s="319"/>
    </row>
    <row r="4841" spans="23:23" x14ac:dyDescent="0.2">
      <c r="W4841" s="319"/>
    </row>
    <row r="4842" spans="23:23" x14ac:dyDescent="0.2">
      <c r="W4842" s="319"/>
    </row>
    <row r="4843" spans="23:23" x14ac:dyDescent="0.2">
      <c r="W4843" s="319"/>
    </row>
    <row r="4844" spans="23:23" x14ac:dyDescent="0.2">
      <c r="W4844" s="319"/>
    </row>
    <row r="4845" spans="23:23" x14ac:dyDescent="0.2">
      <c r="W4845" s="319"/>
    </row>
    <row r="4846" spans="23:23" x14ac:dyDescent="0.2">
      <c r="W4846" s="319"/>
    </row>
    <row r="4847" spans="23:23" x14ac:dyDescent="0.2">
      <c r="W4847" s="319"/>
    </row>
    <row r="4848" spans="23:23" x14ac:dyDescent="0.2">
      <c r="W4848" s="319"/>
    </row>
    <row r="4849" spans="23:23" x14ac:dyDescent="0.2">
      <c r="W4849" s="319"/>
    </row>
    <row r="4850" spans="23:23" x14ac:dyDescent="0.2">
      <c r="W4850" s="319"/>
    </row>
    <row r="4851" spans="23:23" x14ac:dyDescent="0.2">
      <c r="W4851" s="319"/>
    </row>
    <row r="4852" spans="23:23" x14ac:dyDescent="0.2">
      <c r="W4852" s="319"/>
    </row>
    <row r="4853" spans="23:23" x14ac:dyDescent="0.2">
      <c r="W4853" s="319"/>
    </row>
    <row r="4854" spans="23:23" x14ac:dyDescent="0.2">
      <c r="W4854" s="319"/>
    </row>
    <row r="4855" spans="23:23" x14ac:dyDescent="0.2">
      <c r="W4855" s="319"/>
    </row>
    <row r="4856" spans="23:23" x14ac:dyDescent="0.2">
      <c r="W4856" s="319"/>
    </row>
    <row r="4857" spans="23:23" x14ac:dyDescent="0.2">
      <c r="W4857" s="319"/>
    </row>
    <row r="4858" spans="23:23" x14ac:dyDescent="0.2">
      <c r="W4858" s="319"/>
    </row>
    <row r="4859" spans="23:23" x14ac:dyDescent="0.2">
      <c r="W4859" s="319"/>
    </row>
    <row r="4860" spans="23:23" x14ac:dyDescent="0.2">
      <c r="W4860" s="319"/>
    </row>
    <row r="4861" spans="23:23" x14ac:dyDescent="0.2">
      <c r="W4861" s="319"/>
    </row>
    <row r="4862" spans="23:23" x14ac:dyDescent="0.2">
      <c r="W4862" s="319"/>
    </row>
    <row r="4863" spans="23:23" x14ac:dyDescent="0.2">
      <c r="W4863" s="319"/>
    </row>
    <row r="4864" spans="23:23" x14ac:dyDescent="0.2">
      <c r="W4864" s="319"/>
    </row>
    <row r="4865" spans="23:23" x14ac:dyDescent="0.2">
      <c r="W4865" s="319"/>
    </row>
    <row r="4866" spans="23:23" x14ac:dyDescent="0.2">
      <c r="W4866" s="319"/>
    </row>
    <row r="4867" spans="23:23" x14ac:dyDescent="0.2">
      <c r="W4867" s="319"/>
    </row>
    <row r="4868" spans="23:23" x14ac:dyDescent="0.2">
      <c r="W4868" s="319"/>
    </row>
    <row r="4869" spans="23:23" x14ac:dyDescent="0.2">
      <c r="W4869" s="319"/>
    </row>
    <row r="4870" spans="23:23" x14ac:dyDescent="0.2">
      <c r="W4870" s="319"/>
    </row>
    <row r="4871" spans="23:23" x14ac:dyDescent="0.2">
      <c r="W4871" s="319"/>
    </row>
    <row r="4872" spans="23:23" x14ac:dyDescent="0.2">
      <c r="W4872" s="319"/>
    </row>
    <row r="4873" spans="23:23" x14ac:dyDescent="0.2">
      <c r="W4873" s="319"/>
    </row>
    <row r="4874" spans="23:23" x14ac:dyDescent="0.2">
      <c r="W4874" s="319"/>
    </row>
    <row r="4875" spans="23:23" x14ac:dyDescent="0.2">
      <c r="W4875" s="319"/>
    </row>
    <row r="4876" spans="23:23" x14ac:dyDescent="0.2">
      <c r="W4876" s="319"/>
    </row>
    <row r="4877" spans="23:23" x14ac:dyDescent="0.2">
      <c r="W4877" s="319"/>
    </row>
    <row r="4878" spans="23:23" x14ac:dyDescent="0.2">
      <c r="W4878" s="319"/>
    </row>
    <row r="4879" spans="23:23" x14ac:dyDescent="0.2">
      <c r="W4879" s="319"/>
    </row>
    <row r="4880" spans="23:23" x14ac:dyDescent="0.2">
      <c r="W4880" s="319"/>
    </row>
    <row r="4881" spans="23:23" x14ac:dyDescent="0.2">
      <c r="W4881" s="319"/>
    </row>
    <row r="4882" spans="23:23" x14ac:dyDescent="0.2">
      <c r="W4882" s="319"/>
    </row>
    <row r="4883" spans="23:23" x14ac:dyDescent="0.2">
      <c r="W4883" s="319"/>
    </row>
    <row r="4884" spans="23:23" x14ac:dyDescent="0.2">
      <c r="W4884" s="319"/>
    </row>
    <row r="4885" spans="23:23" x14ac:dyDescent="0.2">
      <c r="W4885" s="319"/>
    </row>
    <row r="4886" spans="23:23" x14ac:dyDescent="0.2">
      <c r="W4886" s="319"/>
    </row>
    <row r="4887" spans="23:23" x14ac:dyDescent="0.2">
      <c r="W4887" s="319"/>
    </row>
    <row r="4888" spans="23:23" x14ac:dyDescent="0.2">
      <c r="W4888" s="319"/>
    </row>
    <row r="4889" spans="23:23" x14ac:dyDescent="0.2">
      <c r="W4889" s="319"/>
    </row>
    <row r="4890" spans="23:23" x14ac:dyDescent="0.2">
      <c r="W4890" s="319"/>
    </row>
    <row r="4891" spans="23:23" x14ac:dyDescent="0.2">
      <c r="W4891" s="319"/>
    </row>
    <row r="4892" spans="23:23" x14ac:dyDescent="0.2">
      <c r="W4892" s="319"/>
    </row>
    <row r="4893" spans="23:23" x14ac:dyDescent="0.2">
      <c r="W4893" s="319"/>
    </row>
    <row r="4894" spans="23:23" x14ac:dyDescent="0.2">
      <c r="W4894" s="319"/>
    </row>
    <row r="4895" spans="23:23" x14ac:dyDescent="0.2">
      <c r="W4895" s="319"/>
    </row>
    <row r="4896" spans="23:23" x14ac:dyDescent="0.2">
      <c r="W4896" s="319"/>
    </row>
    <row r="4897" spans="23:23" x14ac:dyDescent="0.2">
      <c r="W4897" s="319"/>
    </row>
    <row r="4898" spans="23:23" x14ac:dyDescent="0.2">
      <c r="W4898" s="319"/>
    </row>
    <row r="4899" spans="23:23" x14ac:dyDescent="0.2">
      <c r="W4899" s="319"/>
    </row>
    <row r="4900" spans="23:23" x14ac:dyDescent="0.2">
      <c r="W4900" s="319"/>
    </row>
    <row r="4901" spans="23:23" x14ac:dyDescent="0.2">
      <c r="W4901" s="319"/>
    </row>
    <row r="4902" spans="23:23" x14ac:dyDescent="0.2">
      <c r="W4902" s="319"/>
    </row>
    <row r="4903" spans="23:23" x14ac:dyDescent="0.2">
      <c r="W4903" s="319"/>
    </row>
    <row r="4904" spans="23:23" x14ac:dyDescent="0.2">
      <c r="W4904" s="319"/>
    </row>
    <row r="4905" spans="23:23" x14ac:dyDescent="0.2">
      <c r="W4905" s="319"/>
    </row>
    <row r="4906" spans="23:23" x14ac:dyDescent="0.2">
      <c r="W4906" s="319"/>
    </row>
    <row r="4907" spans="23:23" x14ac:dyDescent="0.2">
      <c r="W4907" s="319"/>
    </row>
    <row r="4908" spans="23:23" x14ac:dyDescent="0.2">
      <c r="W4908" s="319"/>
    </row>
    <row r="4909" spans="23:23" x14ac:dyDescent="0.2">
      <c r="W4909" s="319"/>
    </row>
    <row r="4910" spans="23:23" x14ac:dyDescent="0.2">
      <c r="W4910" s="319"/>
    </row>
    <row r="4911" spans="23:23" x14ac:dyDescent="0.2">
      <c r="W4911" s="319"/>
    </row>
    <row r="4912" spans="23:23" x14ac:dyDescent="0.2">
      <c r="W4912" s="319"/>
    </row>
    <row r="4913" spans="23:23" x14ac:dyDescent="0.2">
      <c r="W4913" s="319"/>
    </row>
    <row r="4914" spans="23:23" x14ac:dyDescent="0.2">
      <c r="W4914" s="319"/>
    </row>
    <row r="4915" spans="23:23" x14ac:dyDescent="0.2">
      <c r="W4915" s="319"/>
    </row>
    <row r="4916" spans="23:23" x14ac:dyDescent="0.2">
      <c r="W4916" s="319"/>
    </row>
    <row r="4917" spans="23:23" x14ac:dyDescent="0.2">
      <c r="W4917" s="319"/>
    </row>
    <row r="4918" spans="23:23" x14ac:dyDescent="0.2">
      <c r="W4918" s="319"/>
    </row>
    <row r="4919" spans="23:23" x14ac:dyDescent="0.2">
      <c r="W4919" s="319"/>
    </row>
    <row r="4920" spans="23:23" x14ac:dyDescent="0.2">
      <c r="W4920" s="319"/>
    </row>
    <row r="4921" spans="23:23" x14ac:dyDescent="0.2">
      <c r="W4921" s="319"/>
    </row>
    <row r="4922" spans="23:23" x14ac:dyDescent="0.2">
      <c r="W4922" s="319"/>
    </row>
    <row r="4923" spans="23:23" x14ac:dyDescent="0.2">
      <c r="W4923" s="319"/>
    </row>
    <row r="4924" spans="23:23" x14ac:dyDescent="0.2">
      <c r="W4924" s="319"/>
    </row>
    <row r="4925" spans="23:23" x14ac:dyDescent="0.2">
      <c r="W4925" s="319"/>
    </row>
    <row r="4926" spans="23:23" x14ac:dyDescent="0.2">
      <c r="W4926" s="319"/>
    </row>
    <row r="4927" spans="23:23" x14ac:dyDescent="0.2">
      <c r="W4927" s="319"/>
    </row>
    <row r="4928" spans="23:23" x14ac:dyDescent="0.2">
      <c r="W4928" s="319"/>
    </row>
    <row r="4929" spans="23:23" x14ac:dyDescent="0.2">
      <c r="W4929" s="319"/>
    </row>
    <row r="4930" spans="23:23" x14ac:dyDescent="0.2">
      <c r="W4930" s="319"/>
    </row>
    <row r="4931" spans="23:23" x14ac:dyDescent="0.2">
      <c r="W4931" s="319"/>
    </row>
    <row r="4932" spans="23:23" x14ac:dyDescent="0.2">
      <c r="W4932" s="319"/>
    </row>
    <row r="4933" spans="23:23" x14ac:dyDescent="0.2">
      <c r="W4933" s="319"/>
    </row>
    <row r="4934" spans="23:23" x14ac:dyDescent="0.2">
      <c r="W4934" s="319"/>
    </row>
    <row r="4935" spans="23:23" x14ac:dyDescent="0.2">
      <c r="W4935" s="319"/>
    </row>
    <row r="4936" spans="23:23" x14ac:dyDescent="0.2">
      <c r="W4936" s="319"/>
    </row>
    <row r="4937" spans="23:23" x14ac:dyDescent="0.2">
      <c r="W4937" s="319"/>
    </row>
    <row r="4938" spans="23:23" x14ac:dyDescent="0.2">
      <c r="W4938" s="319"/>
    </row>
    <row r="4939" spans="23:23" x14ac:dyDescent="0.2">
      <c r="W4939" s="319"/>
    </row>
    <row r="4940" spans="23:23" x14ac:dyDescent="0.2">
      <c r="W4940" s="319"/>
    </row>
    <row r="4941" spans="23:23" x14ac:dyDescent="0.2">
      <c r="W4941" s="319"/>
    </row>
    <row r="4942" spans="23:23" x14ac:dyDescent="0.2">
      <c r="W4942" s="319"/>
    </row>
    <row r="4943" spans="23:23" x14ac:dyDescent="0.2">
      <c r="W4943" s="319"/>
    </row>
    <row r="4944" spans="23:23" x14ac:dyDescent="0.2">
      <c r="W4944" s="319"/>
    </row>
    <row r="4945" spans="23:23" x14ac:dyDescent="0.2">
      <c r="W4945" s="319"/>
    </row>
    <row r="4946" spans="23:23" x14ac:dyDescent="0.2">
      <c r="W4946" s="319"/>
    </row>
    <row r="4947" spans="23:23" x14ac:dyDescent="0.2">
      <c r="W4947" s="319"/>
    </row>
    <row r="4948" spans="23:23" x14ac:dyDescent="0.2">
      <c r="W4948" s="319"/>
    </row>
    <row r="4949" spans="23:23" x14ac:dyDescent="0.2">
      <c r="W4949" s="319"/>
    </row>
    <row r="4950" spans="23:23" x14ac:dyDescent="0.2">
      <c r="W4950" s="319"/>
    </row>
    <row r="4951" spans="23:23" x14ac:dyDescent="0.2">
      <c r="W4951" s="319"/>
    </row>
    <row r="4952" spans="23:23" x14ac:dyDescent="0.2">
      <c r="W4952" s="319"/>
    </row>
    <row r="4953" spans="23:23" x14ac:dyDescent="0.2">
      <c r="W4953" s="319"/>
    </row>
    <row r="4954" spans="23:23" x14ac:dyDescent="0.2">
      <c r="W4954" s="319"/>
    </row>
    <row r="4955" spans="23:23" x14ac:dyDescent="0.2">
      <c r="W4955" s="319"/>
    </row>
    <row r="4956" spans="23:23" x14ac:dyDescent="0.2">
      <c r="W4956" s="319"/>
    </row>
    <row r="4957" spans="23:23" x14ac:dyDescent="0.2">
      <c r="W4957" s="319"/>
    </row>
    <row r="4958" spans="23:23" x14ac:dyDescent="0.2">
      <c r="W4958" s="319"/>
    </row>
    <row r="4959" spans="23:23" x14ac:dyDescent="0.2">
      <c r="W4959" s="319"/>
    </row>
    <row r="4960" spans="23:23" x14ac:dyDescent="0.2">
      <c r="W4960" s="319"/>
    </row>
    <row r="4961" spans="23:23" x14ac:dyDescent="0.2">
      <c r="W4961" s="319"/>
    </row>
    <row r="4962" spans="23:23" x14ac:dyDescent="0.2">
      <c r="W4962" s="319"/>
    </row>
    <row r="4963" spans="23:23" x14ac:dyDescent="0.2">
      <c r="W4963" s="319"/>
    </row>
    <row r="4964" spans="23:23" x14ac:dyDescent="0.2">
      <c r="W4964" s="319"/>
    </row>
    <row r="4965" spans="23:23" x14ac:dyDescent="0.2">
      <c r="W4965" s="319"/>
    </row>
    <row r="4966" spans="23:23" x14ac:dyDescent="0.2">
      <c r="W4966" s="319"/>
    </row>
    <row r="4967" spans="23:23" x14ac:dyDescent="0.2">
      <c r="W4967" s="319"/>
    </row>
    <row r="4968" spans="23:23" x14ac:dyDescent="0.2">
      <c r="W4968" s="319"/>
    </row>
    <row r="4969" spans="23:23" x14ac:dyDescent="0.2">
      <c r="W4969" s="319"/>
    </row>
    <row r="4970" spans="23:23" x14ac:dyDescent="0.2">
      <c r="W4970" s="319"/>
    </row>
    <row r="4971" spans="23:23" x14ac:dyDescent="0.2">
      <c r="W4971" s="319"/>
    </row>
    <row r="4972" spans="23:23" x14ac:dyDescent="0.2">
      <c r="W4972" s="319"/>
    </row>
    <row r="4973" spans="23:23" x14ac:dyDescent="0.2">
      <c r="W4973" s="319"/>
    </row>
    <row r="4974" spans="23:23" x14ac:dyDescent="0.2">
      <c r="W4974" s="319"/>
    </row>
    <row r="4975" spans="23:23" x14ac:dyDescent="0.2">
      <c r="W4975" s="319"/>
    </row>
    <row r="4976" spans="23:23" x14ac:dyDescent="0.2">
      <c r="W4976" s="319"/>
    </row>
    <row r="4977" spans="23:23" x14ac:dyDescent="0.2">
      <c r="W4977" s="319"/>
    </row>
    <row r="4978" spans="23:23" x14ac:dyDescent="0.2">
      <c r="W4978" s="319"/>
    </row>
    <row r="4979" spans="23:23" x14ac:dyDescent="0.2">
      <c r="W4979" s="319"/>
    </row>
    <row r="4980" spans="23:23" x14ac:dyDescent="0.2">
      <c r="W4980" s="319"/>
    </row>
    <row r="4981" spans="23:23" x14ac:dyDescent="0.2">
      <c r="W4981" s="319"/>
    </row>
    <row r="4982" spans="23:23" x14ac:dyDescent="0.2">
      <c r="W4982" s="319"/>
    </row>
    <row r="4983" spans="23:23" x14ac:dyDescent="0.2">
      <c r="W4983" s="319"/>
    </row>
    <row r="4984" spans="23:23" x14ac:dyDescent="0.2">
      <c r="W4984" s="319"/>
    </row>
    <row r="4985" spans="23:23" x14ac:dyDescent="0.2">
      <c r="W4985" s="319"/>
    </row>
    <row r="4986" spans="23:23" x14ac:dyDescent="0.2">
      <c r="W4986" s="319"/>
    </row>
    <row r="4987" spans="23:23" x14ac:dyDescent="0.2">
      <c r="W4987" s="319"/>
    </row>
    <row r="4988" spans="23:23" x14ac:dyDescent="0.2">
      <c r="W4988" s="319"/>
    </row>
    <row r="4989" spans="23:23" x14ac:dyDescent="0.2">
      <c r="W4989" s="319"/>
    </row>
    <row r="4990" spans="23:23" x14ac:dyDescent="0.2">
      <c r="W4990" s="319"/>
    </row>
    <row r="4991" spans="23:23" x14ac:dyDescent="0.2">
      <c r="W4991" s="319"/>
    </row>
    <row r="4992" spans="23:23" x14ac:dyDescent="0.2">
      <c r="W4992" s="319"/>
    </row>
    <row r="4993" spans="23:23" x14ac:dyDescent="0.2">
      <c r="W4993" s="319"/>
    </row>
    <row r="4994" spans="23:23" x14ac:dyDescent="0.2">
      <c r="W4994" s="319"/>
    </row>
    <row r="4995" spans="23:23" x14ac:dyDescent="0.2">
      <c r="W4995" s="319"/>
    </row>
    <row r="4996" spans="23:23" x14ac:dyDescent="0.2">
      <c r="W4996" s="319"/>
    </row>
    <row r="4997" spans="23:23" x14ac:dyDescent="0.2">
      <c r="W4997" s="319"/>
    </row>
    <row r="4998" spans="23:23" x14ac:dyDescent="0.2">
      <c r="W4998" s="319"/>
    </row>
    <row r="4999" spans="23:23" x14ac:dyDescent="0.2">
      <c r="W4999" s="319"/>
    </row>
    <row r="5000" spans="23:23" x14ac:dyDescent="0.2">
      <c r="W5000" s="319"/>
    </row>
    <row r="5001" spans="23:23" x14ac:dyDescent="0.2">
      <c r="W5001" s="319"/>
    </row>
    <row r="5002" spans="23:23" x14ac:dyDescent="0.2">
      <c r="W5002" s="319"/>
    </row>
    <row r="5003" spans="23:23" x14ac:dyDescent="0.2">
      <c r="W5003" s="319"/>
    </row>
    <row r="5004" spans="23:23" x14ac:dyDescent="0.2">
      <c r="W5004" s="319"/>
    </row>
    <row r="5005" spans="23:23" x14ac:dyDescent="0.2">
      <c r="W5005" s="319"/>
    </row>
    <row r="5006" spans="23:23" x14ac:dyDescent="0.2">
      <c r="W5006" s="319"/>
    </row>
    <row r="5007" spans="23:23" x14ac:dyDescent="0.2">
      <c r="W5007" s="319"/>
    </row>
    <row r="5008" spans="23:23" x14ac:dyDescent="0.2">
      <c r="W5008" s="319"/>
    </row>
    <row r="5009" spans="23:23" x14ac:dyDescent="0.2">
      <c r="W5009" s="319"/>
    </row>
    <row r="5010" spans="23:23" x14ac:dyDescent="0.2">
      <c r="W5010" s="319"/>
    </row>
    <row r="5011" spans="23:23" x14ac:dyDescent="0.2">
      <c r="W5011" s="319"/>
    </row>
    <row r="5012" spans="23:23" x14ac:dyDescent="0.2">
      <c r="W5012" s="319"/>
    </row>
    <row r="5013" spans="23:23" x14ac:dyDescent="0.2">
      <c r="W5013" s="319"/>
    </row>
    <row r="5014" spans="23:23" x14ac:dyDescent="0.2">
      <c r="W5014" s="319"/>
    </row>
    <row r="5015" spans="23:23" x14ac:dyDescent="0.2">
      <c r="W5015" s="319"/>
    </row>
    <row r="5016" spans="23:23" x14ac:dyDescent="0.2">
      <c r="W5016" s="319"/>
    </row>
    <row r="5017" spans="23:23" x14ac:dyDescent="0.2">
      <c r="W5017" s="319"/>
    </row>
    <row r="5018" spans="23:23" x14ac:dyDescent="0.2">
      <c r="W5018" s="319"/>
    </row>
    <row r="5019" spans="23:23" x14ac:dyDescent="0.2">
      <c r="W5019" s="319"/>
    </row>
    <row r="5020" spans="23:23" x14ac:dyDescent="0.2">
      <c r="W5020" s="319"/>
    </row>
    <row r="5021" spans="23:23" x14ac:dyDescent="0.2">
      <c r="W5021" s="319"/>
    </row>
    <row r="5022" spans="23:23" x14ac:dyDescent="0.2">
      <c r="W5022" s="319"/>
    </row>
    <row r="5023" spans="23:23" x14ac:dyDescent="0.2">
      <c r="W5023" s="319"/>
    </row>
    <row r="5024" spans="23:23" x14ac:dyDescent="0.2">
      <c r="W5024" s="319"/>
    </row>
    <row r="5025" spans="23:23" x14ac:dyDescent="0.2">
      <c r="W5025" s="319"/>
    </row>
    <row r="5026" spans="23:23" x14ac:dyDescent="0.2">
      <c r="W5026" s="319"/>
    </row>
    <row r="5027" spans="23:23" x14ac:dyDescent="0.2">
      <c r="W5027" s="319"/>
    </row>
    <row r="5028" spans="23:23" x14ac:dyDescent="0.2">
      <c r="W5028" s="319"/>
    </row>
    <row r="5029" spans="23:23" x14ac:dyDescent="0.2">
      <c r="W5029" s="319"/>
    </row>
    <row r="5030" spans="23:23" x14ac:dyDescent="0.2">
      <c r="W5030" s="319"/>
    </row>
    <row r="5031" spans="23:23" x14ac:dyDescent="0.2">
      <c r="W5031" s="319"/>
    </row>
    <row r="5032" spans="23:23" x14ac:dyDescent="0.2">
      <c r="W5032" s="319"/>
    </row>
    <row r="5033" spans="23:23" x14ac:dyDescent="0.2">
      <c r="W5033" s="319"/>
    </row>
    <row r="5034" spans="23:23" x14ac:dyDescent="0.2">
      <c r="W5034" s="319"/>
    </row>
    <row r="5035" spans="23:23" x14ac:dyDescent="0.2">
      <c r="W5035" s="319"/>
    </row>
    <row r="5036" spans="23:23" x14ac:dyDescent="0.2">
      <c r="W5036" s="319"/>
    </row>
    <row r="5037" spans="23:23" x14ac:dyDescent="0.2">
      <c r="W5037" s="319"/>
    </row>
    <row r="5038" spans="23:23" x14ac:dyDescent="0.2">
      <c r="W5038" s="319"/>
    </row>
    <row r="5039" spans="23:23" x14ac:dyDescent="0.2">
      <c r="W5039" s="319"/>
    </row>
    <row r="5040" spans="23:23" x14ac:dyDescent="0.2">
      <c r="W5040" s="319"/>
    </row>
    <row r="5041" spans="23:23" x14ac:dyDescent="0.2">
      <c r="W5041" s="319"/>
    </row>
    <row r="5042" spans="23:23" x14ac:dyDescent="0.2">
      <c r="W5042" s="319"/>
    </row>
    <row r="5043" spans="23:23" x14ac:dyDescent="0.2">
      <c r="W5043" s="319"/>
    </row>
    <row r="5044" spans="23:23" x14ac:dyDescent="0.2">
      <c r="W5044" s="319"/>
    </row>
    <row r="5045" spans="23:23" x14ac:dyDescent="0.2">
      <c r="W5045" s="319"/>
    </row>
    <row r="5046" spans="23:23" x14ac:dyDescent="0.2">
      <c r="W5046" s="319"/>
    </row>
    <row r="5047" spans="23:23" x14ac:dyDescent="0.2">
      <c r="W5047" s="319"/>
    </row>
    <row r="5048" spans="23:23" x14ac:dyDescent="0.2">
      <c r="W5048" s="319"/>
    </row>
    <row r="5049" spans="23:23" x14ac:dyDescent="0.2">
      <c r="W5049" s="319"/>
    </row>
    <row r="5050" spans="23:23" x14ac:dyDescent="0.2">
      <c r="W5050" s="319"/>
    </row>
    <row r="5051" spans="23:23" x14ac:dyDescent="0.2">
      <c r="W5051" s="319"/>
    </row>
    <row r="5052" spans="23:23" x14ac:dyDescent="0.2">
      <c r="W5052" s="319"/>
    </row>
    <row r="5053" spans="23:23" x14ac:dyDescent="0.2">
      <c r="W5053" s="319"/>
    </row>
    <row r="5054" spans="23:23" x14ac:dyDescent="0.2">
      <c r="W5054" s="319"/>
    </row>
    <row r="5055" spans="23:23" x14ac:dyDescent="0.2">
      <c r="W5055" s="319"/>
    </row>
    <row r="5056" spans="23:23" x14ac:dyDescent="0.2">
      <c r="W5056" s="319"/>
    </row>
    <row r="5057" spans="23:23" x14ac:dyDescent="0.2">
      <c r="W5057" s="319"/>
    </row>
    <row r="5058" spans="23:23" x14ac:dyDescent="0.2">
      <c r="W5058" s="319"/>
    </row>
    <row r="5059" spans="23:23" x14ac:dyDescent="0.2">
      <c r="W5059" s="319"/>
    </row>
    <row r="5060" spans="23:23" x14ac:dyDescent="0.2">
      <c r="W5060" s="319"/>
    </row>
    <row r="5061" spans="23:23" x14ac:dyDescent="0.2">
      <c r="W5061" s="319"/>
    </row>
    <row r="5062" spans="23:23" x14ac:dyDescent="0.2">
      <c r="W5062" s="319"/>
    </row>
    <row r="5063" spans="23:23" x14ac:dyDescent="0.2">
      <c r="W5063" s="319"/>
    </row>
    <row r="5064" spans="23:23" x14ac:dyDescent="0.2">
      <c r="W5064" s="319"/>
    </row>
    <row r="5065" spans="23:23" x14ac:dyDescent="0.2">
      <c r="W5065" s="319"/>
    </row>
    <row r="5066" spans="23:23" x14ac:dyDescent="0.2">
      <c r="W5066" s="319"/>
    </row>
    <row r="5067" spans="23:23" x14ac:dyDescent="0.2">
      <c r="W5067" s="319"/>
    </row>
    <row r="5068" spans="23:23" x14ac:dyDescent="0.2">
      <c r="W5068" s="319"/>
    </row>
    <row r="5069" spans="23:23" x14ac:dyDescent="0.2">
      <c r="W5069" s="319"/>
    </row>
    <row r="5070" spans="23:23" x14ac:dyDescent="0.2">
      <c r="W5070" s="319"/>
    </row>
    <row r="5071" spans="23:23" x14ac:dyDescent="0.2">
      <c r="W5071" s="319"/>
    </row>
    <row r="5072" spans="23:23" x14ac:dyDescent="0.2">
      <c r="W5072" s="319"/>
    </row>
    <row r="5073" spans="23:23" x14ac:dyDescent="0.2">
      <c r="W5073" s="319"/>
    </row>
    <row r="5074" spans="23:23" x14ac:dyDescent="0.2">
      <c r="W5074" s="319"/>
    </row>
    <row r="5075" spans="23:23" x14ac:dyDescent="0.2">
      <c r="W5075" s="319"/>
    </row>
    <row r="5076" spans="23:23" x14ac:dyDescent="0.2">
      <c r="W5076" s="319"/>
    </row>
    <row r="5077" spans="23:23" x14ac:dyDescent="0.2">
      <c r="W5077" s="319"/>
    </row>
    <row r="5078" spans="23:23" x14ac:dyDescent="0.2">
      <c r="W5078" s="319"/>
    </row>
    <row r="5079" spans="23:23" x14ac:dyDescent="0.2">
      <c r="W5079" s="319"/>
    </row>
    <row r="5080" spans="23:23" x14ac:dyDescent="0.2">
      <c r="W5080" s="319"/>
    </row>
    <row r="5081" spans="23:23" x14ac:dyDescent="0.2">
      <c r="W5081" s="319"/>
    </row>
    <row r="5082" spans="23:23" x14ac:dyDescent="0.2">
      <c r="W5082" s="319"/>
    </row>
    <row r="5083" spans="23:23" x14ac:dyDescent="0.2">
      <c r="W5083" s="319"/>
    </row>
    <row r="5084" spans="23:23" x14ac:dyDescent="0.2">
      <c r="W5084" s="319"/>
    </row>
    <row r="5085" spans="23:23" x14ac:dyDescent="0.2">
      <c r="W5085" s="319"/>
    </row>
    <row r="5086" spans="23:23" x14ac:dyDescent="0.2">
      <c r="W5086" s="319"/>
    </row>
    <row r="5087" spans="23:23" x14ac:dyDescent="0.2">
      <c r="W5087" s="319"/>
    </row>
    <row r="5088" spans="23:23" x14ac:dyDescent="0.2">
      <c r="W5088" s="319"/>
    </row>
    <row r="5089" spans="23:23" x14ac:dyDescent="0.2">
      <c r="W5089" s="319"/>
    </row>
    <row r="5090" spans="23:23" x14ac:dyDescent="0.2">
      <c r="W5090" s="319"/>
    </row>
    <row r="5091" spans="23:23" x14ac:dyDescent="0.2">
      <c r="W5091" s="319"/>
    </row>
    <row r="5092" spans="23:23" x14ac:dyDescent="0.2">
      <c r="W5092" s="319"/>
    </row>
    <row r="5093" spans="23:23" x14ac:dyDescent="0.2">
      <c r="W5093" s="319"/>
    </row>
    <row r="5094" spans="23:23" x14ac:dyDescent="0.2">
      <c r="W5094" s="319"/>
    </row>
    <row r="5095" spans="23:23" x14ac:dyDescent="0.2">
      <c r="W5095" s="319"/>
    </row>
    <row r="5096" spans="23:23" x14ac:dyDescent="0.2">
      <c r="W5096" s="319"/>
    </row>
    <row r="5097" spans="23:23" x14ac:dyDescent="0.2">
      <c r="W5097" s="319"/>
    </row>
    <row r="5098" spans="23:23" x14ac:dyDescent="0.2">
      <c r="W5098" s="319"/>
    </row>
    <row r="5099" spans="23:23" x14ac:dyDescent="0.2">
      <c r="W5099" s="319"/>
    </row>
    <row r="5100" spans="23:23" x14ac:dyDescent="0.2">
      <c r="W5100" s="319"/>
    </row>
    <row r="5101" spans="23:23" x14ac:dyDescent="0.2">
      <c r="W5101" s="319"/>
    </row>
    <row r="5102" spans="23:23" x14ac:dyDescent="0.2">
      <c r="W5102" s="319"/>
    </row>
    <row r="5103" spans="23:23" x14ac:dyDescent="0.2">
      <c r="W5103" s="319"/>
    </row>
    <row r="5104" spans="23:23" x14ac:dyDescent="0.2">
      <c r="W5104" s="319"/>
    </row>
    <row r="5105" spans="23:23" x14ac:dyDescent="0.2">
      <c r="W5105" s="319"/>
    </row>
    <row r="5106" spans="23:23" x14ac:dyDescent="0.2">
      <c r="W5106" s="319"/>
    </row>
    <row r="5107" spans="23:23" x14ac:dyDescent="0.2">
      <c r="W5107" s="319"/>
    </row>
    <row r="5108" spans="23:23" x14ac:dyDescent="0.2">
      <c r="W5108" s="319"/>
    </row>
    <row r="5109" spans="23:23" x14ac:dyDescent="0.2">
      <c r="W5109" s="319"/>
    </row>
    <row r="5110" spans="23:23" x14ac:dyDescent="0.2">
      <c r="W5110" s="319"/>
    </row>
    <row r="5111" spans="23:23" x14ac:dyDescent="0.2">
      <c r="W5111" s="319"/>
    </row>
    <row r="5112" spans="23:23" x14ac:dyDescent="0.2">
      <c r="W5112" s="319"/>
    </row>
    <row r="5113" spans="23:23" x14ac:dyDescent="0.2">
      <c r="W5113" s="319"/>
    </row>
    <row r="5114" spans="23:23" x14ac:dyDescent="0.2">
      <c r="W5114" s="319"/>
    </row>
    <row r="5115" spans="23:23" x14ac:dyDescent="0.2">
      <c r="W5115" s="319"/>
    </row>
    <row r="5116" spans="23:23" x14ac:dyDescent="0.2">
      <c r="W5116" s="319"/>
    </row>
    <row r="5117" spans="23:23" x14ac:dyDescent="0.2">
      <c r="W5117" s="319"/>
    </row>
    <row r="5118" spans="23:23" x14ac:dyDescent="0.2">
      <c r="W5118" s="319"/>
    </row>
    <row r="5119" spans="23:23" x14ac:dyDescent="0.2">
      <c r="W5119" s="319"/>
    </row>
    <row r="5120" spans="23:23" x14ac:dyDescent="0.2">
      <c r="W5120" s="319"/>
    </row>
    <row r="5121" spans="23:23" x14ac:dyDescent="0.2">
      <c r="W5121" s="319"/>
    </row>
    <row r="5122" spans="23:23" x14ac:dyDescent="0.2">
      <c r="W5122" s="319"/>
    </row>
    <row r="5123" spans="23:23" x14ac:dyDescent="0.2">
      <c r="W5123" s="319"/>
    </row>
    <row r="5124" spans="23:23" x14ac:dyDescent="0.2">
      <c r="W5124" s="319"/>
    </row>
    <row r="5125" spans="23:23" x14ac:dyDescent="0.2">
      <c r="W5125" s="319"/>
    </row>
    <row r="5126" spans="23:23" x14ac:dyDescent="0.2">
      <c r="W5126" s="319"/>
    </row>
    <row r="5127" spans="23:23" x14ac:dyDescent="0.2">
      <c r="W5127" s="319"/>
    </row>
    <row r="5128" spans="23:23" x14ac:dyDescent="0.2">
      <c r="W5128" s="319"/>
    </row>
    <row r="5129" spans="23:23" x14ac:dyDescent="0.2">
      <c r="W5129" s="319"/>
    </row>
    <row r="5130" spans="23:23" x14ac:dyDescent="0.2">
      <c r="W5130" s="319"/>
    </row>
    <row r="5131" spans="23:23" x14ac:dyDescent="0.2">
      <c r="W5131" s="319"/>
    </row>
    <row r="5132" spans="23:23" x14ac:dyDescent="0.2">
      <c r="W5132" s="319"/>
    </row>
    <row r="5133" spans="23:23" x14ac:dyDescent="0.2">
      <c r="W5133" s="319"/>
    </row>
    <row r="5134" spans="23:23" x14ac:dyDescent="0.2">
      <c r="W5134" s="319"/>
    </row>
    <row r="5135" spans="23:23" x14ac:dyDescent="0.2">
      <c r="W5135" s="319"/>
    </row>
    <row r="5136" spans="23:23" x14ac:dyDescent="0.2">
      <c r="W5136" s="319"/>
    </row>
    <row r="5137" spans="23:23" x14ac:dyDescent="0.2">
      <c r="W5137" s="319"/>
    </row>
    <row r="5138" spans="23:23" x14ac:dyDescent="0.2">
      <c r="W5138" s="319"/>
    </row>
    <row r="5139" spans="23:23" x14ac:dyDescent="0.2">
      <c r="W5139" s="319"/>
    </row>
    <row r="5140" spans="23:23" x14ac:dyDescent="0.2">
      <c r="W5140" s="319"/>
    </row>
    <row r="5141" spans="23:23" x14ac:dyDescent="0.2">
      <c r="W5141" s="319"/>
    </row>
    <row r="5142" spans="23:23" x14ac:dyDescent="0.2">
      <c r="W5142" s="319"/>
    </row>
    <row r="5143" spans="23:23" x14ac:dyDescent="0.2">
      <c r="W5143" s="319"/>
    </row>
    <row r="5144" spans="23:23" x14ac:dyDescent="0.2">
      <c r="W5144" s="319"/>
    </row>
    <row r="5145" spans="23:23" x14ac:dyDescent="0.2">
      <c r="W5145" s="319"/>
    </row>
    <row r="5146" spans="23:23" x14ac:dyDescent="0.2">
      <c r="W5146" s="319"/>
    </row>
    <row r="5147" spans="23:23" x14ac:dyDescent="0.2">
      <c r="W5147" s="319"/>
    </row>
    <row r="5148" spans="23:23" x14ac:dyDescent="0.2">
      <c r="W5148" s="319"/>
    </row>
    <row r="5149" spans="23:23" x14ac:dyDescent="0.2">
      <c r="W5149" s="319"/>
    </row>
    <row r="5150" spans="23:23" x14ac:dyDescent="0.2">
      <c r="W5150" s="319"/>
    </row>
    <row r="5151" spans="23:23" x14ac:dyDescent="0.2">
      <c r="W5151" s="319"/>
    </row>
    <row r="5152" spans="23:23" x14ac:dyDescent="0.2">
      <c r="W5152" s="319"/>
    </row>
    <row r="5153" spans="23:23" x14ac:dyDescent="0.2">
      <c r="W5153" s="319"/>
    </row>
    <row r="5154" spans="23:23" x14ac:dyDescent="0.2">
      <c r="W5154" s="319"/>
    </row>
    <row r="5155" spans="23:23" x14ac:dyDescent="0.2">
      <c r="W5155" s="319"/>
    </row>
    <row r="5156" spans="23:23" x14ac:dyDescent="0.2">
      <c r="W5156" s="319"/>
    </row>
    <row r="5157" spans="23:23" x14ac:dyDescent="0.2">
      <c r="W5157" s="319"/>
    </row>
    <row r="5158" spans="23:23" x14ac:dyDescent="0.2">
      <c r="W5158" s="319"/>
    </row>
    <row r="5159" spans="23:23" x14ac:dyDescent="0.2">
      <c r="W5159" s="319"/>
    </row>
    <row r="5160" spans="23:23" x14ac:dyDescent="0.2">
      <c r="W5160" s="319"/>
    </row>
    <row r="5161" spans="23:23" x14ac:dyDescent="0.2">
      <c r="W5161" s="319"/>
    </row>
    <row r="5162" spans="23:23" x14ac:dyDescent="0.2">
      <c r="W5162" s="319"/>
    </row>
    <row r="5163" spans="23:23" x14ac:dyDescent="0.2">
      <c r="W5163" s="319"/>
    </row>
    <row r="5164" spans="23:23" x14ac:dyDescent="0.2">
      <c r="W5164" s="319"/>
    </row>
    <row r="5165" spans="23:23" x14ac:dyDescent="0.2">
      <c r="W5165" s="319"/>
    </row>
    <row r="5166" spans="23:23" x14ac:dyDescent="0.2">
      <c r="W5166" s="319"/>
    </row>
    <row r="5167" spans="23:23" x14ac:dyDescent="0.2">
      <c r="W5167" s="319"/>
    </row>
    <row r="5168" spans="23:23" x14ac:dyDescent="0.2">
      <c r="W5168" s="319"/>
    </row>
    <row r="5169" spans="23:23" x14ac:dyDescent="0.2">
      <c r="W5169" s="319"/>
    </row>
    <row r="5170" spans="23:23" x14ac:dyDescent="0.2">
      <c r="W5170" s="319"/>
    </row>
    <row r="5171" spans="23:23" x14ac:dyDescent="0.2">
      <c r="W5171" s="319"/>
    </row>
    <row r="5172" spans="23:23" x14ac:dyDescent="0.2">
      <c r="W5172" s="319"/>
    </row>
    <row r="5173" spans="23:23" x14ac:dyDescent="0.2">
      <c r="W5173" s="319"/>
    </row>
    <row r="5174" spans="23:23" x14ac:dyDescent="0.2">
      <c r="W5174" s="319"/>
    </row>
    <row r="5175" spans="23:23" x14ac:dyDescent="0.2">
      <c r="W5175" s="319"/>
    </row>
    <row r="5176" spans="23:23" x14ac:dyDescent="0.2">
      <c r="W5176" s="319"/>
    </row>
    <row r="5177" spans="23:23" x14ac:dyDescent="0.2">
      <c r="W5177" s="319"/>
    </row>
    <row r="5178" spans="23:23" x14ac:dyDescent="0.2">
      <c r="W5178" s="319"/>
    </row>
    <row r="5179" spans="23:23" x14ac:dyDescent="0.2">
      <c r="W5179" s="319"/>
    </row>
    <row r="5180" spans="23:23" x14ac:dyDescent="0.2">
      <c r="W5180" s="319"/>
    </row>
    <row r="5181" spans="23:23" x14ac:dyDescent="0.2">
      <c r="W5181" s="319"/>
    </row>
    <row r="5182" spans="23:23" x14ac:dyDescent="0.2">
      <c r="W5182" s="319"/>
    </row>
    <row r="5183" spans="23:23" x14ac:dyDescent="0.2">
      <c r="W5183" s="319"/>
    </row>
    <row r="5184" spans="23:23" x14ac:dyDescent="0.2">
      <c r="W5184" s="319"/>
    </row>
    <row r="5185" spans="23:23" x14ac:dyDescent="0.2">
      <c r="W5185" s="319"/>
    </row>
    <row r="5186" spans="23:23" x14ac:dyDescent="0.2">
      <c r="W5186" s="319"/>
    </row>
    <row r="5187" spans="23:23" x14ac:dyDescent="0.2">
      <c r="W5187" s="319"/>
    </row>
    <row r="5188" spans="23:23" x14ac:dyDescent="0.2">
      <c r="W5188" s="319"/>
    </row>
    <row r="5189" spans="23:23" x14ac:dyDescent="0.2">
      <c r="W5189" s="319"/>
    </row>
    <row r="5190" spans="23:23" x14ac:dyDescent="0.2">
      <c r="W5190" s="319"/>
    </row>
    <row r="5191" spans="23:23" x14ac:dyDescent="0.2">
      <c r="W5191" s="319"/>
    </row>
    <row r="5192" spans="23:23" x14ac:dyDescent="0.2">
      <c r="W5192" s="319"/>
    </row>
    <row r="5193" spans="23:23" x14ac:dyDescent="0.2">
      <c r="W5193" s="319"/>
    </row>
    <row r="5194" spans="23:23" x14ac:dyDescent="0.2">
      <c r="W5194" s="319"/>
    </row>
    <row r="5195" spans="23:23" x14ac:dyDescent="0.2">
      <c r="W5195" s="319"/>
    </row>
    <row r="5196" spans="23:23" x14ac:dyDescent="0.2">
      <c r="W5196" s="319"/>
    </row>
    <row r="5197" spans="23:23" x14ac:dyDescent="0.2">
      <c r="W5197" s="319"/>
    </row>
    <row r="5198" spans="23:23" x14ac:dyDescent="0.2">
      <c r="W5198" s="319"/>
    </row>
    <row r="5199" spans="23:23" x14ac:dyDescent="0.2">
      <c r="W5199" s="319"/>
    </row>
    <row r="5200" spans="23:23" x14ac:dyDescent="0.2">
      <c r="W5200" s="319"/>
    </row>
    <row r="5201" spans="23:23" x14ac:dyDescent="0.2">
      <c r="W5201" s="319"/>
    </row>
    <row r="5202" spans="23:23" x14ac:dyDescent="0.2">
      <c r="W5202" s="319"/>
    </row>
    <row r="5203" spans="23:23" x14ac:dyDescent="0.2">
      <c r="W5203" s="319"/>
    </row>
    <row r="5204" spans="23:23" x14ac:dyDescent="0.2">
      <c r="W5204" s="319"/>
    </row>
    <row r="5205" spans="23:23" x14ac:dyDescent="0.2">
      <c r="W5205" s="319"/>
    </row>
    <row r="5206" spans="23:23" x14ac:dyDescent="0.2">
      <c r="W5206" s="319"/>
    </row>
    <row r="5207" spans="23:23" x14ac:dyDescent="0.2">
      <c r="W5207" s="319"/>
    </row>
    <row r="5208" spans="23:23" x14ac:dyDescent="0.2">
      <c r="W5208" s="319"/>
    </row>
    <row r="5209" spans="23:23" x14ac:dyDescent="0.2">
      <c r="W5209" s="319"/>
    </row>
    <row r="5210" spans="23:23" x14ac:dyDescent="0.2">
      <c r="W5210" s="319"/>
    </row>
    <row r="5211" spans="23:23" x14ac:dyDescent="0.2">
      <c r="W5211" s="319"/>
    </row>
    <row r="5212" spans="23:23" x14ac:dyDescent="0.2">
      <c r="W5212" s="319"/>
    </row>
    <row r="5213" spans="23:23" x14ac:dyDescent="0.2">
      <c r="W5213" s="319"/>
    </row>
    <row r="5214" spans="23:23" x14ac:dyDescent="0.2">
      <c r="W5214" s="319"/>
    </row>
    <row r="5215" spans="23:23" x14ac:dyDescent="0.2">
      <c r="W5215" s="319"/>
    </row>
    <row r="5216" spans="23:23" x14ac:dyDescent="0.2">
      <c r="W5216" s="319"/>
    </row>
    <row r="5217" spans="23:23" x14ac:dyDescent="0.2">
      <c r="W5217" s="319"/>
    </row>
    <row r="5218" spans="23:23" x14ac:dyDescent="0.2">
      <c r="W5218" s="319"/>
    </row>
    <row r="5219" spans="23:23" x14ac:dyDescent="0.2">
      <c r="W5219" s="319"/>
    </row>
    <row r="5220" spans="23:23" x14ac:dyDescent="0.2">
      <c r="W5220" s="319"/>
    </row>
    <row r="5221" spans="23:23" x14ac:dyDescent="0.2">
      <c r="W5221" s="319"/>
    </row>
    <row r="5222" spans="23:23" x14ac:dyDescent="0.2">
      <c r="W5222" s="319"/>
    </row>
    <row r="5223" spans="23:23" x14ac:dyDescent="0.2">
      <c r="W5223" s="319"/>
    </row>
    <row r="5224" spans="23:23" x14ac:dyDescent="0.2">
      <c r="W5224" s="319"/>
    </row>
    <row r="5225" spans="23:23" x14ac:dyDescent="0.2">
      <c r="W5225" s="319"/>
    </row>
    <row r="5226" spans="23:23" x14ac:dyDescent="0.2">
      <c r="W5226" s="319"/>
    </row>
    <row r="5227" spans="23:23" x14ac:dyDescent="0.2">
      <c r="W5227" s="319"/>
    </row>
    <row r="5228" spans="23:23" x14ac:dyDescent="0.2">
      <c r="W5228" s="319"/>
    </row>
    <row r="5229" spans="23:23" x14ac:dyDescent="0.2">
      <c r="W5229" s="319"/>
    </row>
    <row r="5230" spans="23:23" x14ac:dyDescent="0.2">
      <c r="W5230" s="319"/>
    </row>
    <row r="5231" spans="23:23" x14ac:dyDescent="0.2">
      <c r="W5231" s="319"/>
    </row>
    <row r="5232" spans="23:23" x14ac:dyDescent="0.2">
      <c r="W5232" s="319"/>
    </row>
    <row r="5233" spans="23:23" x14ac:dyDescent="0.2">
      <c r="W5233" s="319"/>
    </row>
    <row r="5234" spans="23:23" x14ac:dyDescent="0.2">
      <c r="W5234" s="319"/>
    </row>
    <row r="5235" spans="23:23" x14ac:dyDescent="0.2">
      <c r="W5235" s="319"/>
    </row>
    <row r="5236" spans="23:23" x14ac:dyDescent="0.2">
      <c r="W5236" s="319"/>
    </row>
    <row r="5237" spans="23:23" x14ac:dyDescent="0.2">
      <c r="W5237" s="319"/>
    </row>
    <row r="5238" spans="23:23" x14ac:dyDescent="0.2">
      <c r="W5238" s="319"/>
    </row>
    <row r="5239" spans="23:23" x14ac:dyDescent="0.2">
      <c r="W5239" s="319"/>
    </row>
    <row r="5240" spans="23:23" x14ac:dyDescent="0.2">
      <c r="W5240" s="319"/>
    </row>
    <row r="5241" spans="23:23" x14ac:dyDescent="0.2">
      <c r="W5241" s="319"/>
    </row>
    <row r="5242" spans="23:23" x14ac:dyDescent="0.2">
      <c r="W5242" s="319"/>
    </row>
    <row r="5243" spans="23:23" x14ac:dyDescent="0.2">
      <c r="W5243" s="319"/>
    </row>
    <row r="5244" spans="23:23" x14ac:dyDescent="0.2">
      <c r="W5244" s="319"/>
    </row>
    <row r="5245" spans="23:23" x14ac:dyDescent="0.2">
      <c r="W5245" s="319"/>
    </row>
    <row r="5246" spans="23:23" x14ac:dyDescent="0.2">
      <c r="W5246" s="319"/>
    </row>
    <row r="5247" spans="23:23" x14ac:dyDescent="0.2">
      <c r="W5247" s="319"/>
    </row>
    <row r="5248" spans="23:23" x14ac:dyDescent="0.2">
      <c r="W5248" s="319"/>
    </row>
    <row r="5249" spans="23:23" x14ac:dyDescent="0.2">
      <c r="W5249" s="319"/>
    </row>
    <row r="5250" spans="23:23" x14ac:dyDescent="0.2">
      <c r="W5250" s="319"/>
    </row>
    <row r="5251" spans="23:23" x14ac:dyDescent="0.2">
      <c r="W5251" s="319"/>
    </row>
    <row r="5252" spans="23:23" x14ac:dyDescent="0.2">
      <c r="W5252" s="319"/>
    </row>
    <row r="5253" spans="23:23" x14ac:dyDescent="0.2">
      <c r="W5253" s="319"/>
    </row>
    <row r="5254" spans="23:23" x14ac:dyDescent="0.2">
      <c r="W5254" s="319"/>
    </row>
    <row r="5255" spans="23:23" x14ac:dyDescent="0.2">
      <c r="W5255" s="319"/>
    </row>
    <row r="5256" spans="23:23" x14ac:dyDescent="0.2">
      <c r="W5256" s="319"/>
    </row>
    <row r="5257" spans="23:23" x14ac:dyDescent="0.2">
      <c r="W5257" s="319"/>
    </row>
    <row r="5258" spans="23:23" x14ac:dyDescent="0.2">
      <c r="W5258" s="319"/>
    </row>
    <row r="5259" spans="23:23" x14ac:dyDescent="0.2">
      <c r="W5259" s="319"/>
    </row>
    <row r="5260" spans="23:23" x14ac:dyDescent="0.2">
      <c r="W5260" s="319"/>
    </row>
    <row r="5261" spans="23:23" x14ac:dyDescent="0.2">
      <c r="W5261" s="319"/>
    </row>
    <row r="5262" spans="23:23" x14ac:dyDescent="0.2">
      <c r="W5262" s="319"/>
    </row>
    <row r="5263" spans="23:23" x14ac:dyDescent="0.2">
      <c r="W5263" s="319"/>
    </row>
    <row r="5264" spans="23:23" x14ac:dyDescent="0.2">
      <c r="W5264" s="319"/>
    </row>
    <row r="5265" spans="23:23" x14ac:dyDescent="0.2">
      <c r="W5265" s="319"/>
    </row>
    <row r="5266" spans="23:23" x14ac:dyDescent="0.2">
      <c r="W5266" s="319"/>
    </row>
    <row r="5267" spans="23:23" x14ac:dyDescent="0.2">
      <c r="W5267" s="319"/>
    </row>
    <row r="5268" spans="23:23" x14ac:dyDescent="0.2">
      <c r="W5268" s="319"/>
    </row>
    <row r="5269" spans="23:23" x14ac:dyDescent="0.2">
      <c r="W5269" s="319"/>
    </row>
    <row r="5270" spans="23:23" x14ac:dyDescent="0.2">
      <c r="W5270" s="319"/>
    </row>
    <row r="5271" spans="23:23" x14ac:dyDescent="0.2">
      <c r="W5271" s="319"/>
    </row>
    <row r="5272" spans="23:23" x14ac:dyDescent="0.2">
      <c r="W5272" s="319"/>
    </row>
    <row r="5273" spans="23:23" x14ac:dyDescent="0.2">
      <c r="W5273" s="319"/>
    </row>
    <row r="5274" spans="23:23" x14ac:dyDescent="0.2">
      <c r="W5274" s="319"/>
    </row>
    <row r="5275" spans="23:23" x14ac:dyDescent="0.2">
      <c r="W5275" s="319"/>
    </row>
    <row r="5276" spans="23:23" x14ac:dyDescent="0.2">
      <c r="W5276" s="319"/>
    </row>
    <row r="5277" spans="23:23" x14ac:dyDescent="0.2">
      <c r="W5277" s="319"/>
    </row>
    <row r="5278" spans="23:23" x14ac:dyDescent="0.2">
      <c r="W5278" s="319"/>
    </row>
    <row r="5279" spans="23:23" x14ac:dyDescent="0.2">
      <c r="W5279" s="319"/>
    </row>
    <row r="5280" spans="23:23" x14ac:dyDescent="0.2">
      <c r="W5280" s="319"/>
    </row>
    <row r="5281" spans="23:23" x14ac:dyDescent="0.2">
      <c r="W5281" s="319"/>
    </row>
    <row r="5282" spans="23:23" x14ac:dyDescent="0.2">
      <c r="W5282" s="319"/>
    </row>
    <row r="5283" spans="23:23" x14ac:dyDescent="0.2">
      <c r="W5283" s="319"/>
    </row>
    <row r="5284" spans="23:23" x14ac:dyDescent="0.2">
      <c r="W5284" s="319"/>
    </row>
    <row r="5285" spans="23:23" x14ac:dyDescent="0.2">
      <c r="W5285" s="319"/>
    </row>
    <row r="5286" spans="23:23" x14ac:dyDescent="0.2">
      <c r="W5286" s="319"/>
    </row>
    <row r="5287" spans="23:23" x14ac:dyDescent="0.2">
      <c r="W5287" s="319"/>
    </row>
    <row r="5288" spans="23:23" x14ac:dyDescent="0.2">
      <c r="W5288" s="319"/>
    </row>
    <row r="5289" spans="23:23" x14ac:dyDescent="0.2">
      <c r="W5289" s="319"/>
    </row>
    <row r="5290" spans="23:23" x14ac:dyDescent="0.2">
      <c r="W5290" s="319"/>
    </row>
    <row r="5291" spans="23:23" x14ac:dyDescent="0.2">
      <c r="W5291" s="319"/>
    </row>
    <row r="5292" spans="23:23" x14ac:dyDescent="0.2">
      <c r="W5292" s="319"/>
    </row>
    <row r="5293" spans="23:23" x14ac:dyDescent="0.2">
      <c r="W5293" s="319"/>
    </row>
    <row r="5294" spans="23:23" x14ac:dyDescent="0.2">
      <c r="W5294" s="319"/>
    </row>
    <row r="5295" spans="23:23" x14ac:dyDescent="0.2">
      <c r="W5295" s="319"/>
    </row>
    <row r="5296" spans="23:23" x14ac:dyDescent="0.2">
      <c r="W5296" s="319"/>
    </row>
    <row r="5297" spans="23:23" x14ac:dyDescent="0.2">
      <c r="W5297" s="319"/>
    </row>
    <row r="5298" spans="23:23" x14ac:dyDescent="0.2">
      <c r="W5298" s="319"/>
    </row>
    <row r="5299" spans="23:23" x14ac:dyDescent="0.2">
      <c r="W5299" s="319"/>
    </row>
    <row r="5300" spans="23:23" x14ac:dyDescent="0.2">
      <c r="W5300" s="319"/>
    </row>
    <row r="5301" spans="23:23" x14ac:dyDescent="0.2">
      <c r="W5301" s="319"/>
    </row>
    <row r="5302" spans="23:23" x14ac:dyDescent="0.2">
      <c r="W5302" s="319"/>
    </row>
    <row r="5303" spans="23:23" x14ac:dyDescent="0.2">
      <c r="W5303" s="319"/>
    </row>
    <row r="5304" spans="23:23" x14ac:dyDescent="0.2">
      <c r="W5304" s="319"/>
    </row>
    <row r="5305" spans="23:23" x14ac:dyDescent="0.2">
      <c r="W5305" s="319"/>
    </row>
    <row r="5306" spans="23:23" x14ac:dyDescent="0.2">
      <c r="W5306" s="319"/>
    </row>
    <row r="5307" spans="23:23" x14ac:dyDescent="0.2">
      <c r="W5307" s="319"/>
    </row>
    <row r="5308" spans="23:23" x14ac:dyDescent="0.2">
      <c r="W5308" s="319"/>
    </row>
    <row r="5309" spans="23:23" x14ac:dyDescent="0.2">
      <c r="W5309" s="319"/>
    </row>
    <row r="5310" spans="23:23" x14ac:dyDescent="0.2">
      <c r="W5310" s="319"/>
    </row>
    <row r="5311" spans="23:23" x14ac:dyDescent="0.2">
      <c r="W5311" s="319"/>
    </row>
    <row r="5312" spans="23:23" x14ac:dyDescent="0.2">
      <c r="W5312" s="319"/>
    </row>
    <row r="5313" spans="23:23" x14ac:dyDescent="0.2">
      <c r="W5313" s="319"/>
    </row>
    <row r="5314" spans="23:23" x14ac:dyDescent="0.2">
      <c r="W5314" s="319"/>
    </row>
    <row r="5315" spans="23:23" x14ac:dyDescent="0.2">
      <c r="W5315" s="319"/>
    </row>
    <row r="5316" spans="23:23" x14ac:dyDescent="0.2">
      <c r="W5316" s="319"/>
    </row>
    <row r="5317" spans="23:23" x14ac:dyDescent="0.2">
      <c r="W5317" s="319"/>
    </row>
    <row r="5318" spans="23:23" x14ac:dyDescent="0.2">
      <c r="W5318" s="319"/>
    </row>
    <row r="5319" spans="23:23" x14ac:dyDescent="0.2">
      <c r="W5319" s="319"/>
    </row>
    <row r="5320" spans="23:23" x14ac:dyDescent="0.2">
      <c r="W5320" s="319"/>
    </row>
    <row r="5321" spans="23:23" x14ac:dyDescent="0.2">
      <c r="W5321" s="319"/>
    </row>
    <row r="5322" spans="23:23" x14ac:dyDescent="0.2">
      <c r="W5322" s="319"/>
    </row>
    <row r="5323" spans="23:23" x14ac:dyDescent="0.2">
      <c r="W5323" s="319"/>
    </row>
    <row r="5324" spans="23:23" x14ac:dyDescent="0.2">
      <c r="W5324" s="319"/>
    </row>
    <row r="5325" spans="23:23" x14ac:dyDescent="0.2">
      <c r="W5325" s="319"/>
    </row>
    <row r="5326" spans="23:23" x14ac:dyDescent="0.2">
      <c r="W5326" s="319"/>
    </row>
    <row r="5327" spans="23:23" x14ac:dyDescent="0.2">
      <c r="W5327" s="319"/>
    </row>
    <row r="5328" spans="23:23" x14ac:dyDescent="0.2">
      <c r="W5328" s="319"/>
    </row>
    <row r="5329" spans="23:23" x14ac:dyDescent="0.2">
      <c r="W5329" s="319"/>
    </row>
    <row r="5330" spans="23:23" x14ac:dyDescent="0.2">
      <c r="W5330" s="319"/>
    </row>
    <row r="5331" spans="23:23" x14ac:dyDescent="0.2">
      <c r="W5331" s="319"/>
    </row>
    <row r="5332" spans="23:23" x14ac:dyDescent="0.2">
      <c r="W5332" s="319"/>
    </row>
    <row r="5333" spans="23:23" x14ac:dyDescent="0.2">
      <c r="W5333" s="319"/>
    </row>
    <row r="5334" spans="23:23" x14ac:dyDescent="0.2">
      <c r="W5334" s="319"/>
    </row>
    <row r="5335" spans="23:23" x14ac:dyDescent="0.2">
      <c r="W5335" s="319"/>
    </row>
    <row r="5336" spans="23:23" x14ac:dyDescent="0.2">
      <c r="W5336" s="319"/>
    </row>
    <row r="5337" spans="23:23" x14ac:dyDescent="0.2">
      <c r="W5337" s="319"/>
    </row>
    <row r="5338" spans="23:23" x14ac:dyDescent="0.2">
      <c r="W5338" s="319"/>
    </row>
    <row r="5339" spans="23:23" x14ac:dyDescent="0.2">
      <c r="W5339" s="319"/>
    </row>
    <row r="5340" spans="23:23" x14ac:dyDescent="0.2">
      <c r="W5340" s="319"/>
    </row>
    <row r="5341" spans="23:23" x14ac:dyDescent="0.2">
      <c r="W5341" s="319"/>
    </row>
    <row r="5342" spans="23:23" x14ac:dyDescent="0.2">
      <c r="W5342" s="319"/>
    </row>
    <row r="5343" spans="23:23" x14ac:dyDescent="0.2">
      <c r="W5343" s="319"/>
    </row>
    <row r="5344" spans="23:23" x14ac:dyDescent="0.2">
      <c r="W5344" s="319"/>
    </row>
    <row r="5345" spans="23:23" x14ac:dyDescent="0.2">
      <c r="W5345" s="319"/>
    </row>
    <row r="5346" spans="23:23" x14ac:dyDescent="0.2">
      <c r="W5346" s="319"/>
    </row>
    <row r="5347" spans="23:23" x14ac:dyDescent="0.2">
      <c r="W5347" s="319"/>
    </row>
    <row r="5348" spans="23:23" x14ac:dyDescent="0.2">
      <c r="W5348" s="319"/>
    </row>
    <row r="5349" spans="23:23" x14ac:dyDescent="0.2">
      <c r="W5349" s="319"/>
    </row>
    <row r="5350" spans="23:23" x14ac:dyDescent="0.2">
      <c r="W5350" s="319"/>
    </row>
    <row r="5351" spans="23:23" x14ac:dyDescent="0.2">
      <c r="W5351" s="319"/>
    </row>
    <row r="5352" spans="23:23" x14ac:dyDescent="0.2">
      <c r="W5352" s="319"/>
    </row>
    <row r="5353" spans="23:23" x14ac:dyDescent="0.2">
      <c r="W5353" s="319"/>
    </row>
    <row r="5354" spans="23:23" x14ac:dyDescent="0.2">
      <c r="W5354" s="319"/>
    </row>
    <row r="5355" spans="23:23" x14ac:dyDescent="0.2">
      <c r="W5355" s="319"/>
    </row>
    <row r="5356" spans="23:23" x14ac:dyDescent="0.2">
      <c r="W5356" s="319"/>
    </row>
    <row r="5357" spans="23:23" x14ac:dyDescent="0.2">
      <c r="W5357" s="319"/>
    </row>
    <row r="5358" spans="23:23" x14ac:dyDescent="0.2">
      <c r="W5358" s="319"/>
    </row>
    <row r="5359" spans="23:23" x14ac:dyDescent="0.2">
      <c r="W5359" s="319"/>
    </row>
    <row r="5360" spans="23:23" x14ac:dyDescent="0.2">
      <c r="W5360" s="319"/>
    </row>
    <row r="5361" spans="23:23" x14ac:dyDescent="0.2">
      <c r="W5361" s="319"/>
    </row>
    <row r="5362" spans="23:23" x14ac:dyDescent="0.2">
      <c r="W5362" s="319"/>
    </row>
    <row r="5363" spans="23:23" x14ac:dyDescent="0.2">
      <c r="W5363" s="319"/>
    </row>
    <row r="5364" spans="23:23" x14ac:dyDescent="0.2">
      <c r="W5364" s="319"/>
    </row>
    <row r="5365" spans="23:23" x14ac:dyDescent="0.2">
      <c r="W5365" s="319"/>
    </row>
    <row r="5366" spans="23:23" x14ac:dyDescent="0.2">
      <c r="W5366" s="319"/>
    </row>
    <row r="5367" spans="23:23" x14ac:dyDescent="0.2">
      <c r="W5367" s="319"/>
    </row>
    <row r="5368" spans="23:23" x14ac:dyDescent="0.2">
      <c r="W5368" s="319"/>
    </row>
    <row r="5369" spans="23:23" x14ac:dyDescent="0.2">
      <c r="W5369" s="319"/>
    </row>
    <row r="5370" spans="23:23" x14ac:dyDescent="0.2">
      <c r="W5370" s="319"/>
    </row>
    <row r="5371" spans="23:23" x14ac:dyDescent="0.2">
      <c r="W5371" s="319"/>
    </row>
    <row r="5372" spans="23:23" x14ac:dyDescent="0.2">
      <c r="W5372" s="319"/>
    </row>
    <row r="5373" spans="23:23" x14ac:dyDescent="0.2">
      <c r="W5373" s="319"/>
    </row>
    <row r="5374" spans="23:23" x14ac:dyDescent="0.2">
      <c r="W5374" s="319"/>
    </row>
    <row r="5375" spans="23:23" x14ac:dyDescent="0.2">
      <c r="W5375" s="319"/>
    </row>
    <row r="5376" spans="23:23" x14ac:dyDescent="0.2">
      <c r="W5376" s="319"/>
    </row>
    <row r="5377" spans="23:23" x14ac:dyDescent="0.2">
      <c r="W5377" s="319"/>
    </row>
    <row r="5378" spans="23:23" x14ac:dyDescent="0.2">
      <c r="W5378" s="319"/>
    </row>
    <row r="5379" spans="23:23" x14ac:dyDescent="0.2">
      <c r="W5379" s="319"/>
    </row>
    <row r="5380" spans="23:23" x14ac:dyDescent="0.2">
      <c r="W5380" s="319"/>
    </row>
    <row r="5381" spans="23:23" x14ac:dyDescent="0.2">
      <c r="W5381" s="319"/>
    </row>
    <row r="5382" spans="23:23" x14ac:dyDescent="0.2">
      <c r="W5382" s="319"/>
    </row>
    <row r="5383" spans="23:23" x14ac:dyDescent="0.2">
      <c r="W5383" s="319"/>
    </row>
    <row r="5384" spans="23:23" x14ac:dyDescent="0.2">
      <c r="W5384" s="319"/>
    </row>
    <row r="5385" spans="23:23" x14ac:dyDescent="0.2">
      <c r="W5385" s="319"/>
    </row>
    <row r="5386" spans="23:23" x14ac:dyDescent="0.2">
      <c r="W5386" s="319"/>
    </row>
    <row r="5387" spans="23:23" x14ac:dyDescent="0.2">
      <c r="W5387" s="319"/>
    </row>
    <row r="5388" spans="23:23" x14ac:dyDescent="0.2">
      <c r="W5388" s="319"/>
    </row>
    <row r="5389" spans="23:23" x14ac:dyDescent="0.2">
      <c r="W5389" s="319"/>
    </row>
    <row r="5390" spans="23:23" x14ac:dyDescent="0.2">
      <c r="W5390" s="319"/>
    </row>
    <row r="5391" spans="23:23" x14ac:dyDescent="0.2">
      <c r="W5391" s="319"/>
    </row>
    <row r="5392" spans="23:23" x14ac:dyDescent="0.2">
      <c r="W5392" s="319"/>
    </row>
    <row r="5393" spans="23:23" x14ac:dyDescent="0.2">
      <c r="W5393" s="319"/>
    </row>
    <row r="5394" spans="23:23" x14ac:dyDescent="0.2">
      <c r="W5394" s="319"/>
    </row>
    <row r="5395" spans="23:23" x14ac:dyDescent="0.2">
      <c r="W5395" s="319"/>
    </row>
    <row r="5396" spans="23:23" x14ac:dyDescent="0.2">
      <c r="W5396" s="319"/>
    </row>
    <row r="5397" spans="23:23" x14ac:dyDescent="0.2">
      <c r="W5397" s="319"/>
    </row>
    <row r="5398" spans="23:23" x14ac:dyDescent="0.2">
      <c r="W5398" s="319"/>
    </row>
    <row r="5399" spans="23:23" x14ac:dyDescent="0.2">
      <c r="W5399" s="319"/>
    </row>
    <row r="5400" spans="23:23" x14ac:dyDescent="0.2">
      <c r="W5400" s="319"/>
    </row>
    <row r="5401" spans="23:23" x14ac:dyDescent="0.2">
      <c r="W5401" s="319"/>
    </row>
    <row r="5402" spans="23:23" x14ac:dyDescent="0.2">
      <c r="W5402" s="319"/>
    </row>
    <row r="5403" spans="23:23" x14ac:dyDescent="0.2">
      <c r="W5403" s="319"/>
    </row>
    <row r="5404" spans="23:23" x14ac:dyDescent="0.2">
      <c r="W5404" s="319"/>
    </row>
    <row r="5405" spans="23:23" x14ac:dyDescent="0.2">
      <c r="W5405" s="319"/>
    </row>
    <row r="5406" spans="23:23" x14ac:dyDescent="0.2">
      <c r="W5406" s="319"/>
    </row>
    <row r="5407" spans="23:23" x14ac:dyDescent="0.2">
      <c r="W5407" s="319"/>
    </row>
    <row r="5408" spans="23:23" x14ac:dyDescent="0.2">
      <c r="W5408" s="319"/>
    </row>
    <row r="5409" spans="23:23" x14ac:dyDescent="0.2">
      <c r="W5409" s="319"/>
    </row>
    <row r="5410" spans="23:23" x14ac:dyDescent="0.2">
      <c r="W5410" s="319"/>
    </row>
    <row r="5411" spans="23:23" x14ac:dyDescent="0.2">
      <c r="W5411" s="319"/>
    </row>
    <row r="5412" spans="23:23" x14ac:dyDescent="0.2">
      <c r="W5412" s="319"/>
    </row>
    <row r="5413" spans="23:23" x14ac:dyDescent="0.2">
      <c r="W5413" s="319"/>
    </row>
    <row r="5414" spans="23:23" x14ac:dyDescent="0.2">
      <c r="W5414" s="319"/>
    </row>
    <row r="5415" spans="23:23" x14ac:dyDescent="0.2">
      <c r="W5415" s="319"/>
    </row>
    <row r="5416" spans="23:23" x14ac:dyDescent="0.2">
      <c r="W5416" s="319"/>
    </row>
    <row r="5417" spans="23:23" x14ac:dyDescent="0.2">
      <c r="W5417" s="319"/>
    </row>
    <row r="5418" spans="23:23" x14ac:dyDescent="0.2">
      <c r="W5418" s="319"/>
    </row>
    <row r="5419" spans="23:23" x14ac:dyDescent="0.2">
      <c r="W5419" s="319"/>
    </row>
    <row r="5420" spans="23:23" x14ac:dyDescent="0.2">
      <c r="W5420" s="319"/>
    </row>
    <row r="5421" spans="23:23" x14ac:dyDescent="0.2">
      <c r="W5421" s="319"/>
    </row>
    <row r="5422" spans="23:23" x14ac:dyDescent="0.2">
      <c r="W5422" s="319"/>
    </row>
    <row r="5423" spans="23:23" x14ac:dyDescent="0.2">
      <c r="W5423" s="319"/>
    </row>
    <row r="5424" spans="23:23" x14ac:dyDescent="0.2">
      <c r="W5424" s="319"/>
    </row>
    <row r="5425" spans="23:23" x14ac:dyDescent="0.2">
      <c r="W5425" s="319"/>
    </row>
    <row r="5426" spans="23:23" x14ac:dyDescent="0.2">
      <c r="W5426" s="319"/>
    </row>
    <row r="5427" spans="23:23" x14ac:dyDescent="0.2">
      <c r="W5427" s="319"/>
    </row>
    <row r="5428" spans="23:23" x14ac:dyDescent="0.2">
      <c r="W5428" s="319"/>
    </row>
    <row r="5429" spans="23:23" x14ac:dyDescent="0.2">
      <c r="W5429" s="319"/>
    </row>
    <row r="5430" spans="23:23" x14ac:dyDescent="0.2">
      <c r="W5430" s="319"/>
    </row>
    <row r="5431" spans="23:23" x14ac:dyDescent="0.2">
      <c r="W5431" s="319"/>
    </row>
    <row r="5432" spans="23:23" x14ac:dyDescent="0.2">
      <c r="W5432" s="319"/>
    </row>
    <row r="5433" spans="23:23" x14ac:dyDescent="0.2">
      <c r="W5433" s="319"/>
    </row>
    <row r="5434" spans="23:23" x14ac:dyDescent="0.2">
      <c r="W5434" s="319"/>
    </row>
    <row r="5435" spans="23:23" x14ac:dyDescent="0.2">
      <c r="W5435" s="319"/>
    </row>
    <row r="5436" spans="23:23" x14ac:dyDescent="0.2">
      <c r="W5436" s="319"/>
    </row>
    <row r="5437" spans="23:23" x14ac:dyDescent="0.2">
      <c r="W5437" s="319"/>
    </row>
    <row r="5438" spans="23:23" x14ac:dyDescent="0.2">
      <c r="W5438" s="319"/>
    </row>
    <row r="5439" spans="23:23" x14ac:dyDescent="0.2">
      <c r="W5439" s="319"/>
    </row>
    <row r="5440" spans="23:23" x14ac:dyDescent="0.2">
      <c r="W5440" s="319"/>
    </row>
    <row r="5441" spans="23:23" x14ac:dyDescent="0.2">
      <c r="W5441" s="319"/>
    </row>
    <row r="5442" spans="23:23" x14ac:dyDescent="0.2">
      <c r="W5442" s="319"/>
    </row>
    <row r="5443" spans="23:23" x14ac:dyDescent="0.2">
      <c r="W5443" s="319"/>
    </row>
    <row r="5444" spans="23:23" x14ac:dyDescent="0.2">
      <c r="W5444" s="319"/>
    </row>
    <row r="5445" spans="23:23" x14ac:dyDescent="0.2">
      <c r="W5445" s="319"/>
    </row>
    <row r="5446" spans="23:23" x14ac:dyDescent="0.2">
      <c r="W5446" s="319"/>
    </row>
    <row r="5447" spans="23:23" x14ac:dyDescent="0.2">
      <c r="W5447" s="319"/>
    </row>
    <row r="5448" spans="23:23" x14ac:dyDescent="0.2">
      <c r="W5448" s="319"/>
    </row>
    <row r="5449" spans="23:23" x14ac:dyDescent="0.2">
      <c r="W5449" s="319"/>
    </row>
    <row r="5450" spans="23:23" x14ac:dyDescent="0.2">
      <c r="W5450" s="319"/>
    </row>
    <row r="5451" spans="23:23" x14ac:dyDescent="0.2">
      <c r="W5451" s="319"/>
    </row>
    <row r="5452" spans="23:23" x14ac:dyDescent="0.2">
      <c r="W5452" s="319"/>
    </row>
    <row r="5453" spans="23:23" x14ac:dyDescent="0.2">
      <c r="W5453" s="319"/>
    </row>
    <row r="5454" spans="23:23" x14ac:dyDescent="0.2">
      <c r="W5454" s="319"/>
    </row>
    <row r="5455" spans="23:23" x14ac:dyDescent="0.2">
      <c r="W5455" s="319"/>
    </row>
    <row r="5456" spans="23:23" x14ac:dyDescent="0.2">
      <c r="W5456" s="319"/>
    </row>
    <row r="5457" spans="23:23" x14ac:dyDescent="0.2">
      <c r="W5457" s="319"/>
    </row>
    <row r="5458" spans="23:23" x14ac:dyDescent="0.2">
      <c r="W5458" s="319"/>
    </row>
    <row r="5459" spans="23:23" x14ac:dyDescent="0.2">
      <c r="W5459" s="319"/>
    </row>
    <row r="5460" spans="23:23" x14ac:dyDescent="0.2">
      <c r="W5460" s="319"/>
    </row>
    <row r="5461" spans="23:23" x14ac:dyDescent="0.2">
      <c r="W5461" s="319"/>
    </row>
    <row r="5462" spans="23:23" x14ac:dyDescent="0.2">
      <c r="W5462" s="319"/>
    </row>
    <row r="5463" spans="23:23" x14ac:dyDescent="0.2">
      <c r="W5463" s="319"/>
    </row>
    <row r="5464" spans="23:23" x14ac:dyDescent="0.2">
      <c r="W5464" s="319"/>
    </row>
    <row r="5465" spans="23:23" x14ac:dyDescent="0.2">
      <c r="W5465" s="319"/>
    </row>
    <row r="5466" spans="23:23" x14ac:dyDescent="0.2">
      <c r="W5466" s="319"/>
    </row>
    <row r="5467" spans="23:23" x14ac:dyDescent="0.2">
      <c r="W5467" s="319"/>
    </row>
    <row r="5468" spans="23:23" x14ac:dyDescent="0.2">
      <c r="W5468" s="319"/>
    </row>
    <row r="5469" spans="23:23" x14ac:dyDescent="0.2">
      <c r="W5469" s="319"/>
    </row>
    <row r="5470" spans="23:23" x14ac:dyDescent="0.2">
      <c r="W5470" s="319"/>
    </row>
    <row r="5471" spans="23:23" x14ac:dyDescent="0.2">
      <c r="W5471" s="319"/>
    </row>
    <row r="5472" spans="23:23" x14ac:dyDescent="0.2">
      <c r="W5472" s="319"/>
    </row>
    <row r="5473" spans="23:23" x14ac:dyDescent="0.2">
      <c r="W5473" s="319"/>
    </row>
    <row r="5474" spans="23:23" x14ac:dyDescent="0.2">
      <c r="W5474" s="319"/>
    </row>
    <row r="5475" spans="23:23" x14ac:dyDescent="0.2">
      <c r="W5475" s="319"/>
    </row>
    <row r="5476" spans="23:23" x14ac:dyDescent="0.2">
      <c r="W5476" s="319"/>
    </row>
    <row r="5477" spans="23:23" x14ac:dyDescent="0.2">
      <c r="W5477" s="319"/>
    </row>
    <row r="5478" spans="23:23" x14ac:dyDescent="0.2">
      <c r="W5478" s="319"/>
    </row>
    <row r="5479" spans="23:23" x14ac:dyDescent="0.2">
      <c r="W5479" s="319"/>
    </row>
    <row r="5480" spans="23:23" x14ac:dyDescent="0.2">
      <c r="W5480" s="319"/>
    </row>
    <row r="5481" spans="23:23" x14ac:dyDescent="0.2">
      <c r="W5481" s="319"/>
    </row>
    <row r="5482" spans="23:23" x14ac:dyDescent="0.2">
      <c r="W5482" s="319"/>
    </row>
    <row r="5483" spans="23:23" x14ac:dyDescent="0.2">
      <c r="W5483" s="319"/>
    </row>
    <row r="5484" spans="23:23" x14ac:dyDescent="0.2">
      <c r="W5484" s="319"/>
    </row>
    <row r="5485" spans="23:23" x14ac:dyDescent="0.2">
      <c r="W5485" s="319"/>
    </row>
    <row r="5486" spans="23:23" x14ac:dyDescent="0.2">
      <c r="W5486" s="319"/>
    </row>
    <row r="5487" spans="23:23" x14ac:dyDescent="0.2">
      <c r="W5487" s="319"/>
    </row>
    <row r="5488" spans="23:23" x14ac:dyDescent="0.2">
      <c r="W5488" s="319"/>
    </row>
    <row r="5489" spans="23:23" x14ac:dyDescent="0.2">
      <c r="W5489" s="319"/>
    </row>
    <row r="5490" spans="23:23" x14ac:dyDescent="0.2">
      <c r="W5490" s="319"/>
    </row>
    <row r="5491" spans="23:23" x14ac:dyDescent="0.2">
      <c r="W5491" s="319"/>
    </row>
    <row r="5492" spans="23:23" x14ac:dyDescent="0.2">
      <c r="W5492" s="319"/>
    </row>
    <row r="5493" spans="23:23" x14ac:dyDescent="0.2">
      <c r="W5493" s="319"/>
    </row>
    <row r="5494" spans="23:23" x14ac:dyDescent="0.2">
      <c r="W5494" s="319"/>
    </row>
    <row r="5495" spans="23:23" x14ac:dyDescent="0.2">
      <c r="W5495" s="319"/>
    </row>
    <row r="5496" spans="23:23" x14ac:dyDescent="0.2">
      <c r="W5496" s="319"/>
    </row>
    <row r="5497" spans="23:23" x14ac:dyDescent="0.2">
      <c r="W5497" s="319"/>
    </row>
    <row r="5498" spans="23:23" x14ac:dyDescent="0.2">
      <c r="W5498" s="319"/>
    </row>
    <row r="5499" spans="23:23" x14ac:dyDescent="0.2">
      <c r="W5499" s="319"/>
    </row>
    <row r="5500" spans="23:23" x14ac:dyDescent="0.2">
      <c r="W5500" s="319"/>
    </row>
    <row r="5501" spans="23:23" x14ac:dyDescent="0.2">
      <c r="W5501" s="319"/>
    </row>
    <row r="5502" spans="23:23" x14ac:dyDescent="0.2">
      <c r="W5502" s="319"/>
    </row>
    <row r="5503" spans="23:23" x14ac:dyDescent="0.2">
      <c r="W5503" s="319"/>
    </row>
    <row r="5504" spans="23:23" x14ac:dyDescent="0.2">
      <c r="W5504" s="319"/>
    </row>
    <row r="5505" spans="23:23" x14ac:dyDescent="0.2">
      <c r="W5505" s="319"/>
    </row>
    <row r="5506" spans="23:23" x14ac:dyDescent="0.2">
      <c r="W5506" s="319"/>
    </row>
    <row r="5507" spans="23:23" x14ac:dyDescent="0.2">
      <c r="W5507" s="319"/>
    </row>
    <row r="5508" spans="23:23" x14ac:dyDescent="0.2">
      <c r="W5508" s="319"/>
    </row>
    <row r="5509" spans="23:23" x14ac:dyDescent="0.2">
      <c r="W5509" s="319"/>
    </row>
    <row r="5510" spans="23:23" x14ac:dyDescent="0.2">
      <c r="W5510" s="319"/>
    </row>
    <row r="5511" spans="23:23" x14ac:dyDescent="0.2">
      <c r="W5511" s="319"/>
    </row>
    <row r="5512" spans="23:23" x14ac:dyDescent="0.2">
      <c r="W5512" s="319"/>
    </row>
    <row r="5513" spans="23:23" x14ac:dyDescent="0.2">
      <c r="W5513" s="319"/>
    </row>
    <row r="5514" spans="23:23" x14ac:dyDescent="0.2">
      <c r="W5514" s="319"/>
    </row>
    <row r="5515" spans="23:23" x14ac:dyDescent="0.2">
      <c r="W5515" s="319"/>
    </row>
    <row r="5516" spans="23:23" x14ac:dyDescent="0.2">
      <c r="W5516" s="319"/>
    </row>
    <row r="5517" spans="23:23" x14ac:dyDescent="0.2">
      <c r="W5517" s="319"/>
    </row>
    <row r="5518" spans="23:23" x14ac:dyDescent="0.2">
      <c r="W5518" s="319"/>
    </row>
    <row r="5519" spans="23:23" x14ac:dyDescent="0.2">
      <c r="W5519" s="319"/>
    </row>
    <row r="5520" spans="23:23" x14ac:dyDescent="0.2">
      <c r="W5520" s="319"/>
    </row>
    <row r="5521" spans="23:23" x14ac:dyDescent="0.2">
      <c r="W5521" s="319"/>
    </row>
    <row r="5522" spans="23:23" x14ac:dyDescent="0.2">
      <c r="W5522" s="319"/>
    </row>
    <row r="5523" spans="23:23" x14ac:dyDescent="0.2">
      <c r="W5523" s="319"/>
    </row>
    <row r="5524" spans="23:23" x14ac:dyDescent="0.2">
      <c r="W5524" s="319"/>
    </row>
    <row r="5525" spans="23:23" x14ac:dyDescent="0.2">
      <c r="W5525" s="319"/>
    </row>
    <row r="5526" spans="23:23" x14ac:dyDescent="0.2">
      <c r="W5526" s="319"/>
    </row>
    <row r="5527" spans="23:23" x14ac:dyDescent="0.2">
      <c r="W5527" s="319"/>
    </row>
    <row r="5528" spans="23:23" x14ac:dyDescent="0.2">
      <c r="W5528" s="319"/>
    </row>
    <row r="5529" spans="23:23" x14ac:dyDescent="0.2">
      <c r="W5529" s="319"/>
    </row>
    <row r="5530" spans="23:23" x14ac:dyDescent="0.2">
      <c r="W5530" s="319"/>
    </row>
    <row r="5531" spans="23:23" x14ac:dyDescent="0.2">
      <c r="W5531" s="319"/>
    </row>
    <row r="5532" spans="23:23" x14ac:dyDescent="0.2">
      <c r="W5532" s="319"/>
    </row>
    <row r="5533" spans="23:23" x14ac:dyDescent="0.2">
      <c r="W5533" s="319"/>
    </row>
    <row r="5534" spans="23:23" x14ac:dyDescent="0.2">
      <c r="W5534" s="319"/>
    </row>
    <row r="5535" spans="23:23" x14ac:dyDescent="0.2">
      <c r="W5535" s="319"/>
    </row>
    <row r="5536" spans="23:23" x14ac:dyDescent="0.2">
      <c r="W5536" s="319"/>
    </row>
    <row r="5537" spans="23:23" x14ac:dyDescent="0.2">
      <c r="W5537" s="319"/>
    </row>
    <row r="5538" spans="23:23" x14ac:dyDescent="0.2">
      <c r="W5538" s="319"/>
    </row>
    <row r="5539" spans="23:23" x14ac:dyDescent="0.2">
      <c r="W5539" s="319"/>
    </row>
    <row r="5540" spans="23:23" x14ac:dyDescent="0.2">
      <c r="W5540" s="319"/>
    </row>
    <row r="5541" spans="23:23" x14ac:dyDescent="0.2">
      <c r="W5541" s="319"/>
    </row>
    <row r="5542" spans="23:23" x14ac:dyDescent="0.2">
      <c r="W5542" s="319"/>
    </row>
    <row r="5543" spans="23:23" x14ac:dyDescent="0.2">
      <c r="W5543" s="319"/>
    </row>
    <row r="5544" spans="23:23" x14ac:dyDescent="0.2">
      <c r="W5544" s="319"/>
    </row>
    <row r="5545" spans="23:23" x14ac:dyDescent="0.2">
      <c r="W5545" s="319"/>
    </row>
    <row r="5546" spans="23:23" x14ac:dyDescent="0.2">
      <c r="W5546" s="319"/>
    </row>
    <row r="5547" spans="23:23" x14ac:dyDescent="0.2">
      <c r="W5547" s="319"/>
    </row>
    <row r="5548" spans="23:23" x14ac:dyDescent="0.2">
      <c r="W5548" s="319"/>
    </row>
    <row r="5549" spans="23:23" x14ac:dyDescent="0.2">
      <c r="W5549" s="319"/>
    </row>
    <row r="5550" spans="23:23" x14ac:dyDescent="0.2">
      <c r="W5550" s="319"/>
    </row>
    <row r="5551" spans="23:23" x14ac:dyDescent="0.2">
      <c r="W5551" s="319"/>
    </row>
    <row r="5552" spans="23:23" x14ac:dyDescent="0.2">
      <c r="W5552" s="319"/>
    </row>
    <row r="5553" spans="23:23" x14ac:dyDescent="0.2">
      <c r="W5553" s="319"/>
    </row>
    <row r="5554" spans="23:23" x14ac:dyDescent="0.2">
      <c r="W5554" s="319"/>
    </row>
    <row r="5555" spans="23:23" x14ac:dyDescent="0.2">
      <c r="W5555" s="319"/>
    </row>
    <row r="5556" spans="23:23" x14ac:dyDescent="0.2">
      <c r="W5556" s="319"/>
    </row>
    <row r="5557" spans="23:23" x14ac:dyDescent="0.2">
      <c r="W5557" s="319"/>
    </row>
    <row r="5558" spans="23:23" x14ac:dyDescent="0.2">
      <c r="W5558" s="319"/>
    </row>
    <row r="5559" spans="23:23" x14ac:dyDescent="0.2">
      <c r="W5559" s="319"/>
    </row>
    <row r="5560" spans="23:23" x14ac:dyDescent="0.2">
      <c r="W5560" s="319"/>
    </row>
    <row r="5561" spans="23:23" x14ac:dyDescent="0.2">
      <c r="W5561" s="319"/>
    </row>
    <row r="5562" spans="23:23" x14ac:dyDescent="0.2">
      <c r="W5562" s="319"/>
    </row>
    <row r="5563" spans="23:23" x14ac:dyDescent="0.2">
      <c r="W5563" s="319"/>
    </row>
    <row r="5564" spans="23:23" x14ac:dyDescent="0.2">
      <c r="W5564" s="319"/>
    </row>
    <row r="5565" spans="23:23" x14ac:dyDescent="0.2">
      <c r="W5565" s="319"/>
    </row>
    <row r="5566" spans="23:23" x14ac:dyDescent="0.2">
      <c r="W5566" s="319"/>
    </row>
    <row r="5567" spans="23:23" x14ac:dyDescent="0.2">
      <c r="W5567" s="319"/>
    </row>
    <row r="5568" spans="23:23" x14ac:dyDescent="0.2">
      <c r="W5568" s="319"/>
    </row>
    <row r="5569" spans="23:23" x14ac:dyDescent="0.2">
      <c r="W5569" s="319"/>
    </row>
    <row r="5570" spans="23:23" x14ac:dyDescent="0.2">
      <c r="W5570" s="319"/>
    </row>
    <row r="5571" spans="23:23" x14ac:dyDescent="0.2">
      <c r="W5571" s="319"/>
    </row>
    <row r="5572" spans="23:23" x14ac:dyDescent="0.2">
      <c r="W5572" s="319"/>
    </row>
    <row r="5573" spans="23:23" x14ac:dyDescent="0.2">
      <c r="W5573" s="319"/>
    </row>
    <row r="5574" spans="23:23" x14ac:dyDescent="0.2">
      <c r="W5574" s="319"/>
    </row>
    <row r="5575" spans="23:23" x14ac:dyDescent="0.2">
      <c r="W5575" s="319"/>
    </row>
    <row r="5576" spans="23:23" x14ac:dyDescent="0.2">
      <c r="W5576" s="319"/>
    </row>
    <row r="5577" spans="23:23" x14ac:dyDescent="0.2">
      <c r="W5577" s="319"/>
    </row>
    <row r="5578" spans="23:23" x14ac:dyDescent="0.2">
      <c r="W5578" s="319"/>
    </row>
    <row r="5579" spans="23:23" x14ac:dyDescent="0.2">
      <c r="W5579" s="319"/>
    </row>
    <row r="5580" spans="23:23" x14ac:dyDescent="0.2">
      <c r="W5580" s="319"/>
    </row>
    <row r="5581" spans="23:23" x14ac:dyDescent="0.2">
      <c r="W5581" s="319"/>
    </row>
    <row r="5582" spans="23:23" x14ac:dyDescent="0.2">
      <c r="W5582" s="319"/>
    </row>
    <row r="5583" spans="23:23" x14ac:dyDescent="0.2">
      <c r="W5583" s="319"/>
    </row>
    <row r="5584" spans="23:23" x14ac:dyDescent="0.2">
      <c r="W5584" s="319"/>
    </row>
    <row r="5585" spans="23:23" x14ac:dyDescent="0.2">
      <c r="W5585" s="319"/>
    </row>
    <row r="5586" spans="23:23" x14ac:dyDescent="0.2">
      <c r="W5586" s="319"/>
    </row>
    <row r="5587" spans="23:23" x14ac:dyDescent="0.2">
      <c r="W5587" s="319"/>
    </row>
    <row r="5588" spans="23:23" x14ac:dyDescent="0.2">
      <c r="W5588" s="319"/>
    </row>
    <row r="5589" spans="23:23" x14ac:dyDescent="0.2">
      <c r="W5589" s="319"/>
    </row>
    <row r="5590" spans="23:23" x14ac:dyDescent="0.2">
      <c r="W5590" s="319"/>
    </row>
    <row r="5591" spans="23:23" x14ac:dyDescent="0.2">
      <c r="W5591" s="319"/>
    </row>
    <row r="5592" spans="23:23" x14ac:dyDescent="0.2">
      <c r="W5592" s="319"/>
    </row>
    <row r="5593" spans="23:23" x14ac:dyDescent="0.2">
      <c r="W5593" s="319"/>
    </row>
    <row r="5594" spans="23:23" x14ac:dyDescent="0.2">
      <c r="W5594" s="319"/>
    </row>
    <row r="5595" spans="23:23" x14ac:dyDescent="0.2">
      <c r="W5595" s="319"/>
    </row>
    <row r="5596" spans="23:23" x14ac:dyDescent="0.2">
      <c r="W5596" s="319"/>
    </row>
    <row r="5597" spans="23:23" x14ac:dyDescent="0.2">
      <c r="W5597" s="319"/>
    </row>
    <row r="5598" spans="23:23" x14ac:dyDescent="0.2">
      <c r="W5598" s="319"/>
    </row>
    <row r="5599" spans="23:23" x14ac:dyDescent="0.2">
      <c r="W5599" s="319"/>
    </row>
    <row r="5600" spans="23:23" x14ac:dyDescent="0.2">
      <c r="W5600" s="319"/>
    </row>
    <row r="5601" spans="23:23" x14ac:dyDescent="0.2">
      <c r="W5601" s="319"/>
    </row>
    <row r="5602" spans="23:23" x14ac:dyDescent="0.2">
      <c r="W5602" s="319"/>
    </row>
    <row r="5603" spans="23:23" x14ac:dyDescent="0.2">
      <c r="W5603" s="319"/>
    </row>
    <row r="5604" spans="23:23" x14ac:dyDescent="0.2">
      <c r="W5604" s="319"/>
    </row>
    <row r="5605" spans="23:23" x14ac:dyDescent="0.2">
      <c r="W5605" s="319"/>
    </row>
    <row r="5606" spans="23:23" x14ac:dyDescent="0.2">
      <c r="W5606" s="319"/>
    </row>
    <row r="5607" spans="23:23" x14ac:dyDescent="0.2">
      <c r="W5607" s="319"/>
    </row>
    <row r="5608" spans="23:23" x14ac:dyDescent="0.2">
      <c r="W5608" s="319"/>
    </row>
    <row r="5609" spans="23:23" x14ac:dyDescent="0.2">
      <c r="W5609" s="319"/>
    </row>
    <row r="5610" spans="23:23" x14ac:dyDescent="0.2">
      <c r="W5610" s="319"/>
    </row>
    <row r="5611" spans="23:23" x14ac:dyDescent="0.2">
      <c r="W5611" s="319"/>
    </row>
    <row r="5612" spans="23:23" x14ac:dyDescent="0.2">
      <c r="W5612" s="319"/>
    </row>
    <row r="5613" spans="23:23" x14ac:dyDescent="0.2">
      <c r="W5613" s="319"/>
    </row>
    <row r="5614" spans="23:23" x14ac:dyDescent="0.2">
      <c r="W5614" s="319"/>
    </row>
    <row r="5615" spans="23:23" x14ac:dyDescent="0.2">
      <c r="W5615" s="319"/>
    </row>
    <row r="5616" spans="23:23" x14ac:dyDescent="0.2">
      <c r="W5616" s="319"/>
    </row>
    <row r="5617" spans="23:23" x14ac:dyDescent="0.2">
      <c r="W5617" s="319"/>
    </row>
    <row r="5618" spans="23:23" x14ac:dyDescent="0.2">
      <c r="W5618" s="319"/>
    </row>
    <row r="5619" spans="23:23" x14ac:dyDescent="0.2">
      <c r="W5619" s="319"/>
    </row>
    <row r="5620" spans="23:23" x14ac:dyDescent="0.2">
      <c r="W5620" s="319"/>
    </row>
    <row r="5621" spans="23:23" x14ac:dyDescent="0.2">
      <c r="W5621" s="319"/>
    </row>
    <row r="5622" spans="23:23" x14ac:dyDescent="0.2">
      <c r="W5622" s="319"/>
    </row>
    <row r="5623" spans="23:23" x14ac:dyDescent="0.2">
      <c r="W5623" s="319"/>
    </row>
    <row r="5624" spans="23:23" x14ac:dyDescent="0.2">
      <c r="W5624" s="319"/>
    </row>
    <row r="5625" spans="23:23" x14ac:dyDescent="0.2">
      <c r="W5625" s="319"/>
    </row>
    <row r="5626" spans="23:23" x14ac:dyDescent="0.2">
      <c r="W5626" s="319"/>
    </row>
    <row r="5627" spans="23:23" x14ac:dyDescent="0.2">
      <c r="W5627" s="319"/>
    </row>
    <row r="5628" spans="23:23" x14ac:dyDescent="0.2">
      <c r="W5628" s="319"/>
    </row>
    <row r="5629" spans="23:23" x14ac:dyDescent="0.2">
      <c r="W5629" s="319"/>
    </row>
    <row r="5630" spans="23:23" x14ac:dyDescent="0.2">
      <c r="W5630" s="319"/>
    </row>
    <row r="5631" spans="23:23" x14ac:dyDescent="0.2">
      <c r="W5631" s="319"/>
    </row>
    <row r="5632" spans="23:23" x14ac:dyDescent="0.2">
      <c r="W5632" s="319"/>
    </row>
    <row r="5633" spans="23:23" x14ac:dyDescent="0.2">
      <c r="W5633" s="319"/>
    </row>
    <row r="5634" spans="23:23" x14ac:dyDescent="0.2">
      <c r="W5634" s="319"/>
    </row>
    <row r="5635" spans="23:23" x14ac:dyDescent="0.2">
      <c r="W5635" s="319"/>
    </row>
    <row r="5636" spans="23:23" x14ac:dyDescent="0.2">
      <c r="W5636" s="319"/>
    </row>
    <row r="5637" spans="23:23" x14ac:dyDescent="0.2">
      <c r="W5637" s="319"/>
    </row>
    <row r="5638" spans="23:23" x14ac:dyDescent="0.2">
      <c r="W5638" s="319"/>
    </row>
    <row r="5639" spans="23:23" x14ac:dyDescent="0.2">
      <c r="W5639" s="319"/>
    </row>
    <row r="5640" spans="23:23" x14ac:dyDescent="0.2">
      <c r="W5640" s="319"/>
    </row>
    <row r="5641" spans="23:23" x14ac:dyDescent="0.2">
      <c r="W5641" s="319"/>
    </row>
    <row r="5642" spans="23:23" x14ac:dyDescent="0.2">
      <c r="W5642" s="319"/>
    </row>
    <row r="5643" spans="23:23" x14ac:dyDescent="0.2">
      <c r="W5643" s="319"/>
    </row>
    <row r="5644" spans="23:23" x14ac:dyDescent="0.2">
      <c r="W5644" s="319"/>
    </row>
    <row r="5645" spans="23:23" x14ac:dyDescent="0.2">
      <c r="W5645" s="319"/>
    </row>
    <row r="5646" spans="23:23" x14ac:dyDescent="0.2">
      <c r="W5646" s="319"/>
    </row>
    <row r="5647" spans="23:23" x14ac:dyDescent="0.2">
      <c r="W5647" s="319"/>
    </row>
    <row r="5648" spans="23:23" x14ac:dyDescent="0.2">
      <c r="W5648" s="319"/>
    </row>
    <row r="5649" spans="23:23" x14ac:dyDescent="0.2">
      <c r="W5649" s="319"/>
    </row>
    <row r="5650" spans="23:23" x14ac:dyDescent="0.2">
      <c r="W5650" s="319"/>
    </row>
    <row r="5651" spans="23:23" x14ac:dyDescent="0.2">
      <c r="W5651" s="319"/>
    </row>
    <row r="5652" spans="23:23" x14ac:dyDescent="0.2">
      <c r="W5652" s="319"/>
    </row>
    <row r="5653" spans="23:23" x14ac:dyDescent="0.2">
      <c r="W5653" s="319"/>
    </row>
    <row r="5654" spans="23:23" x14ac:dyDescent="0.2">
      <c r="W5654" s="319"/>
    </row>
    <row r="5655" spans="23:23" x14ac:dyDescent="0.2">
      <c r="W5655" s="319"/>
    </row>
    <row r="5656" spans="23:23" x14ac:dyDescent="0.2">
      <c r="W5656" s="319"/>
    </row>
    <row r="5657" spans="23:23" x14ac:dyDescent="0.2">
      <c r="W5657" s="319"/>
    </row>
    <row r="5658" spans="23:23" x14ac:dyDescent="0.2">
      <c r="W5658" s="319"/>
    </row>
    <row r="5659" spans="23:23" x14ac:dyDescent="0.2">
      <c r="W5659" s="319"/>
    </row>
    <row r="5660" spans="23:23" x14ac:dyDescent="0.2">
      <c r="W5660" s="319"/>
    </row>
    <row r="5661" spans="23:23" x14ac:dyDescent="0.2">
      <c r="W5661" s="319"/>
    </row>
    <row r="5662" spans="23:23" x14ac:dyDescent="0.2">
      <c r="W5662" s="319"/>
    </row>
    <row r="5663" spans="23:23" x14ac:dyDescent="0.2">
      <c r="W5663" s="319"/>
    </row>
    <row r="5664" spans="23:23" x14ac:dyDescent="0.2">
      <c r="W5664" s="319"/>
    </row>
    <row r="5665" spans="23:23" x14ac:dyDescent="0.2">
      <c r="W5665" s="319"/>
    </row>
    <row r="5666" spans="23:23" x14ac:dyDescent="0.2">
      <c r="W5666" s="319"/>
    </row>
    <row r="5667" spans="23:23" x14ac:dyDescent="0.2">
      <c r="W5667" s="319"/>
    </row>
    <row r="5668" spans="23:23" x14ac:dyDescent="0.2">
      <c r="W5668" s="319"/>
    </row>
    <row r="5669" spans="23:23" x14ac:dyDescent="0.2">
      <c r="W5669" s="319"/>
    </row>
    <row r="5670" spans="23:23" x14ac:dyDescent="0.2">
      <c r="W5670" s="319"/>
    </row>
    <row r="5671" spans="23:23" x14ac:dyDescent="0.2">
      <c r="W5671" s="319"/>
    </row>
    <row r="5672" spans="23:23" x14ac:dyDescent="0.2">
      <c r="W5672" s="319"/>
    </row>
    <row r="5673" spans="23:23" x14ac:dyDescent="0.2">
      <c r="W5673" s="319"/>
    </row>
    <row r="5674" spans="23:23" x14ac:dyDescent="0.2">
      <c r="W5674" s="319"/>
    </row>
    <row r="5675" spans="23:23" x14ac:dyDescent="0.2">
      <c r="W5675" s="319"/>
    </row>
    <row r="5676" spans="23:23" x14ac:dyDescent="0.2">
      <c r="W5676" s="319"/>
    </row>
    <row r="5677" spans="23:23" x14ac:dyDescent="0.2">
      <c r="W5677" s="319"/>
    </row>
    <row r="5678" spans="23:23" x14ac:dyDescent="0.2">
      <c r="W5678" s="319"/>
    </row>
    <row r="5679" spans="23:23" x14ac:dyDescent="0.2">
      <c r="W5679" s="319"/>
    </row>
    <row r="5680" spans="23:23" x14ac:dyDescent="0.2">
      <c r="W5680" s="319"/>
    </row>
    <row r="5681" spans="23:23" x14ac:dyDescent="0.2">
      <c r="W5681" s="319"/>
    </row>
    <row r="5682" spans="23:23" x14ac:dyDescent="0.2">
      <c r="W5682" s="319"/>
    </row>
    <row r="5683" spans="23:23" x14ac:dyDescent="0.2">
      <c r="W5683" s="319"/>
    </row>
    <row r="5684" spans="23:23" x14ac:dyDescent="0.2">
      <c r="W5684" s="319"/>
    </row>
    <row r="5685" spans="23:23" x14ac:dyDescent="0.2">
      <c r="W5685" s="319"/>
    </row>
    <row r="5686" spans="23:23" x14ac:dyDescent="0.2">
      <c r="W5686" s="319"/>
    </row>
    <row r="5687" spans="23:23" x14ac:dyDescent="0.2">
      <c r="W5687" s="319"/>
    </row>
    <row r="5688" spans="23:23" x14ac:dyDescent="0.2">
      <c r="W5688" s="319"/>
    </row>
    <row r="5689" spans="23:23" x14ac:dyDescent="0.2">
      <c r="W5689" s="319"/>
    </row>
    <row r="5690" spans="23:23" x14ac:dyDescent="0.2">
      <c r="W5690" s="319"/>
    </row>
    <row r="5691" spans="23:23" x14ac:dyDescent="0.2">
      <c r="W5691" s="319"/>
    </row>
    <row r="5692" spans="23:23" x14ac:dyDescent="0.2">
      <c r="W5692" s="319"/>
    </row>
    <row r="5693" spans="23:23" x14ac:dyDescent="0.2">
      <c r="W5693" s="319"/>
    </row>
    <row r="5694" spans="23:23" x14ac:dyDescent="0.2">
      <c r="W5694" s="319"/>
    </row>
    <row r="5695" spans="23:23" x14ac:dyDescent="0.2">
      <c r="W5695" s="319"/>
    </row>
    <row r="5696" spans="23:23" x14ac:dyDescent="0.2">
      <c r="W5696" s="319"/>
    </row>
    <row r="5697" spans="23:23" x14ac:dyDescent="0.2">
      <c r="W5697" s="319"/>
    </row>
    <row r="5698" spans="23:23" x14ac:dyDescent="0.2">
      <c r="W5698" s="319"/>
    </row>
    <row r="5699" spans="23:23" x14ac:dyDescent="0.2">
      <c r="W5699" s="319"/>
    </row>
    <row r="5700" spans="23:23" x14ac:dyDescent="0.2">
      <c r="W5700" s="319"/>
    </row>
    <row r="5701" spans="23:23" x14ac:dyDescent="0.2">
      <c r="W5701" s="319"/>
    </row>
    <row r="5702" spans="23:23" x14ac:dyDescent="0.2">
      <c r="W5702" s="319"/>
    </row>
    <row r="5703" spans="23:23" x14ac:dyDescent="0.2">
      <c r="W5703" s="319"/>
    </row>
    <row r="5704" spans="23:23" x14ac:dyDescent="0.2">
      <c r="W5704" s="319"/>
    </row>
    <row r="5705" spans="23:23" x14ac:dyDescent="0.2">
      <c r="W5705" s="319"/>
    </row>
    <row r="5706" spans="23:23" x14ac:dyDescent="0.2">
      <c r="W5706" s="319"/>
    </row>
    <row r="5707" spans="23:23" x14ac:dyDescent="0.2">
      <c r="W5707" s="319"/>
    </row>
    <row r="5708" spans="23:23" x14ac:dyDescent="0.2">
      <c r="W5708" s="319"/>
    </row>
    <row r="5709" spans="23:23" x14ac:dyDescent="0.2">
      <c r="W5709" s="319"/>
    </row>
    <row r="5710" spans="23:23" x14ac:dyDescent="0.2">
      <c r="W5710" s="319"/>
    </row>
    <row r="5711" spans="23:23" x14ac:dyDescent="0.2">
      <c r="W5711" s="319"/>
    </row>
    <row r="5712" spans="23:23" x14ac:dyDescent="0.2">
      <c r="W5712" s="319"/>
    </row>
    <row r="5713" spans="23:23" x14ac:dyDescent="0.2">
      <c r="W5713" s="319"/>
    </row>
    <row r="5714" spans="23:23" x14ac:dyDescent="0.2">
      <c r="W5714" s="319"/>
    </row>
    <row r="5715" spans="23:23" x14ac:dyDescent="0.2">
      <c r="W5715" s="319"/>
    </row>
    <row r="5716" spans="23:23" x14ac:dyDescent="0.2">
      <c r="W5716" s="319"/>
    </row>
    <row r="5717" spans="23:23" x14ac:dyDescent="0.2">
      <c r="W5717" s="319"/>
    </row>
    <row r="5718" spans="23:23" x14ac:dyDescent="0.2">
      <c r="W5718" s="319"/>
    </row>
    <row r="5719" spans="23:23" x14ac:dyDescent="0.2">
      <c r="W5719" s="319"/>
    </row>
    <row r="5720" spans="23:23" x14ac:dyDescent="0.2">
      <c r="W5720" s="319"/>
    </row>
    <row r="5721" spans="23:23" x14ac:dyDescent="0.2">
      <c r="W5721" s="319"/>
    </row>
    <row r="5722" spans="23:23" x14ac:dyDescent="0.2">
      <c r="W5722" s="319"/>
    </row>
    <row r="5723" spans="23:23" x14ac:dyDescent="0.2">
      <c r="W5723" s="319"/>
    </row>
    <row r="5724" spans="23:23" x14ac:dyDescent="0.2">
      <c r="W5724" s="319"/>
    </row>
    <row r="5725" spans="23:23" x14ac:dyDescent="0.2">
      <c r="W5725" s="319"/>
    </row>
    <row r="5726" spans="23:23" x14ac:dyDescent="0.2">
      <c r="W5726" s="319"/>
    </row>
    <row r="5727" spans="23:23" x14ac:dyDescent="0.2">
      <c r="W5727" s="319"/>
    </row>
    <row r="5728" spans="23:23" x14ac:dyDescent="0.2">
      <c r="W5728" s="319"/>
    </row>
    <row r="5729" spans="23:23" x14ac:dyDescent="0.2">
      <c r="W5729" s="319"/>
    </row>
    <row r="5730" spans="23:23" x14ac:dyDescent="0.2">
      <c r="W5730" s="319"/>
    </row>
    <row r="5731" spans="23:23" x14ac:dyDescent="0.2">
      <c r="W5731" s="319"/>
    </row>
    <row r="5732" spans="23:23" x14ac:dyDescent="0.2">
      <c r="W5732" s="319"/>
    </row>
    <row r="5733" spans="23:23" x14ac:dyDescent="0.2">
      <c r="W5733" s="319"/>
    </row>
    <row r="5734" spans="23:23" x14ac:dyDescent="0.2">
      <c r="W5734" s="319"/>
    </row>
    <row r="5735" spans="23:23" x14ac:dyDescent="0.2">
      <c r="W5735" s="319"/>
    </row>
    <row r="5736" spans="23:23" x14ac:dyDescent="0.2">
      <c r="W5736" s="319"/>
    </row>
    <row r="5737" spans="23:23" x14ac:dyDescent="0.2">
      <c r="W5737" s="319"/>
    </row>
    <row r="5738" spans="23:23" x14ac:dyDescent="0.2">
      <c r="W5738" s="319"/>
    </row>
    <row r="5739" spans="23:23" x14ac:dyDescent="0.2">
      <c r="W5739" s="319"/>
    </row>
    <row r="5740" spans="23:23" x14ac:dyDescent="0.2">
      <c r="W5740" s="319"/>
    </row>
    <row r="5741" spans="23:23" x14ac:dyDescent="0.2">
      <c r="W5741" s="319"/>
    </row>
    <row r="5742" spans="23:23" x14ac:dyDescent="0.2">
      <c r="W5742" s="319"/>
    </row>
    <row r="5743" spans="23:23" x14ac:dyDescent="0.2">
      <c r="W5743" s="319"/>
    </row>
    <row r="5744" spans="23:23" x14ac:dyDescent="0.2">
      <c r="W5744" s="319"/>
    </row>
    <row r="5745" spans="23:23" x14ac:dyDescent="0.2">
      <c r="W5745" s="319"/>
    </row>
    <row r="5746" spans="23:23" x14ac:dyDescent="0.2">
      <c r="W5746" s="319"/>
    </row>
    <row r="5747" spans="23:23" x14ac:dyDescent="0.2">
      <c r="W5747" s="319"/>
    </row>
    <row r="5748" spans="23:23" x14ac:dyDescent="0.2">
      <c r="W5748" s="319"/>
    </row>
    <row r="5749" spans="23:23" x14ac:dyDescent="0.2">
      <c r="W5749" s="319"/>
    </row>
    <row r="5750" spans="23:23" x14ac:dyDescent="0.2">
      <c r="W5750" s="319"/>
    </row>
    <row r="5751" spans="23:23" x14ac:dyDescent="0.2">
      <c r="W5751" s="319"/>
    </row>
    <row r="5752" spans="23:23" x14ac:dyDescent="0.2">
      <c r="W5752" s="319"/>
    </row>
    <row r="5753" spans="23:23" x14ac:dyDescent="0.2">
      <c r="W5753" s="319"/>
    </row>
    <row r="5754" spans="23:23" x14ac:dyDescent="0.2">
      <c r="W5754" s="319"/>
    </row>
    <row r="5755" spans="23:23" x14ac:dyDescent="0.2">
      <c r="W5755" s="319"/>
    </row>
    <row r="5756" spans="23:23" x14ac:dyDescent="0.2">
      <c r="W5756" s="319"/>
    </row>
    <row r="5757" spans="23:23" x14ac:dyDescent="0.2">
      <c r="W5757" s="319"/>
    </row>
    <row r="5758" spans="23:23" x14ac:dyDescent="0.2">
      <c r="W5758" s="319"/>
    </row>
    <row r="5759" spans="23:23" x14ac:dyDescent="0.2">
      <c r="W5759" s="319"/>
    </row>
    <row r="5760" spans="23:23" x14ac:dyDescent="0.2">
      <c r="W5760" s="319"/>
    </row>
    <row r="5761" spans="23:23" x14ac:dyDescent="0.2">
      <c r="W5761" s="319"/>
    </row>
    <row r="5762" spans="23:23" x14ac:dyDescent="0.2">
      <c r="W5762" s="319"/>
    </row>
    <row r="5763" spans="23:23" x14ac:dyDescent="0.2">
      <c r="W5763" s="319"/>
    </row>
    <row r="5764" spans="23:23" x14ac:dyDescent="0.2">
      <c r="W5764" s="319"/>
    </row>
    <row r="5765" spans="23:23" x14ac:dyDescent="0.2">
      <c r="W5765" s="319"/>
    </row>
    <row r="5766" spans="23:23" x14ac:dyDescent="0.2">
      <c r="W5766" s="319"/>
    </row>
    <row r="5767" spans="23:23" x14ac:dyDescent="0.2">
      <c r="W5767" s="319"/>
    </row>
    <row r="5768" spans="23:23" x14ac:dyDescent="0.2">
      <c r="W5768" s="319"/>
    </row>
    <row r="5769" spans="23:23" x14ac:dyDescent="0.2">
      <c r="W5769" s="319"/>
    </row>
    <row r="5770" spans="23:23" x14ac:dyDescent="0.2">
      <c r="W5770" s="319"/>
    </row>
    <row r="5771" spans="23:23" x14ac:dyDescent="0.2">
      <c r="W5771" s="319"/>
    </row>
    <row r="5772" spans="23:23" x14ac:dyDescent="0.2">
      <c r="W5772" s="319"/>
    </row>
    <row r="5773" spans="23:23" x14ac:dyDescent="0.2">
      <c r="W5773" s="319"/>
    </row>
    <row r="5774" spans="23:23" x14ac:dyDescent="0.2">
      <c r="W5774" s="319"/>
    </row>
    <row r="5775" spans="23:23" x14ac:dyDescent="0.2">
      <c r="W5775" s="319"/>
    </row>
    <row r="5776" spans="23:23" x14ac:dyDescent="0.2">
      <c r="W5776" s="319"/>
    </row>
    <row r="5777" spans="23:23" x14ac:dyDescent="0.2">
      <c r="W5777" s="319"/>
    </row>
    <row r="5778" spans="23:23" x14ac:dyDescent="0.2">
      <c r="W5778" s="319"/>
    </row>
    <row r="5779" spans="23:23" x14ac:dyDescent="0.2">
      <c r="W5779" s="319"/>
    </row>
    <row r="5780" spans="23:23" x14ac:dyDescent="0.2">
      <c r="W5780" s="319"/>
    </row>
    <row r="5781" spans="23:23" x14ac:dyDescent="0.2">
      <c r="W5781" s="319"/>
    </row>
    <row r="5782" spans="23:23" x14ac:dyDescent="0.2">
      <c r="W5782" s="319"/>
    </row>
    <row r="5783" spans="23:23" x14ac:dyDescent="0.2">
      <c r="W5783" s="319"/>
    </row>
    <row r="5784" spans="23:23" x14ac:dyDescent="0.2">
      <c r="W5784" s="319"/>
    </row>
    <row r="5785" spans="23:23" x14ac:dyDescent="0.2">
      <c r="W5785" s="319"/>
    </row>
    <row r="5786" spans="23:23" x14ac:dyDescent="0.2">
      <c r="W5786" s="319"/>
    </row>
    <row r="5787" spans="23:23" x14ac:dyDescent="0.2">
      <c r="W5787" s="319"/>
    </row>
    <row r="5788" spans="23:23" x14ac:dyDescent="0.2">
      <c r="W5788" s="319"/>
    </row>
    <row r="5789" spans="23:23" x14ac:dyDescent="0.2">
      <c r="W5789" s="319"/>
    </row>
    <row r="5790" spans="23:23" x14ac:dyDescent="0.2">
      <c r="W5790" s="319"/>
    </row>
    <row r="5791" spans="23:23" x14ac:dyDescent="0.2">
      <c r="W5791" s="319"/>
    </row>
    <row r="5792" spans="23:23" x14ac:dyDescent="0.2">
      <c r="W5792" s="319"/>
    </row>
    <row r="5793" spans="23:23" x14ac:dyDescent="0.2">
      <c r="W5793" s="319"/>
    </row>
    <row r="5794" spans="23:23" x14ac:dyDescent="0.2">
      <c r="W5794" s="319"/>
    </row>
    <row r="5795" spans="23:23" x14ac:dyDescent="0.2">
      <c r="W5795" s="319"/>
    </row>
    <row r="5796" spans="23:23" x14ac:dyDescent="0.2">
      <c r="W5796" s="319"/>
    </row>
    <row r="5797" spans="23:23" x14ac:dyDescent="0.2">
      <c r="W5797" s="319"/>
    </row>
    <row r="5798" spans="23:23" x14ac:dyDescent="0.2">
      <c r="W5798" s="319"/>
    </row>
    <row r="5799" spans="23:23" x14ac:dyDescent="0.2">
      <c r="W5799" s="319"/>
    </row>
    <row r="5800" spans="23:23" x14ac:dyDescent="0.2">
      <c r="W5800" s="319"/>
    </row>
    <row r="5801" spans="23:23" x14ac:dyDescent="0.2">
      <c r="W5801" s="319"/>
    </row>
    <row r="5802" spans="23:23" x14ac:dyDescent="0.2">
      <c r="W5802" s="319"/>
    </row>
    <row r="5803" spans="23:23" x14ac:dyDescent="0.2">
      <c r="W5803" s="319"/>
    </row>
    <row r="5804" spans="23:23" x14ac:dyDescent="0.2">
      <c r="W5804" s="319"/>
    </row>
    <row r="5805" spans="23:23" x14ac:dyDescent="0.2">
      <c r="W5805" s="319"/>
    </row>
    <row r="5806" spans="23:23" x14ac:dyDescent="0.2">
      <c r="W5806" s="319"/>
    </row>
    <row r="5807" spans="23:23" x14ac:dyDescent="0.2">
      <c r="W5807" s="319"/>
    </row>
    <row r="5808" spans="23:23" x14ac:dyDescent="0.2">
      <c r="W5808" s="319"/>
    </row>
    <row r="5809" spans="23:23" x14ac:dyDescent="0.2">
      <c r="W5809" s="319"/>
    </row>
    <row r="5810" spans="23:23" x14ac:dyDescent="0.2">
      <c r="W5810" s="319"/>
    </row>
    <row r="5811" spans="23:23" x14ac:dyDescent="0.2">
      <c r="W5811" s="319"/>
    </row>
    <row r="5812" spans="23:23" x14ac:dyDescent="0.2">
      <c r="W5812" s="319"/>
    </row>
    <row r="5813" spans="23:23" x14ac:dyDescent="0.2">
      <c r="W5813" s="319"/>
    </row>
    <row r="5814" spans="23:23" x14ac:dyDescent="0.2">
      <c r="W5814" s="319"/>
    </row>
    <row r="5815" spans="23:23" x14ac:dyDescent="0.2">
      <c r="W5815" s="319"/>
    </row>
    <row r="5816" spans="23:23" x14ac:dyDescent="0.2">
      <c r="W5816" s="319"/>
    </row>
    <row r="5817" spans="23:23" x14ac:dyDescent="0.2">
      <c r="W5817" s="319"/>
    </row>
    <row r="5818" spans="23:23" x14ac:dyDescent="0.2">
      <c r="W5818" s="319"/>
    </row>
    <row r="5819" spans="23:23" x14ac:dyDescent="0.2">
      <c r="W5819" s="319"/>
    </row>
    <row r="5820" spans="23:23" x14ac:dyDescent="0.2">
      <c r="W5820" s="319"/>
    </row>
    <row r="5821" spans="23:23" x14ac:dyDescent="0.2">
      <c r="W5821" s="319"/>
    </row>
    <row r="5822" spans="23:23" x14ac:dyDescent="0.2">
      <c r="W5822" s="319"/>
    </row>
    <row r="5823" spans="23:23" x14ac:dyDescent="0.2">
      <c r="W5823" s="319"/>
    </row>
    <row r="5824" spans="23:23" x14ac:dyDescent="0.2">
      <c r="W5824" s="319"/>
    </row>
    <row r="5825" spans="23:23" x14ac:dyDescent="0.2">
      <c r="W5825" s="319"/>
    </row>
    <row r="5826" spans="23:23" x14ac:dyDescent="0.2">
      <c r="W5826" s="319"/>
    </row>
    <row r="5827" spans="23:23" x14ac:dyDescent="0.2">
      <c r="W5827" s="319"/>
    </row>
    <row r="5828" spans="23:23" x14ac:dyDescent="0.2">
      <c r="W5828" s="319"/>
    </row>
    <row r="5829" spans="23:23" x14ac:dyDescent="0.2">
      <c r="W5829" s="319"/>
    </row>
    <row r="5830" spans="23:23" x14ac:dyDescent="0.2">
      <c r="W5830" s="319"/>
    </row>
    <row r="5831" spans="23:23" x14ac:dyDescent="0.2">
      <c r="W5831" s="319"/>
    </row>
    <row r="5832" spans="23:23" x14ac:dyDescent="0.2">
      <c r="W5832" s="319"/>
    </row>
    <row r="5833" spans="23:23" x14ac:dyDescent="0.2">
      <c r="W5833" s="319"/>
    </row>
    <row r="5834" spans="23:23" x14ac:dyDescent="0.2">
      <c r="W5834" s="319"/>
    </row>
    <row r="5835" spans="23:23" x14ac:dyDescent="0.2">
      <c r="W5835" s="319"/>
    </row>
    <row r="5836" spans="23:23" x14ac:dyDescent="0.2">
      <c r="W5836" s="319"/>
    </row>
    <row r="5837" spans="23:23" x14ac:dyDescent="0.2">
      <c r="W5837" s="319"/>
    </row>
    <row r="5838" spans="23:23" x14ac:dyDescent="0.2">
      <c r="W5838" s="319"/>
    </row>
    <row r="5839" spans="23:23" x14ac:dyDescent="0.2">
      <c r="W5839" s="319"/>
    </row>
    <row r="5840" spans="23:23" x14ac:dyDescent="0.2">
      <c r="W5840" s="319"/>
    </row>
    <row r="5841" spans="23:23" x14ac:dyDescent="0.2">
      <c r="W5841" s="319"/>
    </row>
    <row r="5842" spans="23:23" x14ac:dyDescent="0.2">
      <c r="W5842" s="319"/>
    </row>
    <row r="5843" spans="23:23" x14ac:dyDescent="0.2">
      <c r="W5843" s="319"/>
    </row>
    <row r="5844" spans="23:23" x14ac:dyDescent="0.2">
      <c r="W5844" s="319"/>
    </row>
    <row r="5845" spans="23:23" x14ac:dyDescent="0.2">
      <c r="W5845" s="319"/>
    </row>
    <row r="5846" spans="23:23" x14ac:dyDescent="0.2">
      <c r="W5846" s="319"/>
    </row>
    <row r="5847" spans="23:23" x14ac:dyDescent="0.2">
      <c r="W5847" s="319"/>
    </row>
    <row r="5848" spans="23:23" x14ac:dyDescent="0.2">
      <c r="W5848" s="319"/>
    </row>
    <row r="5849" spans="23:23" x14ac:dyDescent="0.2">
      <c r="W5849" s="319"/>
    </row>
    <row r="5850" spans="23:23" x14ac:dyDescent="0.2">
      <c r="W5850" s="319"/>
    </row>
    <row r="5851" spans="23:23" x14ac:dyDescent="0.2">
      <c r="W5851" s="319"/>
    </row>
    <row r="5852" spans="23:23" x14ac:dyDescent="0.2">
      <c r="W5852" s="319"/>
    </row>
    <row r="5853" spans="23:23" x14ac:dyDescent="0.2">
      <c r="W5853" s="319"/>
    </row>
    <row r="5854" spans="23:23" x14ac:dyDescent="0.2">
      <c r="W5854" s="319"/>
    </row>
    <row r="5855" spans="23:23" x14ac:dyDescent="0.2">
      <c r="W5855" s="319"/>
    </row>
    <row r="5856" spans="23:23" x14ac:dyDescent="0.2">
      <c r="W5856" s="319"/>
    </row>
    <row r="5857" spans="23:23" x14ac:dyDescent="0.2">
      <c r="W5857" s="319"/>
    </row>
    <row r="5858" spans="23:23" x14ac:dyDescent="0.2">
      <c r="W5858" s="319"/>
    </row>
    <row r="5859" spans="23:23" x14ac:dyDescent="0.2">
      <c r="W5859" s="319"/>
    </row>
    <row r="5860" spans="23:23" x14ac:dyDescent="0.2">
      <c r="W5860" s="319"/>
    </row>
    <row r="5861" spans="23:23" x14ac:dyDescent="0.2">
      <c r="W5861" s="319"/>
    </row>
    <row r="5862" spans="23:23" x14ac:dyDescent="0.2">
      <c r="W5862" s="319"/>
    </row>
    <row r="5863" spans="23:23" x14ac:dyDescent="0.2">
      <c r="W5863" s="319"/>
    </row>
    <row r="5864" spans="23:23" x14ac:dyDescent="0.2">
      <c r="W5864" s="319"/>
    </row>
    <row r="5865" spans="23:23" x14ac:dyDescent="0.2">
      <c r="W5865" s="319"/>
    </row>
    <row r="5866" spans="23:23" x14ac:dyDescent="0.2">
      <c r="W5866" s="319"/>
    </row>
    <row r="5867" spans="23:23" x14ac:dyDescent="0.2">
      <c r="W5867" s="319"/>
    </row>
    <row r="5868" spans="23:23" x14ac:dyDescent="0.2">
      <c r="W5868" s="319"/>
    </row>
    <row r="5869" spans="23:23" x14ac:dyDescent="0.2">
      <c r="W5869" s="319"/>
    </row>
    <row r="5870" spans="23:23" x14ac:dyDescent="0.2">
      <c r="W5870" s="319"/>
    </row>
    <row r="5871" spans="23:23" x14ac:dyDescent="0.2">
      <c r="W5871" s="319"/>
    </row>
    <row r="5872" spans="23:23" x14ac:dyDescent="0.2">
      <c r="W5872" s="319"/>
    </row>
    <row r="5873" spans="23:23" x14ac:dyDescent="0.2">
      <c r="W5873" s="319"/>
    </row>
    <row r="5874" spans="23:23" x14ac:dyDescent="0.2">
      <c r="W5874" s="319"/>
    </row>
    <row r="5875" spans="23:23" x14ac:dyDescent="0.2">
      <c r="W5875" s="319"/>
    </row>
    <row r="5876" spans="23:23" x14ac:dyDescent="0.2">
      <c r="W5876" s="319"/>
    </row>
    <row r="5877" spans="23:23" x14ac:dyDescent="0.2">
      <c r="W5877" s="319"/>
    </row>
    <row r="5878" spans="23:23" x14ac:dyDescent="0.2">
      <c r="W5878" s="319"/>
    </row>
    <row r="5879" spans="23:23" x14ac:dyDescent="0.2">
      <c r="W5879" s="319"/>
    </row>
    <row r="5880" spans="23:23" x14ac:dyDescent="0.2">
      <c r="W5880" s="319"/>
    </row>
    <row r="5881" spans="23:23" x14ac:dyDescent="0.2">
      <c r="W5881" s="319"/>
    </row>
    <row r="5882" spans="23:23" x14ac:dyDescent="0.2">
      <c r="W5882" s="319"/>
    </row>
    <row r="5883" spans="23:23" x14ac:dyDescent="0.2">
      <c r="W5883" s="319"/>
    </row>
    <row r="5884" spans="23:23" x14ac:dyDescent="0.2">
      <c r="W5884" s="319"/>
    </row>
    <row r="5885" spans="23:23" x14ac:dyDescent="0.2">
      <c r="W5885" s="319"/>
    </row>
    <row r="5886" spans="23:23" x14ac:dyDescent="0.2">
      <c r="W5886" s="319"/>
    </row>
    <row r="5887" spans="23:23" x14ac:dyDescent="0.2">
      <c r="W5887" s="319"/>
    </row>
    <row r="5888" spans="23:23" x14ac:dyDescent="0.2">
      <c r="W5888" s="319"/>
    </row>
    <row r="5889" spans="23:23" x14ac:dyDescent="0.2">
      <c r="W5889" s="319"/>
    </row>
    <row r="5890" spans="23:23" x14ac:dyDescent="0.2">
      <c r="W5890" s="319"/>
    </row>
    <row r="5891" spans="23:23" x14ac:dyDescent="0.2">
      <c r="W5891" s="319"/>
    </row>
    <row r="5892" spans="23:23" x14ac:dyDescent="0.2">
      <c r="W5892" s="319"/>
    </row>
    <row r="5893" spans="23:23" x14ac:dyDescent="0.2">
      <c r="W5893" s="319"/>
    </row>
    <row r="5894" spans="23:23" x14ac:dyDescent="0.2">
      <c r="W5894" s="319"/>
    </row>
    <row r="5895" spans="23:23" x14ac:dyDescent="0.2">
      <c r="W5895" s="319"/>
    </row>
    <row r="5896" spans="23:23" x14ac:dyDescent="0.2">
      <c r="W5896" s="319"/>
    </row>
    <row r="5897" spans="23:23" x14ac:dyDescent="0.2">
      <c r="W5897" s="319"/>
    </row>
    <row r="5898" spans="23:23" x14ac:dyDescent="0.2">
      <c r="W5898" s="319"/>
    </row>
    <row r="5899" spans="23:23" x14ac:dyDescent="0.2">
      <c r="W5899" s="319"/>
    </row>
    <row r="5900" spans="23:23" x14ac:dyDescent="0.2">
      <c r="W5900" s="319"/>
    </row>
    <row r="5901" spans="23:23" x14ac:dyDescent="0.2">
      <c r="W5901" s="319"/>
    </row>
    <row r="5902" spans="23:23" x14ac:dyDescent="0.2">
      <c r="W5902" s="319"/>
    </row>
    <row r="5903" spans="23:23" x14ac:dyDescent="0.2">
      <c r="W5903" s="319"/>
    </row>
    <row r="5904" spans="23:23" x14ac:dyDescent="0.2">
      <c r="W5904" s="319"/>
    </row>
    <row r="5905" spans="23:23" x14ac:dyDescent="0.2">
      <c r="W5905" s="319"/>
    </row>
    <row r="5906" spans="23:23" x14ac:dyDescent="0.2">
      <c r="W5906" s="319"/>
    </row>
    <row r="5907" spans="23:23" x14ac:dyDescent="0.2">
      <c r="W5907" s="319"/>
    </row>
    <row r="5908" spans="23:23" x14ac:dyDescent="0.2">
      <c r="W5908" s="319"/>
    </row>
    <row r="5909" spans="23:23" x14ac:dyDescent="0.2">
      <c r="W5909" s="319"/>
    </row>
    <row r="5910" spans="23:23" x14ac:dyDescent="0.2">
      <c r="W5910" s="319"/>
    </row>
    <row r="5911" spans="23:23" x14ac:dyDescent="0.2">
      <c r="W5911" s="319"/>
    </row>
    <row r="5912" spans="23:23" x14ac:dyDescent="0.2">
      <c r="W5912" s="319"/>
    </row>
    <row r="5913" spans="23:23" x14ac:dyDescent="0.2">
      <c r="W5913" s="319"/>
    </row>
    <row r="5914" spans="23:23" x14ac:dyDescent="0.2">
      <c r="W5914" s="319"/>
    </row>
    <row r="5915" spans="23:23" x14ac:dyDescent="0.2">
      <c r="W5915" s="319"/>
    </row>
    <row r="5916" spans="23:23" x14ac:dyDescent="0.2">
      <c r="W5916" s="319"/>
    </row>
    <row r="5917" spans="23:23" x14ac:dyDescent="0.2">
      <c r="W5917" s="319"/>
    </row>
    <row r="5918" spans="23:23" x14ac:dyDescent="0.2">
      <c r="W5918" s="319"/>
    </row>
    <row r="5919" spans="23:23" x14ac:dyDescent="0.2">
      <c r="W5919" s="319"/>
    </row>
    <row r="5920" spans="23:23" x14ac:dyDescent="0.2">
      <c r="W5920" s="319"/>
    </row>
    <row r="5921" spans="23:23" x14ac:dyDescent="0.2">
      <c r="W5921" s="319"/>
    </row>
    <row r="5922" spans="23:23" x14ac:dyDescent="0.2">
      <c r="W5922" s="319"/>
    </row>
    <row r="5923" spans="23:23" x14ac:dyDescent="0.2">
      <c r="W5923" s="319"/>
    </row>
    <row r="5924" spans="23:23" x14ac:dyDescent="0.2">
      <c r="W5924" s="319"/>
    </row>
    <row r="5925" spans="23:23" x14ac:dyDescent="0.2">
      <c r="W5925" s="319"/>
    </row>
    <row r="5926" spans="23:23" x14ac:dyDescent="0.2">
      <c r="W5926" s="319"/>
    </row>
    <row r="5927" spans="23:23" x14ac:dyDescent="0.2">
      <c r="W5927" s="319"/>
    </row>
    <row r="5928" spans="23:23" x14ac:dyDescent="0.2">
      <c r="W5928" s="319"/>
    </row>
    <row r="5929" spans="23:23" x14ac:dyDescent="0.2">
      <c r="W5929" s="319"/>
    </row>
    <row r="5930" spans="23:23" x14ac:dyDescent="0.2">
      <c r="W5930" s="319"/>
    </row>
    <row r="5931" spans="23:23" x14ac:dyDescent="0.2">
      <c r="W5931" s="319"/>
    </row>
    <row r="5932" spans="23:23" x14ac:dyDescent="0.2">
      <c r="W5932" s="319"/>
    </row>
    <row r="5933" spans="23:23" x14ac:dyDescent="0.2">
      <c r="W5933" s="319"/>
    </row>
    <row r="5934" spans="23:23" x14ac:dyDescent="0.2">
      <c r="W5934" s="319"/>
    </row>
    <row r="5935" spans="23:23" x14ac:dyDescent="0.2">
      <c r="W5935" s="319"/>
    </row>
    <row r="5936" spans="23:23" x14ac:dyDescent="0.2">
      <c r="W5936" s="319"/>
    </row>
    <row r="5937" spans="23:23" x14ac:dyDescent="0.2">
      <c r="W5937" s="319"/>
    </row>
    <row r="5938" spans="23:23" x14ac:dyDescent="0.2">
      <c r="W5938" s="319"/>
    </row>
    <row r="5939" spans="23:23" x14ac:dyDescent="0.2">
      <c r="W5939" s="319"/>
    </row>
    <row r="5940" spans="23:23" x14ac:dyDescent="0.2">
      <c r="W5940" s="319"/>
    </row>
    <row r="5941" spans="23:23" x14ac:dyDescent="0.2">
      <c r="W5941" s="319"/>
    </row>
    <row r="5942" spans="23:23" x14ac:dyDescent="0.2">
      <c r="W5942" s="319"/>
    </row>
    <row r="5943" spans="23:23" x14ac:dyDescent="0.2">
      <c r="W5943" s="319"/>
    </row>
    <row r="5944" spans="23:23" x14ac:dyDescent="0.2">
      <c r="W5944" s="319"/>
    </row>
    <row r="5945" spans="23:23" x14ac:dyDescent="0.2">
      <c r="W5945" s="319"/>
    </row>
    <row r="5946" spans="23:23" x14ac:dyDescent="0.2">
      <c r="W5946" s="319"/>
    </row>
    <row r="5947" spans="23:23" x14ac:dyDescent="0.2">
      <c r="W5947" s="319"/>
    </row>
    <row r="5948" spans="23:23" x14ac:dyDescent="0.2">
      <c r="W5948" s="319"/>
    </row>
    <row r="5949" spans="23:23" x14ac:dyDescent="0.2">
      <c r="W5949" s="319"/>
    </row>
    <row r="5950" spans="23:23" x14ac:dyDescent="0.2">
      <c r="W5950" s="319"/>
    </row>
    <row r="5951" spans="23:23" x14ac:dyDescent="0.2">
      <c r="W5951" s="319"/>
    </row>
    <row r="5952" spans="23:23" x14ac:dyDescent="0.2">
      <c r="W5952" s="319"/>
    </row>
    <row r="5953" spans="23:23" x14ac:dyDescent="0.2">
      <c r="W5953" s="319"/>
    </row>
    <row r="5954" spans="23:23" x14ac:dyDescent="0.2">
      <c r="W5954" s="319"/>
    </row>
    <row r="5955" spans="23:23" x14ac:dyDescent="0.2">
      <c r="W5955" s="319"/>
    </row>
    <row r="5956" spans="23:23" x14ac:dyDescent="0.2">
      <c r="W5956" s="319"/>
    </row>
    <row r="5957" spans="23:23" x14ac:dyDescent="0.2">
      <c r="W5957" s="319"/>
    </row>
    <row r="5958" spans="23:23" x14ac:dyDescent="0.2">
      <c r="W5958" s="319"/>
    </row>
    <row r="5959" spans="23:23" x14ac:dyDescent="0.2">
      <c r="W5959" s="319"/>
    </row>
    <row r="5960" spans="23:23" x14ac:dyDescent="0.2">
      <c r="W5960" s="319"/>
    </row>
    <row r="5961" spans="23:23" x14ac:dyDescent="0.2">
      <c r="W5961" s="319"/>
    </row>
    <row r="5962" spans="23:23" x14ac:dyDescent="0.2">
      <c r="W5962" s="319"/>
    </row>
    <row r="5963" spans="23:23" x14ac:dyDescent="0.2">
      <c r="W5963" s="319"/>
    </row>
    <row r="5964" spans="23:23" x14ac:dyDescent="0.2">
      <c r="W5964" s="319"/>
    </row>
    <row r="5965" spans="23:23" x14ac:dyDescent="0.2">
      <c r="W5965" s="319"/>
    </row>
    <row r="5966" spans="23:23" x14ac:dyDescent="0.2">
      <c r="W5966" s="319"/>
    </row>
    <row r="5967" spans="23:23" x14ac:dyDescent="0.2">
      <c r="W5967" s="319"/>
    </row>
    <row r="5968" spans="23:23" x14ac:dyDescent="0.2">
      <c r="W5968" s="319"/>
    </row>
    <row r="5969" spans="23:23" x14ac:dyDescent="0.2">
      <c r="W5969" s="319"/>
    </row>
    <row r="5970" spans="23:23" x14ac:dyDescent="0.2">
      <c r="W5970" s="319"/>
    </row>
    <row r="5971" spans="23:23" x14ac:dyDescent="0.2">
      <c r="W5971" s="319"/>
    </row>
    <row r="5972" spans="23:23" x14ac:dyDescent="0.2">
      <c r="W5972" s="319"/>
    </row>
    <row r="5973" spans="23:23" x14ac:dyDescent="0.2">
      <c r="W5973" s="319"/>
    </row>
    <row r="5974" spans="23:23" x14ac:dyDescent="0.2">
      <c r="W5974" s="319"/>
    </row>
    <row r="5975" spans="23:23" x14ac:dyDescent="0.2">
      <c r="W5975" s="319"/>
    </row>
    <row r="5976" spans="23:23" x14ac:dyDescent="0.2">
      <c r="W5976" s="319"/>
    </row>
    <row r="5977" spans="23:23" x14ac:dyDescent="0.2">
      <c r="W5977" s="319"/>
    </row>
    <row r="5978" spans="23:23" x14ac:dyDescent="0.2">
      <c r="W5978" s="319"/>
    </row>
    <row r="5979" spans="23:23" x14ac:dyDescent="0.2">
      <c r="W5979" s="319"/>
    </row>
    <row r="5980" spans="23:23" x14ac:dyDescent="0.2">
      <c r="W5980" s="319"/>
    </row>
    <row r="5981" spans="23:23" x14ac:dyDescent="0.2">
      <c r="W5981" s="319"/>
    </row>
    <row r="5982" spans="23:23" x14ac:dyDescent="0.2">
      <c r="W5982" s="319"/>
    </row>
    <row r="5983" spans="23:23" x14ac:dyDescent="0.2">
      <c r="W5983" s="319"/>
    </row>
    <row r="5984" spans="23:23" x14ac:dyDescent="0.2">
      <c r="W5984" s="319"/>
    </row>
    <row r="5985" spans="23:23" x14ac:dyDescent="0.2">
      <c r="W5985" s="319"/>
    </row>
    <row r="5986" spans="23:23" x14ac:dyDescent="0.2">
      <c r="W5986" s="319"/>
    </row>
    <row r="5987" spans="23:23" x14ac:dyDescent="0.2">
      <c r="W5987" s="319"/>
    </row>
    <row r="5988" spans="23:23" x14ac:dyDescent="0.2">
      <c r="W5988" s="319"/>
    </row>
    <row r="5989" spans="23:23" x14ac:dyDescent="0.2">
      <c r="W5989" s="319"/>
    </row>
    <row r="5990" spans="23:23" x14ac:dyDescent="0.2">
      <c r="W5990" s="319"/>
    </row>
    <row r="5991" spans="23:23" x14ac:dyDescent="0.2">
      <c r="W5991" s="319"/>
    </row>
    <row r="5992" spans="23:23" x14ac:dyDescent="0.2">
      <c r="W5992" s="319"/>
    </row>
    <row r="5993" spans="23:23" x14ac:dyDescent="0.2">
      <c r="W5993" s="319"/>
    </row>
    <row r="5994" spans="23:23" x14ac:dyDescent="0.2">
      <c r="W5994" s="319"/>
    </row>
    <row r="5995" spans="23:23" x14ac:dyDescent="0.2">
      <c r="W5995" s="319"/>
    </row>
    <row r="5996" spans="23:23" x14ac:dyDescent="0.2">
      <c r="W5996" s="319"/>
    </row>
    <row r="5997" spans="23:23" x14ac:dyDescent="0.2">
      <c r="W5997" s="319"/>
    </row>
    <row r="5998" spans="23:23" x14ac:dyDescent="0.2">
      <c r="W5998" s="319"/>
    </row>
    <row r="5999" spans="23:23" x14ac:dyDescent="0.2">
      <c r="W5999" s="319"/>
    </row>
    <row r="6000" spans="23:23" x14ac:dyDescent="0.2">
      <c r="W6000" s="319"/>
    </row>
    <row r="6001" spans="23:23" x14ac:dyDescent="0.2">
      <c r="W6001" s="319"/>
    </row>
    <row r="6002" spans="23:23" x14ac:dyDescent="0.2">
      <c r="W6002" s="319"/>
    </row>
    <row r="6003" spans="23:23" x14ac:dyDescent="0.2">
      <c r="W6003" s="319"/>
    </row>
    <row r="6004" spans="23:23" x14ac:dyDescent="0.2">
      <c r="W6004" s="319"/>
    </row>
    <row r="6005" spans="23:23" x14ac:dyDescent="0.2">
      <c r="W6005" s="319"/>
    </row>
    <row r="6006" spans="23:23" x14ac:dyDescent="0.2">
      <c r="W6006" s="319"/>
    </row>
    <row r="6007" spans="23:23" x14ac:dyDescent="0.2">
      <c r="W6007" s="319"/>
    </row>
    <row r="6008" spans="23:23" x14ac:dyDescent="0.2">
      <c r="W6008" s="319"/>
    </row>
    <row r="6009" spans="23:23" x14ac:dyDescent="0.2">
      <c r="W6009" s="319"/>
    </row>
    <row r="6010" spans="23:23" x14ac:dyDescent="0.2">
      <c r="W6010" s="319"/>
    </row>
    <row r="6011" spans="23:23" x14ac:dyDescent="0.2">
      <c r="W6011" s="319"/>
    </row>
    <row r="6012" spans="23:23" x14ac:dyDescent="0.2">
      <c r="W6012" s="319"/>
    </row>
    <row r="6013" spans="23:23" x14ac:dyDescent="0.2">
      <c r="W6013" s="319"/>
    </row>
    <row r="6014" spans="23:23" x14ac:dyDescent="0.2">
      <c r="W6014" s="319"/>
    </row>
    <row r="6015" spans="23:23" x14ac:dyDescent="0.2">
      <c r="W6015" s="319"/>
    </row>
    <row r="6016" spans="23:23" x14ac:dyDescent="0.2">
      <c r="W6016" s="319"/>
    </row>
    <row r="6017" spans="23:23" x14ac:dyDescent="0.2">
      <c r="W6017" s="319"/>
    </row>
    <row r="6018" spans="23:23" x14ac:dyDescent="0.2">
      <c r="W6018" s="319"/>
    </row>
    <row r="6019" spans="23:23" x14ac:dyDescent="0.2">
      <c r="W6019" s="319"/>
    </row>
    <row r="6020" spans="23:23" x14ac:dyDescent="0.2">
      <c r="W6020" s="319"/>
    </row>
    <row r="6021" spans="23:23" x14ac:dyDescent="0.2">
      <c r="W6021" s="319"/>
    </row>
    <row r="6022" spans="23:23" x14ac:dyDescent="0.2">
      <c r="W6022" s="319"/>
    </row>
    <row r="6023" spans="23:23" x14ac:dyDescent="0.2">
      <c r="W6023" s="319"/>
    </row>
    <row r="6024" spans="23:23" x14ac:dyDescent="0.2">
      <c r="W6024" s="319"/>
    </row>
    <row r="6025" spans="23:23" x14ac:dyDescent="0.2">
      <c r="W6025" s="319"/>
    </row>
    <row r="6026" spans="23:23" x14ac:dyDescent="0.2">
      <c r="W6026" s="319"/>
    </row>
    <row r="6027" spans="23:23" x14ac:dyDescent="0.2">
      <c r="W6027" s="319"/>
    </row>
    <row r="6028" spans="23:23" x14ac:dyDescent="0.2">
      <c r="W6028" s="319"/>
    </row>
    <row r="6029" spans="23:23" x14ac:dyDescent="0.2">
      <c r="W6029" s="319"/>
    </row>
    <row r="6030" spans="23:23" x14ac:dyDescent="0.2">
      <c r="W6030" s="319"/>
    </row>
    <row r="6031" spans="23:23" x14ac:dyDescent="0.2">
      <c r="W6031" s="319"/>
    </row>
    <row r="6032" spans="23:23" x14ac:dyDescent="0.2">
      <c r="W6032" s="319"/>
    </row>
    <row r="6033" spans="23:23" x14ac:dyDescent="0.2">
      <c r="W6033" s="319"/>
    </row>
    <row r="6034" spans="23:23" x14ac:dyDescent="0.2">
      <c r="W6034" s="319"/>
    </row>
    <row r="6035" spans="23:23" x14ac:dyDescent="0.2">
      <c r="W6035" s="319"/>
    </row>
    <row r="6036" spans="23:23" x14ac:dyDescent="0.2">
      <c r="W6036" s="319"/>
    </row>
    <row r="6037" spans="23:23" x14ac:dyDescent="0.2">
      <c r="W6037" s="319"/>
    </row>
    <row r="6038" spans="23:23" x14ac:dyDescent="0.2">
      <c r="W6038" s="319"/>
    </row>
    <row r="6039" spans="23:23" x14ac:dyDescent="0.2">
      <c r="W6039" s="319"/>
    </row>
    <row r="6040" spans="23:23" x14ac:dyDescent="0.2">
      <c r="W6040" s="319"/>
    </row>
    <row r="6041" spans="23:23" x14ac:dyDescent="0.2">
      <c r="W6041" s="319"/>
    </row>
    <row r="6042" spans="23:23" x14ac:dyDescent="0.2">
      <c r="W6042" s="319"/>
    </row>
    <row r="6043" spans="23:23" x14ac:dyDescent="0.2">
      <c r="W6043" s="319"/>
    </row>
    <row r="6044" spans="23:23" x14ac:dyDescent="0.2">
      <c r="W6044" s="319"/>
    </row>
    <row r="6045" spans="23:23" x14ac:dyDescent="0.2">
      <c r="W6045" s="319"/>
    </row>
    <row r="6046" spans="23:23" x14ac:dyDescent="0.2">
      <c r="W6046" s="319"/>
    </row>
    <row r="6047" spans="23:23" x14ac:dyDescent="0.2">
      <c r="W6047" s="319"/>
    </row>
    <row r="6048" spans="23:23" x14ac:dyDescent="0.2">
      <c r="W6048" s="319"/>
    </row>
    <row r="6049" spans="23:23" x14ac:dyDescent="0.2">
      <c r="W6049" s="319"/>
    </row>
    <row r="6050" spans="23:23" x14ac:dyDescent="0.2">
      <c r="W6050" s="319"/>
    </row>
    <row r="6051" spans="23:23" x14ac:dyDescent="0.2">
      <c r="W6051" s="319"/>
    </row>
    <row r="6052" spans="23:23" x14ac:dyDescent="0.2">
      <c r="W6052" s="319"/>
    </row>
    <row r="6053" spans="23:23" x14ac:dyDescent="0.2">
      <c r="W6053" s="319"/>
    </row>
    <row r="6054" spans="23:23" x14ac:dyDescent="0.2">
      <c r="W6054" s="319"/>
    </row>
    <row r="6055" spans="23:23" x14ac:dyDescent="0.2">
      <c r="W6055" s="319"/>
    </row>
    <row r="6056" spans="23:23" x14ac:dyDescent="0.2">
      <c r="W6056" s="319"/>
    </row>
    <row r="6057" spans="23:23" x14ac:dyDescent="0.2">
      <c r="W6057" s="319"/>
    </row>
    <row r="6058" spans="23:23" x14ac:dyDescent="0.2">
      <c r="W6058" s="319"/>
    </row>
    <row r="6059" spans="23:23" x14ac:dyDescent="0.2">
      <c r="W6059" s="319"/>
    </row>
    <row r="6060" spans="23:23" x14ac:dyDescent="0.2">
      <c r="W6060" s="319"/>
    </row>
    <row r="6061" spans="23:23" x14ac:dyDescent="0.2">
      <c r="W6061" s="319"/>
    </row>
    <row r="6062" spans="23:23" x14ac:dyDescent="0.2">
      <c r="W6062" s="319"/>
    </row>
    <row r="6063" spans="23:23" x14ac:dyDescent="0.2">
      <c r="W6063" s="319"/>
    </row>
    <row r="6064" spans="23:23" x14ac:dyDescent="0.2">
      <c r="W6064" s="319"/>
    </row>
    <row r="6065" spans="23:23" x14ac:dyDescent="0.2">
      <c r="W6065" s="319"/>
    </row>
    <row r="6066" spans="23:23" x14ac:dyDescent="0.2">
      <c r="W6066" s="319"/>
    </row>
    <row r="6067" spans="23:23" x14ac:dyDescent="0.2">
      <c r="W6067" s="319"/>
    </row>
    <row r="6068" spans="23:23" x14ac:dyDescent="0.2">
      <c r="W6068" s="319"/>
    </row>
    <row r="6069" spans="23:23" x14ac:dyDescent="0.2">
      <c r="W6069" s="319"/>
    </row>
    <row r="6070" spans="23:23" x14ac:dyDescent="0.2">
      <c r="W6070" s="319"/>
    </row>
    <row r="6071" spans="23:23" x14ac:dyDescent="0.2">
      <c r="W6071" s="319"/>
    </row>
    <row r="6072" spans="23:23" x14ac:dyDescent="0.2">
      <c r="W6072" s="319"/>
    </row>
    <row r="6073" spans="23:23" x14ac:dyDescent="0.2">
      <c r="W6073" s="319"/>
    </row>
    <row r="6074" spans="23:23" x14ac:dyDescent="0.2">
      <c r="W6074" s="319"/>
    </row>
    <row r="6075" spans="23:23" x14ac:dyDescent="0.2">
      <c r="W6075" s="319"/>
    </row>
    <row r="6076" spans="23:23" x14ac:dyDescent="0.2">
      <c r="W6076" s="319"/>
    </row>
    <row r="6077" spans="23:23" x14ac:dyDescent="0.2">
      <c r="W6077" s="319"/>
    </row>
    <row r="6078" spans="23:23" x14ac:dyDescent="0.2">
      <c r="W6078" s="319"/>
    </row>
    <row r="6079" spans="23:23" x14ac:dyDescent="0.2">
      <c r="W6079" s="319"/>
    </row>
    <row r="6080" spans="23:23" x14ac:dyDescent="0.2">
      <c r="W6080" s="319"/>
    </row>
    <row r="6081" spans="23:23" x14ac:dyDescent="0.2">
      <c r="W6081" s="319"/>
    </row>
    <row r="6082" spans="23:23" x14ac:dyDescent="0.2">
      <c r="W6082" s="319"/>
    </row>
    <row r="6083" spans="23:23" x14ac:dyDescent="0.2">
      <c r="W6083" s="319"/>
    </row>
    <row r="6084" spans="23:23" x14ac:dyDescent="0.2">
      <c r="W6084" s="319"/>
    </row>
    <row r="6085" spans="23:23" x14ac:dyDescent="0.2">
      <c r="W6085" s="319"/>
    </row>
    <row r="6086" spans="23:23" x14ac:dyDescent="0.2">
      <c r="W6086" s="319"/>
    </row>
    <row r="6087" spans="23:23" x14ac:dyDescent="0.2">
      <c r="W6087" s="319"/>
    </row>
    <row r="6088" spans="23:23" x14ac:dyDescent="0.2">
      <c r="W6088" s="319"/>
    </row>
    <row r="6089" spans="23:23" x14ac:dyDescent="0.2">
      <c r="W6089" s="319"/>
    </row>
    <row r="6090" spans="23:23" x14ac:dyDescent="0.2">
      <c r="W6090" s="319"/>
    </row>
    <row r="6091" spans="23:23" x14ac:dyDescent="0.2">
      <c r="W6091" s="319"/>
    </row>
    <row r="6092" spans="23:23" x14ac:dyDescent="0.2">
      <c r="W6092" s="319"/>
    </row>
    <row r="6093" spans="23:23" x14ac:dyDescent="0.2">
      <c r="W6093" s="319"/>
    </row>
    <row r="6094" spans="23:23" x14ac:dyDescent="0.2">
      <c r="W6094" s="319"/>
    </row>
    <row r="6095" spans="23:23" x14ac:dyDescent="0.2">
      <c r="W6095" s="319"/>
    </row>
    <row r="6096" spans="23:23" x14ac:dyDescent="0.2">
      <c r="W6096" s="319"/>
    </row>
    <row r="6097" spans="23:23" x14ac:dyDescent="0.2">
      <c r="W6097" s="319"/>
    </row>
    <row r="6098" spans="23:23" x14ac:dyDescent="0.2">
      <c r="W6098" s="319"/>
    </row>
    <row r="6099" spans="23:23" x14ac:dyDescent="0.2">
      <c r="W6099" s="319"/>
    </row>
    <row r="6100" spans="23:23" x14ac:dyDescent="0.2">
      <c r="W6100" s="319"/>
    </row>
    <row r="6101" spans="23:23" x14ac:dyDescent="0.2">
      <c r="W6101" s="319"/>
    </row>
    <row r="6102" spans="23:23" x14ac:dyDescent="0.2">
      <c r="W6102" s="319"/>
    </row>
    <row r="6103" spans="23:23" x14ac:dyDescent="0.2">
      <c r="W6103" s="319"/>
    </row>
    <row r="6104" spans="23:23" x14ac:dyDescent="0.2">
      <c r="W6104" s="319"/>
    </row>
    <row r="6105" spans="23:23" x14ac:dyDescent="0.2">
      <c r="W6105" s="319"/>
    </row>
    <row r="6106" spans="23:23" x14ac:dyDescent="0.2">
      <c r="W6106" s="319"/>
    </row>
    <row r="6107" spans="23:23" x14ac:dyDescent="0.2">
      <c r="W6107" s="319"/>
    </row>
    <row r="6108" spans="23:23" x14ac:dyDescent="0.2">
      <c r="W6108" s="319"/>
    </row>
    <row r="6109" spans="23:23" x14ac:dyDescent="0.2">
      <c r="W6109" s="319"/>
    </row>
    <row r="6110" spans="23:23" x14ac:dyDescent="0.2">
      <c r="W6110" s="319"/>
    </row>
    <row r="6111" spans="23:23" x14ac:dyDescent="0.2">
      <c r="W6111" s="319"/>
    </row>
    <row r="6112" spans="23:23" x14ac:dyDescent="0.2">
      <c r="W6112" s="319"/>
    </row>
    <row r="6113" spans="23:23" x14ac:dyDescent="0.2">
      <c r="W6113" s="319"/>
    </row>
    <row r="6114" spans="23:23" x14ac:dyDescent="0.2">
      <c r="W6114" s="319"/>
    </row>
    <row r="6115" spans="23:23" x14ac:dyDescent="0.2">
      <c r="W6115" s="319"/>
    </row>
    <row r="6116" spans="23:23" x14ac:dyDescent="0.2">
      <c r="W6116" s="319"/>
    </row>
    <row r="6117" spans="23:23" x14ac:dyDescent="0.2">
      <c r="W6117" s="319"/>
    </row>
    <row r="6118" spans="23:23" x14ac:dyDescent="0.2">
      <c r="W6118" s="319"/>
    </row>
    <row r="6119" spans="23:23" x14ac:dyDescent="0.2">
      <c r="W6119" s="319"/>
    </row>
    <row r="6120" spans="23:23" x14ac:dyDescent="0.2">
      <c r="W6120" s="319"/>
    </row>
    <row r="6121" spans="23:23" x14ac:dyDescent="0.2">
      <c r="W6121" s="319"/>
    </row>
    <row r="6122" spans="23:23" x14ac:dyDescent="0.2">
      <c r="W6122" s="319"/>
    </row>
    <row r="6123" spans="23:23" x14ac:dyDescent="0.2">
      <c r="W6123" s="319"/>
    </row>
    <row r="6124" spans="23:23" x14ac:dyDescent="0.2">
      <c r="W6124" s="319"/>
    </row>
    <row r="6125" spans="23:23" x14ac:dyDescent="0.2">
      <c r="W6125" s="319"/>
    </row>
    <row r="6126" spans="23:23" x14ac:dyDescent="0.2">
      <c r="W6126" s="319"/>
    </row>
    <row r="6127" spans="23:23" x14ac:dyDescent="0.2">
      <c r="W6127" s="319"/>
    </row>
    <row r="6128" spans="23:23" x14ac:dyDescent="0.2">
      <c r="W6128" s="319"/>
    </row>
    <row r="6129" spans="23:23" x14ac:dyDescent="0.2">
      <c r="W6129" s="319"/>
    </row>
    <row r="6130" spans="23:23" x14ac:dyDescent="0.2">
      <c r="W6130" s="319"/>
    </row>
    <row r="6131" spans="23:23" x14ac:dyDescent="0.2">
      <c r="W6131" s="319"/>
    </row>
    <row r="6132" spans="23:23" x14ac:dyDescent="0.2">
      <c r="W6132" s="319"/>
    </row>
    <row r="6133" spans="23:23" x14ac:dyDescent="0.2">
      <c r="W6133" s="319"/>
    </row>
    <row r="6134" spans="23:23" x14ac:dyDescent="0.2">
      <c r="W6134" s="319"/>
    </row>
    <row r="6135" spans="23:23" x14ac:dyDescent="0.2">
      <c r="W6135" s="319"/>
    </row>
    <row r="6136" spans="23:23" x14ac:dyDescent="0.2">
      <c r="W6136" s="319"/>
    </row>
    <row r="6137" spans="23:23" x14ac:dyDescent="0.2">
      <c r="W6137" s="319"/>
    </row>
    <row r="6138" spans="23:23" x14ac:dyDescent="0.2">
      <c r="W6138" s="319"/>
    </row>
    <row r="6139" spans="23:23" x14ac:dyDescent="0.2">
      <c r="W6139" s="319"/>
    </row>
    <row r="6140" spans="23:23" x14ac:dyDescent="0.2">
      <c r="W6140" s="319"/>
    </row>
    <row r="6141" spans="23:23" x14ac:dyDescent="0.2">
      <c r="W6141" s="319"/>
    </row>
    <row r="6142" spans="23:23" x14ac:dyDescent="0.2">
      <c r="W6142" s="319"/>
    </row>
    <row r="6143" spans="23:23" x14ac:dyDescent="0.2">
      <c r="W6143" s="319"/>
    </row>
    <row r="6144" spans="23:23" x14ac:dyDescent="0.2">
      <c r="W6144" s="319"/>
    </row>
    <row r="6145" spans="23:23" x14ac:dyDescent="0.2">
      <c r="W6145" s="319"/>
    </row>
    <row r="6146" spans="23:23" x14ac:dyDescent="0.2">
      <c r="W6146" s="319"/>
    </row>
    <row r="6147" spans="23:23" x14ac:dyDescent="0.2">
      <c r="W6147" s="319"/>
    </row>
    <row r="6148" spans="23:23" x14ac:dyDescent="0.2">
      <c r="W6148" s="319"/>
    </row>
    <row r="6149" spans="23:23" x14ac:dyDescent="0.2">
      <c r="W6149" s="319"/>
    </row>
    <row r="6150" spans="23:23" x14ac:dyDescent="0.2">
      <c r="W6150" s="319"/>
    </row>
    <row r="6151" spans="23:23" x14ac:dyDescent="0.2">
      <c r="W6151" s="319"/>
    </row>
    <row r="6152" spans="23:23" x14ac:dyDescent="0.2">
      <c r="W6152" s="319"/>
    </row>
    <row r="6153" spans="23:23" x14ac:dyDescent="0.2">
      <c r="W6153" s="319"/>
    </row>
    <row r="6154" spans="23:23" x14ac:dyDescent="0.2">
      <c r="W6154" s="319"/>
    </row>
    <row r="6155" spans="23:23" x14ac:dyDescent="0.2">
      <c r="W6155" s="319"/>
    </row>
    <row r="6156" spans="23:23" x14ac:dyDescent="0.2">
      <c r="W6156" s="319"/>
    </row>
    <row r="6157" spans="23:23" x14ac:dyDescent="0.2">
      <c r="W6157" s="319"/>
    </row>
    <row r="6158" spans="23:23" x14ac:dyDescent="0.2">
      <c r="W6158" s="319"/>
    </row>
    <row r="6159" spans="23:23" x14ac:dyDescent="0.2">
      <c r="W6159" s="319"/>
    </row>
    <row r="6160" spans="23:23" x14ac:dyDescent="0.2">
      <c r="W6160" s="319"/>
    </row>
    <row r="6161" spans="23:23" x14ac:dyDescent="0.2">
      <c r="W6161" s="319"/>
    </row>
    <row r="6162" spans="23:23" x14ac:dyDescent="0.2">
      <c r="W6162" s="319"/>
    </row>
    <row r="6163" spans="23:23" x14ac:dyDescent="0.2">
      <c r="W6163" s="319"/>
    </row>
    <row r="6164" spans="23:23" x14ac:dyDescent="0.2">
      <c r="W6164" s="319"/>
    </row>
    <row r="6165" spans="23:23" x14ac:dyDescent="0.2">
      <c r="W6165" s="319"/>
    </row>
    <row r="6166" spans="23:23" x14ac:dyDescent="0.2">
      <c r="W6166" s="319"/>
    </row>
    <row r="6167" spans="23:23" x14ac:dyDescent="0.2">
      <c r="W6167" s="319"/>
    </row>
    <row r="6168" spans="23:23" x14ac:dyDescent="0.2">
      <c r="W6168" s="319"/>
    </row>
    <row r="6169" spans="23:23" x14ac:dyDescent="0.2">
      <c r="W6169" s="319"/>
    </row>
    <row r="6170" spans="23:23" x14ac:dyDescent="0.2">
      <c r="W6170" s="319"/>
    </row>
    <row r="6171" spans="23:23" x14ac:dyDescent="0.2">
      <c r="W6171" s="319"/>
    </row>
    <row r="6172" spans="23:23" x14ac:dyDescent="0.2">
      <c r="W6172" s="319"/>
    </row>
    <row r="6173" spans="23:23" x14ac:dyDescent="0.2">
      <c r="W6173" s="319"/>
    </row>
    <row r="6174" spans="23:23" x14ac:dyDescent="0.2">
      <c r="W6174" s="319"/>
    </row>
    <row r="6175" spans="23:23" x14ac:dyDescent="0.2">
      <c r="W6175" s="319"/>
    </row>
    <row r="6176" spans="23:23" x14ac:dyDescent="0.2">
      <c r="W6176" s="319"/>
    </row>
    <row r="6177" spans="23:23" x14ac:dyDescent="0.2">
      <c r="W6177" s="319"/>
    </row>
    <row r="6178" spans="23:23" x14ac:dyDescent="0.2">
      <c r="W6178" s="319"/>
    </row>
    <row r="6179" spans="23:23" x14ac:dyDescent="0.2">
      <c r="W6179" s="319"/>
    </row>
    <row r="6180" spans="23:23" x14ac:dyDescent="0.2">
      <c r="W6180" s="319"/>
    </row>
    <row r="6181" spans="23:23" x14ac:dyDescent="0.2">
      <c r="W6181" s="319"/>
    </row>
    <row r="6182" spans="23:23" x14ac:dyDescent="0.2">
      <c r="W6182" s="319"/>
    </row>
    <row r="6183" spans="23:23" x14ac:dyDescent="0.2">
      <c r="W6183" s="319"/>
    </row>
    <row r="6184" spans="23:23" x14ac:dyDescent="0.2">
      <c r="W6184" s="319"/>
    </row>
    <row r="6185" spans="23:23" x14ac:dyDescent="0.2">
      <c r="W6185" s="319"/>
    </row>
    <row r="6186" spans="23:23" x14ac:dyDescent="0.2">
      <c r="W6186" s="319"/>
    </row>
    <row r="6187" spans="23:23" x14ac:dyDescent="0.2">
      <c r="W6187" s="319"/>
    </row>
    <row r="6188" spans="23:23" x14ac:dyDescent="0.2">
      <c r="W6188" s="319"/>
    </row>
    <row r="6189" spans="23:23" x14ac:dyDescent="0.2">
      <c r="W6189" s="319"/>
    </row>
    <row r="6190" spans="23:23" x14ac:dyDescent="0.2">
      <c r="W6190" s="319"/>
    </row>
    <row r="6191" spans="23:23" x14ac:dyDescent="0.2">
      <c r="W6191" s="319"/>
    </row>
    <row r="6192" spans="23:23" x14ac:dyDescent="0.2">
      <c r="W6192" s="319"/>
    </row>
    <row r="6193" spans="23:23" x14ac:dyDescent="0.2">
      <c r="W6193" s="319"/>
    </row>
    <row r="6194" spans="23:23" x14ac:dyDescent="0.2">
      <c r="W6194" s="319"/>
    </row>
    <row r="6195" spans="23:23" x14ac:dyDescent="0.2">
      <c r="W6195" s="319"/>
    </row>
    <row r="6196" spans="23:23" x14ac:dyDescent="0.2">
      <c r="W6196" s="319"/>
    </row>
    <row r="6197" spans="23:23" x14ac:dyDescent="0.2">
      <c r="W6197" s="319"/>
    </row>
    <row r="6198" spans="23:23" x14ac:dyDescent="0.2">
      <c r="W6198" s="319"/>
    </row>
    <row r="6199" spans="23:23" x14ac:dyDescent="0.2">
      <c r="W6199" s="319"/>
    </row>
    <row r="6200" spans="23:23" x14ac:dyDescent="0.2">
      <c r="W6200" s="319"/>
    </row>
    <row r="6201" spans="23:23" x14ac:dyDescent="0.2">
      <c r="W6201" s="319"/>
    </row>
    <row r="6202" spans="23:23" x14ac:dyDescent="0.2">
      <c r="W6202" s="319"/>
    </row>
    <row r="6203" spans="23:23" x14ac:dyDescent="0.2">
      <c r="W6203" s="319"/>
    </row>
    <row r="6204" spans="23:23" x14ac:dyDescent="0.2">
      <c r="W6204" s="319"/>
    </row>
    <row r="6205" spans="23:23" x14ac:dyDescent="0.2">
      <c r="W6205" s="319"/>
    </row>
    <row r="6206" spans="23:23" x14ac:dyDescent="0.2">
      <c r="W6206" s="319"/>
    </row>
    <row r="6207" spans="23:23" x14ac:dyDescent="0.2">
      <c r="W6207" s="319"/>
    </row>
    <row r="6208" spans="23:23" x14ac:dyDescent="0.2">
      <c r="W6208" s="319"/>
    </row>
    <row r="6209" spans="23:23" x14ac:dyDescent="0.2">
      <c r="W6209" s="319"/>
    </row>
    <row r="6210" spans="23:23" x14ac:dyDescent="0.2">
      <c r="W6210" s="319"/>
    </row>
    <row r="6211" spans="23:23" x14ac:dyDescent="0.2">
      <c r="W6211" s="319"/>
    </row>
    <row r="6212" spans="23:23" x14ac:dyDescent="0.2">
      <c r="W6212" s="319"/>
    </row>
    <row r="6213" spans="23:23" x14ac:dyDescent="0.2">
      <c r="W6213" s="319"/>
    </row>
    <row r="6214" spans="23:23" x14ac:dyDescent="0.2">
      <c r="W6214" s="319"/>
    </row>
    <row r="6215" spans="23:23" x14ac:dyDescent="0.2">
      <c r="W6215" s="319"/>
    </row>
    <row r="6216" spans="23:23" x14ac:dyDescent="0.2">
      <c r="W6216" s="319"/>
    </row>
    <row r="6217" spans="23:23" x14ac:dyDescent="0.2">
      <c r="W6217" s="319"/>
    </row>
    <row r="6218" spans="23:23" x14ac:dyDescent="0.2">
      <c r="W6218" s="319"/>
    </row>
    <row r="6219" spans="23:23" x14ac:dyDescent="0.2">
      <c r="W6219" s="319"/>
    </row>
    <row r="6220" spans="23:23" x14ac:dyDescent="0.2">
      <c r="W6220" s="319"/>
    </row>
    <row r="6221" spans="23:23" x14ac:dyDescent="0.2">
      <c r="W6221" s="319"/>
    </row>
    <row r="6222" spans="23:23" x14ac:dyDescent="0.2">
      <c r="W6222" s="319"/>
    </row>
    <row r="6223" spans="23:23" x14ac:dyDescent="0.2">
      <c r="W6223" s="319"/>
    </row>
    <row r="6224" spans="23:23" x14ac:dyDescent="0.2">
      <c r="W6224" s="319"/>
    </row>
    <row r="6225" spans="23:23" x14ac:dyDescent="0.2">
      <c r="W6225" s="319"/>
    </row>
    <row r="6226" spans="23:23" x14ac:dyDescent="0.2">
      <c r="W6226" s="319"/>
    </row>
    <row r="6227" spans="23:23" x14ac:dyDescent="0.2">
      <c r="W6227" s="319"/>
    </row>
    <row r="6228" spans="23:23" x14ac:dyDescent="0.2">
      <c r="W6228" s="319"/>
    </row>
    <row r="6229" spans="23:23" x14ac:dyDescent="0.2">
      <c r="W6229" s="319"/>
    </row>
    <row r="6230" spans="23:23" x14ac:dyDescent="0.2">
      <c r="W6230" s="319"/>
    </row>
    <row r="6231" spans="23:23" x14ac:dyDescent="0.2">
      <c r="W6231" s="319"/>
    </row>
    <row r="6232" spans="23:23" x14ac:dyDescent="0.2">
      <c r="W6232" s="319"/>
    </row>
    <row r="6233" spans="23:23" x14ac:dyDescent="0.2">
      <c r="W6233" s="319"/>
    </row>
    <row r="6234" spans="23:23" x14ac:dyDescent="0.2">
      <c r="W6234" s="319"/>
    </row>
    <row r="6235" spans="23:23" x14ac:dyDescent="0.2">
      <c r="W6235" s="319"/>
    </row>
    <row r="6236" spans="23:23" x14ac:dyDescent="0.2">
      <c r="W6236" s="319"/>
    </row>
    <row r="6237" spans="23:23" x14ac:dyDescent="0.2">
      <c r="W6237" s="319"/>
    </row>
    <row r="6238" spans="23:23" x14ac:dyDescent="0.2">
      <c r="W6238" s="319"/>
    </row>
    <row r="6239" spans="23:23" x14ac:dyDescent="0.2">
      <c r="W6239" s="319"/>
    </row>
    <row r="6240" spans="23:23" x14ac:dyDescent="0.2">
      <c r="W6240" s="319"/>
    </row>
    <row r="6241" spans="23:23" x14ac:dyDescent="0.2">
      <c r="W6241" s="319"/>
    </row>
    <row r="6242" spans="23:23" x14ac:dyDescent="0.2">
      <c r="W6242" s="319"/>
    </row>
    <row r="6243" spans="23:23" x14ac:dyDescent="0.2">
      <c r="W6243" s="319"/>
    </row>
    <row r="6244" spans="23:23" x14ac:dyDescent="0.2">
      <c r="W6244" s="319"/>
    </row>
    <row r="6245" spans="23:23" x14ac:dyDescent="0.2">
      <c r="W6245" s="319"/>
    </row>
    <row r="6246" spans="23:23" x14ac:dyDescent="0.2">
      <c r="W6246" s="319"/>
    </row>
    <row r="6247" spans="23:23" x14ac:dyDescent="0.2">
      <c r="W6247" s="319"/>
    </row>
    <row r="6248" spans="23:23" x14ac:dyDescent="0.2">
      <c r="W6248" s="319"/>
    </row>
    <row r="6249" spans="23:23" x14ac:dyDescent="0.2">
      <c r="W6249" s="319"/>
    </row>
    <row r="6250" spans="23:23" x14ac:dyDescent="0.2">
      <c r="W6250" s="319"/>
    </row>
    <row r="6251" spans="23:23" x14ac:dyDescent="0.2">
      <c r="W6251" s="319"/>
    </row>
    <row r="6252" spans="23:23" x14ac:dyDescent="0.2">
      <c r="W6252" s="319"/>
    </row>
    <row r="6253" spans="23:23" x14ac:dyDescent="0.2">
      <c r="W6253" s="319"/>
    </row>
    <row r="6254" spans="23:23" x14ac:dyDescent="0.2">
      <c r="W6254" s="319"/>
    </row>
    <row r="6255" spans="23:23" x14ac:dyDescent="0.2">
      <c r="W6255" s="319"/>
    </row>
    <row r="6256" spans="23:23" x14ac:dyDescent="0.2">
      <c r="W6256" s="319"/>
    </row>
    <row r="6257" spans="23:23" x14ac:dyDescent="0.2">
      <c r="W6257" s="319"/>
    </row>
    <row r="6258" spans="23:23" x14ac:dyDescent="0.2">
      <c r="W6258" s="319"/>
    </row>
    <row r="6259" spans="23:23" x14ac:dyDescent="0.2">
      <c r="W6259" s="319"/>
    </row>
    <row r="6260" spans="23:23" x14ac:dyDescent="0.2">
      <c r="W6260" s="319"/>
    </row>
    <row r="6261" spans="23:23" x14ac:dyDescent="0.2">
      <c r="W6261" s="319"/>
    </row>
    <row r="6262" spans="23:23" x14ac:dyDescent="0.2">
      <c r="W6262" s="319"/>
    </row>
    <row r="6263" spans="23:23" x14ac:dyDescent="0.2">
      <c r="W6263" s="319"/>
    </row>
    <row r="6264" spans="23:23" x14ac:dyDescent="0.2">
      <c r="W6264" s="319"/>
    </row>
    <row r="6265" spans="23:23" x14ac:dyDescent="0.2">
      <c r="W6265" s="319"/>
    </row>
    <row r="6266" spans="23:23" x14ac:dyDescent="0.2">
      <c r="W6266" s="319"/>
    </row>
    <row r="6267" spans="23:23" x14ac:dyDescent="0.2">
      <c r="W6267" s="319"/>
    </row>
    <row r="6268" spans="23:23" x14ac:dyDescent="0.2">
      <c r="W6268" s="319"/>
    </row>
    <row r="6269" spans="23:23" x14ac:dyDescent="0.2">
      <c r="W6269" s="319"/>
    </row>
    <row r="6270" spans="23:23" x14ac:dyDescent="0.2">
      <c r="W6270" s="319"/>
    </row>
    <row r="6271" spans="23:23" x14ac:dyDescent="0.2">
      <c r="W6271" s="319"/>
    </row>
    <row r="6272" spans="23:23" x14ac:dyDescent="0.2">
      <c r="W6272" s="319"/>
    </row>
    <row r="6273" spans="23:23" x14ac:dyDescent="0.2">
      <c r="W6273" s="319"/>
    </row>
    <row r="6274" spans="23:23" x14ac:dyDescent="0.2">
      <c r="W6274" s="319"/>
    </row>
    <row r="6275" spans="23:23" x14ac:dyDescent="0.2">
      <c r="W6275" s="319"/>
    </row>
    <row r="6276" spans="23:23" x14ac:dyDescent="0.2">
      <c r="W6276" s="319"/>
    </row>
    <row r="6277" spans="23:23" x14ac:dyDescent="0.2">
      <c r="W6277" s="319"/>
    </row>
    <row r="6278" spans="23:23" x14ac:dyDescent="0.2">
      <c r="W6278" s="319"/>
    </row>
    <row r="6279" spans="23:23" x14ac:dyDescent="0.2">
      <c r="W6279" s="319"/>
    </row>
    <row r="6280" spans="23:23" x14ac:dyDescent="0.2">
      <c r="W6280" s="319"/>
    </row>
    <row r="6281" spans="23:23" x14ac:dyDescent="0.2">
      <c r="W6281" s="319"/>
    </row>
    <row r="6282" spans="23:23" x14ac:dyDescent="0.2">
      <c r="W6282" s="319"/>
    </row>
    <row r="6283" spans="23:23" x14ac:dyDescent="0.2">
      <c r="W6283" s="319"/>
    </row>
    <row r="6284" spans="23:23" x14ac:dyDescent="0.2">
      <c r="W6284" s="319"/>
    </row>
    <row r="6285" spans="23:23" x14ac:dyDescent="0.2">
      <c r="W6285" s="319"/>
    </row>
    <row r="6286" spans="23:23" x14ac:dyDescent="0.2">
      <c r="W6286" s="319"/>
    </row>
    <row r="6287" spans="23:23" x14ac:dyDescent="0.2">
      <c r="W6287" s="319"/>
    </row>
    <row r="6288" spans="23:23" x14ac:dyDescent="0.2">
      <c r="W6288" s="319"/>
    </row>
    <row r="6289" spans="23:23" x14ac:dyDescent="0.2">
      <c r="W6289" s="319"/>
    </row>
    <row r="6290" spans="23:23" x14ac:dyDescent="0.2">
      <c r="W6290" s="319"/>
    </row>
    <row r="6291" spans="23:23" x14ac:dyDescent="0.2">
      <c r="W6291" s="319"/>
    </row>
    <row r="6292" spans="23:23" x14ac:dyDescent="0.2">
      <c r="W6292" s="319"/>
    </row>
    <row r="6293" spans="23:23" x14ac:dyDescent="0.2">
      <c r="W6293" s="319"/>
    </row>
    <row r="6294" spans="23:23" x14ac:dyDescent="0.2">
      <c r="W6294" s="319"/>
    </row>
    <row r="6295" spans="23:23" x14ac:dyDescent="0.2">
      <c r="W6295" s="319"/>
    </row>
    <row r="6296" spans="23:23" x14ac:dyDescent="0.2">
      <c r="W6296" s="319"/>
    </row>
    <row r="6297" spans="23:23" x14ac:dyDescent="0.2">
      <c r="W6297" s="319"/>
    </row>
    <row r="6298" spans="23:23" x14ac:dyDescent="0.2">
      <c r="W6298" s="319"/>
    </row>
    <row r="6299" spans="23:23" x14ac:dyDescent="0.2">
      <c r="W6299" s="319"/>
    </row>
    <row r="6300" spans="23:23" x14ac:dyDescent="0.2">
      <c r="W6300" s="319"/>
    </row>
    <row r="6301" spans="23:23" x14ac:dyDescent="0.2">
      <c r="W6301" s="319"/>
    </row>
    <row r="6302" spans="23:23" x14ac:dyDescent="0.2">
      <c r="W6302" s="319"/>
    </row>
    <row r="6303" spans="23:23" x14ac:dyDescent="0.2">
      <c r="W6303" s="319"/>
    </row>
    <row r="6304" spans="23:23" x14ac:dyDescent="0.2">
      <c r="W6304" s="319"/>
    </row>
    <row r="6305" spans="23:23" x14ac:dyDescent="0.2">
      <c r="W6305" s="319"/>
    </row>
    <row r="6306" spans="23:23" x14ac:dyDescent="0.2">
      <c r="W6306" s="319"/>
    </row>
    <row r="6307" spans="23:23" x14ac:dyDescent="0.2">
      <c r="W6307" s="319"/>
    </row>
    <row r="6308" spans="23:23" x14ac:dyDescent="0.2">
      <c r="W6308" s="319"/>
    </row>
    <row r="6309" spans="23:23" x14ac:dyDescent="0.2">
      <c r="W6309" s="319"/>
    </row>
    <row r="6310" spans="23:23" x14ac:dyDescent="0.2">
      <c r="W6310" s="319"/>
    </row>
    <row r="6311" spans="23:23" x14ac:dyDescent="0.2">
      <c r="W6311" s="319"/>
    </row>
    <row r="6312" spans="23:23" x14ac:dyDescent="0.2">
      <c r="W6312" s="319"/>
    </row>
    <row r="6313" spans="23:23" x14ac:dyDescent="0.2">
      <c r="W6313" s="319"/>
    </row>
    <row r="6314" spans="23:23" x14ac:dyDescent="0.2">
      <c r="W6314" s="319"/>
    </row>
    <row r="6315" spans="23:23" x14ac:dyDescent="0.2">
      <c r="W6315" s="319"/>
    </row>
    <row r="6316" spans="23:23" x14ac:dyDescent="0.2">
      <c r="W6316" s="319"/>
    </row>
    <row r="6317" spans="23:23" x14ac:dyDescent="0.2">
      <c r="W6317" s="319"/>
    </row>
    <row r="6318" spans="23:23" x14ac:dyDescent="0.2">
      <c r="W6318" s="319"/>
    </row>
    <row r="6319" spans="23:23" x14ac:dyDescent="0.2">
      <c r="W6319" s="319"/>
    </row>
    <row r="6320" spans="23:23" x14ac:dyDescent="0.2">
      <c r="W6320" s="319"/>
    </row>
    <row r="6321" spans="23:23" x14ac:dyDescent="0.2">
      <c r="W6321" s="319"/>
    </row>
    <row r="6322" spans="23:23" x14ac:dyDescent="0.2">
      <c r="W6322" s="319"/>
    </row>
    <row r="6323" spans="23:23" x14ac:dyDescent="0.2">
      <c r="W6323" s="319"/>
    </row>
    <row r="6324" spans="23:23" x14ac:dyDescent="0.2">
      <c r="W6324" s="319"/>
    </row>
    <row r="6325" spans="23:23" x14ac:dyDescent="0.2">
      <c r="W6325" s="319"/>
    </row>
    <row r="6326" spans="23:23" x14ac:dyDescent="0.2">
      <c r="W6326" s="319"/>
    </row>
    <row r="6327" spans="23:23" x14ac:dyDescent="0.2">
      <c r="W6327" s="319"/>
    </row>
    <row r="6328" spans="23:23" x14ac:dyDescent="0.2">
      <c r="W6328" s="319"/>
    </row>
    <row r="6329" spans="23:23" x14ac:dyDescent="0.2">
      <c r="W6329" s="319"/>
    </row>
    <row r="6330" spans="23:23" x14ac:dyDescent="0.2">
      <c r="W6330" s="319"/>
    </row>
    <row r="6331" spans="23:23" x14ac:dyDescent="0.2">
      <c r="W6331" s="319"/>
    </row>
    <row r="6332" spans="23:23" x14ac:dyDescent="0.2">
      <c r="W6332" s="319"/>
    </row>
    <row r="6333" spans="23:23" x14ac:dyDescent="0.2">
      <c r="W6333" s="319"/>
    </row>
    <row r="6334" spans="23:23" x14ac:dyDescent="0.2">
      <c r="W6334" s="319"/>
    </row>
    <row r="6335" spans="23:23" x14ac:dyDescent="0.2">
      <c r="W6335" s="319"/>
    </row>
    <row r="6336" spans="23:23" x14ac:dyDescent="0.2">
      <c r="W6336" s="319"/>
    </row>
    <row r="6337" spans="23:23" x14ac:dyDescent="0.2">
      <c r="W6337" s="319"/>
    </row>
    <row r="6338" spans="23:23" x14ac:dyDescent="0.2">
      <c r="W6338" s="319"/>
    </row>
    <row r="6339" spans="23:23" x14ac:dyDescent="0.2">
      <c r="W6339" s="319"/>
    </row>
    <row r="6340" spans="23:23" x14ac:dyDescent="0.2">
      <c r="W6340" s="319"/>
    </row>
    <row r="6341" spans="23:23" x14ac:dyDescent="0.2">
      <c r="W6341" s="319"/>
    </row>
    <row r="6342" spans="23:23" x14ac:dyDescent="0.2">
      <c r="W6342" s="319"/>
    </row>
    <row r="6343" spans="23:23" x14ac:dyDescent="0.2">
      <c r="W6343" s="319"/>
    </row>
    <row r="6344" spans="23:23" x14ac:dyDescent="0.2">
      <c r="W6344" s="319"/>
    </row>
    <row r="6345" spans="23:23" x14ac:dyDescent="0.2">
      <c r="W6345" s="319"/>
    </row>
    <row r="6346" spans="23:23" x14ac:dyDescent="0.2">
      <c r="W6346" s="319"/>
    </row>
    <row r="6347" spans="23:23" x14ac:dyDescent="0.2">
      <c r="W6347" s="319"/>
    </row>
    <row r="6348" spans="23:23" x14ac:dyDescent="0.2">
      <c r="W6348" s="319"/>
    </row>
    <row r="6349" spans="23:23" x14ac:dyDescent="0.2">
      <c r="W6349" s="319"/>
    </row>
    <row r="6350" spans="23:23" x14ac:dyDescent="0.2">
      <c r="W6350" s="319"/>
    </row>
    <row r="6351" spans="23:23" x14ac:dyDescent="0.2">
      <c r="W6351" s="319"/>
    </row>
    <row r="6352" spans="23:23" x14ac:dyDescent="0.2">
      <c r="W6352" s="319"/>
    </row>
    <row r="6353" spans="23:23" x14ac:dyDescent="0.2">
      <c r="W6353" s="319"/>
    </row>
    <row r="6354" spans="23:23" x14ac:dyDescent="0.2">
      <c r="W6354" s="319"/>
    </row>
    <row r="6355" spans="23:23" x14ac:dyDescent="0.2">
      <c r="W6355" s="319"/>
    </row>
    <row r="6356" spans="23:23" x14ac:dyDescent="0.2">
      <c r="W6356" s="319"/>
    </row>
    <row r="6357" spans="23:23" x14ac:dyDescent="0.2">
      <c r="W6357" s="319"/>
    </row>
    <row r="6358" spans="23:23" x14ac:dyDescent="0.2">
      <c r="W6358" s="319"/>
    </row>
    <row r="6359" spans="23:23" x14ac:dyDescent="0.2">
      <c r="W6359" s="319"/>
    </row>
    <row r="6360" spans="23:23" x14ac:dyDescent="0.2">
      <c r="W6360" s="319"/>
    </row>
    <row r="6361" spans="23:23" x14ac:dyDescent="0.2">
      <c r="W6361" s="319"/>
    </row>
    <row r="6362" spans="23:23" x14ac:dyDescent="0.2">
      <c r="W6362" s="319"/>
    </row>
    <row r="6363" spans="23:23" x14ac:dyDescent="0.2">
      <c r="W6363" s="319"/>
    </row>
    <row r="6364" spans="23:23" x14ac:dyDescent="0.2">
      <c r="W6364" s="319"/>
    </row>
    <row r="6365" spans="23:23" x14ac:dyDescent="0.2">
      <c r="W6365" s="319"/>
    </row>
    <row r="6366" spans="23:23" x14ac:dyDescent="0.2">
      <c r="W6366" s="319"/>
    </row>
    <row r="6367" spans="23:23" x14ac:dyDescent="0.2">
      <c r="W6367" s="319"/>
    </row>
    <row r="6368" spans="23:23" x14ac:dyDescent="0.2">
      <c r="W6368" s="319"/>
    </row>
    <row r="6369" spans="23:23" x14ac:dyDescent="0.2">
      <c r="W6369" s="319"/>
    </row>
    <row r="6370" spans="23:23" x14ac:dyDescent="0.2">
      <c r="W6370" s="319"/>
    </row>
    <row r="6371" spans="23:23" x14ac:dyDescent="0.2">
      <c r="W6371" s="319"/>
    </row>
    <row r="6372" spans="23:23" x14ac:dyDescent="0.2">
      <c r="W6372" s="319"/>
    </row>
    <row r="6373" spans="23:23" x14ac:dyDescent="0.2">
      <c r="W6373" s="319"/>
    </row>
    <row r="6374" spans="23:23" x14ac:dyDescent="0.2">
      <c r="W6374" s="319"/>
    </row>
    <row r="6375" spans="23:23" x14ac:dyDescent="0.2">
      <c r="W6375" s="319"/>
    </row>
    <row r="6376" spans="23:23" x14ac:dyDescent="0.2">
      <c r="W6376" s="319"/>
    </row>
    <row r="6377" spans="23:23" x14ac:dyDescent="0.2">
      <c r="W6377" s="319"/>
    </row>
    <row r="6378" spans="23:23" x14ac:dyDescent="0.2">
      <c r="W6378" s="319"/>
    </row>
    <row r="6379" spans="23:23" x14ac:dyDescent="0.2">
      <c r="W6379" s="319"/>
    </row>
    <row r="6380" spans="23:23" x14ac:dyDescent="0.2">
      <c r="W6380" s="319"/>
    </row>
    <row r="6381" spans="23:23" x14ac:dyDescent="0.2">
      <c r="W6381" s="319"/>
    </row>
    <row r="6382" spans="23:23" x14ac:dyDescent="0.2">
      <c r="W6382" s="319"/>
    </row>
    <row r="6383" spans="23:23" x14ac:dyDescent="0.2">
      <c r="W6383" s="319"/>
    </row>
    <row r="6384" spans="23:23" x14ac:dyDescent="0.2">
      <c r="W6384" s="319"/>
    </row>
    <row r="6385" spans="23:23" x14ac:dyDescent="0.2">
      <c r="W6385" s="319"/>
    </row>
    <row r="6386" spans="23:23" x14ac:dyDescent="0.2">
      <c r="W6386" s="319"/>
    </row>
    <row r="6387" spans="23:23" x14ac:dyDescent="0.2">
      <c r="W6387" s="319"/>
    </row>
    <row r="6388" spans="23:23" x14ac:dyDescent="0.2">
      <c r="W6388" s="319"/>
    </row>
    <row r="6389" spans="23:23" x14ac:dyDescent="0.2">
      <c r="W6389" s="319"/>
    </row>
    <row r="6390" spans="23:23" x14ac:dyDescent="0.2">
      <c r="W6390" s="319"/>
    </row>
    <row r="6391" spans="23:23" x14ac:dyDescent="0.2">
      <c r="W6391" s="319"/>
    </row>
    <row r="6392" spans="23:23" x14ac:dyDescent="0.2">
      <c r="W6392" s="319"/>
    </row>
    <row r="6393" spans="23:23" x14ac:dyDescent="0.2">
      <c r="W6393" s="319"/>
    </row>
    <row r="6394" spans="23:23" x14ac:dyDescent="0.2">
      <c r="W6394" s="319"/>
    </row>
    <row r="6395" spans="23:23" x14ac:dyDescent="0.2">
      <c r="W6395" s="319"/>
    </row>
    <row r="6396" spans="23:23" x14ac:dyDescent="0.2">
      <c r="W6396" s="319"/>
    </row>
    <row r="6397" spans="23:23" x14ac:dyDescent="0.2">
      <c r="W6397" s="319"/>
    </row>
    <row r="6398" spans="23:23" x14ac:dyDescent="0.2">
      <c r="W6398" s="319"/>
    </row>
    <row r="6399" spans="23:23" x14ac:dyDescent="0.2">
      <c r="W6399" s="319"/>
    </row>
    <row r="6400" spans="23:23" x14ac:dyDescent="0.2">
      <c r="W6400" s="319"/>
    </row>
    <row r="6401" spans="23:23" x14ac:dyDescent="0.2">
      <c r="W6401" s="319"/>
    </row>
    <row r="6402" spans="23:23" x14ac:dyDescent="0.2">
      <c r="W6402" s="319"/>
    </row>
    <row r="6403" spans="23:23" x14ac:dyDescent="0.2">
      <c r="W6403" s="319"/>
    </row>
    <row r="6404" spans="23:23" x14ac:dyDescent="0.2">
      <c r="W6404" s="319"/>
    </row>
    <row r="6405" spans="23:23" x14ac:dyDescent="0.2">
      <c r="W6405" s="319"/>
    </row>
    <row r="6406" spans="23:23" x14ac:dyDescent="0.2">
      <c r="W6406" s="319"/>
    </row>
    <row r="6407" spans="23:23" x14ac:dyDescent="0.2">
      <c r="W6407" s="319"/>
    </row>
    <row r="6408" spans="23:23" x14ac:dyDescent="0.2">
      <c r="W6408" s="319"/>
    </row>
    <row r="6409" spans="23:23" x14ac:dyDescent="0.2">
      <c r="W6409" s="319"/>
    </row>
    <row r="6410" spans="23:23" x14ac:dyDescent="0.2">
      <c r="W6410" s="319"/>
    </row>
    <row r="6411" spans="23:23" x14ac:dyDescent="0.2">
      <c r="W6411" s="319"/>
    </row>
    <row r="6412" spans="23:23" x14ac:dyDescent="0.2">
      <c r="W6412" s="319"/>
    </row>
    <row r="6413" spans="23:23" x14ac:dyDescent="0.2">
      <c r="W6413" s="319"/>
    </row>
    <row r="6414" spans="23:23" x14ac:dyDescent="0.2">
      <c r="W6414" s="319"/>
    </row>
    <row r="6415" spans="23:23" x14ac:dyDescent="0.2">
      <c r="W6415" s="319"/>
    </row>
    <row r="6416" spans="23:23" x14ac:dyDescent="0.2">
      <c r="W6416" s="319"/>
    </row>
    <row r="6417" spans="23:23" x14ac:dyDescent="0.2">
      <c r="W6417" s="319"/>
    </row>
    <row r="6418" spans="23:23" x14ac:dyDescent="0.2">
      <c r="W6418" s="319"/>
    </row>
    <row r="6419" spans="23:23" x14ac:dyDescent="0.2">
      <c r="W6419" s="319"/>
    </row>
    <row r="6420" spans="23:23" x14ac:dyDescent="0.2">
      <c r="W6420" s="319"/>
    </row>
    <row r="6421" spans="23:23" x14ac:dyDescent="0.2">
      <c r="W6421" s="319"/>
    </row>
    <row r="6422" spans="23:23" x14ac:dyDescent="0.2">
      <c r="W6422" s="319"/>
    </row>
    <row r="6423" spans="23:23" x14ac:dyDescent="0.2">
      <c r="W6423" s="319"/>
    </row>
    <row r="6424" spans="23:23" x14ac:dyDescent="0.2">
      <c r="W6424" s="319"/>
    </row>
    <row r="6425" spans="23:23" x14ac:dyDescent="0.2">
      <c r="W6425" s="319"/>
    </row>
    <row r="6426" spans="23:23" x14ac:dyDescent="0.2">
      <c r="W6426" s="319"/>
    </row>
    <row r="6427" spans="23:23" x14ac:dyDescent="0.2">
      <c r="W6427" s="319"/>
    </row>
    <row r="6428" spans="23:23" x14ac:dyDescent="0.2">
      <c r="W6428" s="319"/>
    </row>
    <row r="6429" spans="23:23" x14ac:dyDescent="0.2">
      <c r="W6429" s="319"/>
    </row>
    <row r="6430" spans="23:23" x14ac:dyDescent="0.2">
      <c r="W6430" s="319"/>
    </row>
    <row r="6431" spans="23:23" x14ac:dyDescent="0.2">
      <c r="W6431" s="319"/>
    </row>
    <row r="6432" spans="23:23" x14ac:dyDescent="0.2">
      <c r="W6432" s="319"/>
    </row>
    <row r="6433" spans="23:23" x14ac:dyDescent="0.2">
      <c r="W6433" s="319"/>
    </row>
    <row r="6434" spans="23:23" x14ac:dyDescent="0.2">
      <c r="W6434" s="319"/>
    </row>
    <row r="6435" spans="23:23" x14ac:dyDescent="0.2">
      <c r="W6435" s="319"/>
    </row>
    <row r="6436" spans="23:23" x14ac:dyDescent="0.2">
      <c r="W6436" s="319"/>
    </row>
    <row r="6437" spans="23:23" x14ac:dyDescent="0.2">
      <c r="W6437" s="319"/>
    </row>
    <row r="6438" spans="23:23" x14ac:dyDescent="0.2">
      <c r="W6438" s="319"/>
    </row>
    <row r="6439" spans="23:23" x14ac:dyDescent="0.2">
      <c r="W6439" s="319"/>
    </row>
    <row r="6440" spans="23:23" x14ac:dyDescent="0.2">
      <c r="W6440" s="319"/>
    </row>
    <row r="6441" spans="23:23" x14ac:dyDescent="0.2">
      <c r="W6441" s="319"/>
    </row>
    <row r="6442" spans="23:23" x14ac:dyDescent="0.2">
      <c r="W6442" s="319"/>
    </row>
    <row r="6443" spans="23:23" x14ac:dyDescent="0.2">
      <c r="W6443" s="319"/>
    </row>
    <row r="6444" spans="23:23" x14ac:dyDescent="0.2">
      <c r="W6444" s="319"/>
    </row>
    <row r="6445" spans="23:23" x14ac:dyDescent="0.2">
      <c r="W6445" s="319"/>
    </row>
    <row r="6446" spans="23:23" x14ac:dyDescent="0.2">
      <c r="W6446" s="319"/>
    </row>
    <row r="6447" spans="23:23" x14ac:dyDescent="0.2">
      <c r="W6447" s="319"/>
    </row>
    <row r="6448" spans="23:23" x14ac:dyDescent="0.2">
      <c r="W6448" s="319"/>
    </row>
    <row r="6449" spans="23:23" x14ac:dyDescent="0.2">
      <c r="W6449" s="319"/>
    </row>
    <row r="6450" spans="23:23" x14ac:dyDescent="0.2">
      <c r="W6450" s="319"/>
    </row>
    <row r="6451" spans="23:23" x14ac:dyDescent="0.2">
      <c r="W6451" s="319"/>
    </row>
    <row r="6452" spans="23:23" x14ac:dyDescent="0.2">
      <c r="W6452" s="319"/>
    </row>
    <row r="6453" spans="23:23" x14ac:dyDescent="0.2">
      <c r="W6453" s="319"/>
    </row>
    <row r="6454" spans="23:23" x14ac:dyDescent="0.2">
      <c r="W6454" s="319"/>
    </row>
    <row r="6455" spans="23:23" x14ac:dyDescent="0.2">
      <c r="W6455" s="319"/>
    </row>
    <row r="6456" spans="23:23" x14ac:dyDescent="0.2">
      <c r="W6456" s="319"/>
    </row>
    <row r="6457" spans="23:23" x14ac:dyDescent="0.2">
      <c r="W6457" s="319"/>
    </row>
    <row r="6458" spans="23:23" x14ac:dyDescent="0.2">
      <c r="W6458" s="319"/>
    </row>
    <row r="6459" spans="23:23" x14ac:dyDescent="0.2">
      <c r="W6459" s="319"/>
    </row>
    <row r="6460" spans="23:23" x14ac:dyDescent="0.2">
      <c r="W6460" s="319"/>
    </row>
    <row r="6461" spans="23:23" x14ac:dyDescent="0.2">
      <c r="W6461" s="319"/>
    </row>
    <row r="6462" spans="23:23" x14ac:dyDescent="0.2">
      <c r="W6462" s="319"/>
    </row>
    <row r="6463" spans="23:23" x14ac:dyDescent="0.2">
      <c r="W6463" s="319"/>
    </row>
    <row r="6464" spans="23:23" x14ac:dyDescent="0.2">
      <c r="W6464" s="319"/>
    </row>
    <row r="6465" spans="23:23" x14ac:dyDescent="0.2">
      <c r="W6465" s="319"/>
    </row>
    <row r="6466" spans="23:23" x14ac:dyDescent="0.2">
      <c r="W6466" s="319"/>
    </row>
    <row r="6467" spans="23:23" x14ac:dyDescent="0.2">
      <c r="W6467" s="319"/>
    </row>
    <row r="6468" spans="23:23" x14ac:dyDescent="0.2">
      <c r="W6468" s="319"/>
    </row>
    <row r="6469" spans="23:23" x14ac:dyDescent="0.2">
      <c r="W6469" s="319"/>
    </row>
    <row r="6470" spans="23:23" x14ac:dyDescent="0.2">
      <c r="W6470" s="319"/>
    </row>
    <row r="6471" spans="23:23" x14ac:dyDescent="0.2">
      <c r="W6471" s="319"/>
    </row>
    <row r="6472" spans="23:23" x14ac:dyDescent="0.2">
      <c r="W6472" s="319"/>
    </row>
    <row r="6473" spans="23:23" x14ac:dyDescent="0.2">
      <c r="W6473" s="319"/>
    </row>
    <row r="6474" spans="23:23" x14ac:dyDescent="0.2">
      <c r="W6474" s="319"/>
    </row>
    <row r="6475" spans="23:23" x14ac:dyDescent="0.2">
      <c r="W6475" s="319"/>
    </row>
    <row r="6476" spans="23:23" x14ac:dyDescent="0.2">
      <c r="W6476" s="319"/>
    </row>
    <row r="6477" spans="23:23" x14ac:dyDescent="0.2">
      <c r="W6477" s="319"/>
    </row>
    <row r="6478" spans="23:23" x14ac:dyDescent="0.2">
      <c r="W6478" s="319"/>
    </row>
    <row r="6479" spans="23:23" x14ac:dyDescent="0.2">
      <c r="W6479" s="319"/>
    </row>
    <row r="6480" spans="23:23" x14ac:dyDescent="0.2">
      <c r="W6480" s="319"/>
    </row>
    <row r="6481" spans="23:23" x14ac:dyDescent="0.2">
      <c r="W6481" s="319"/>
    </row>
    <row r="6482" spans="23:23" x14ac:dyDescent="0.2">
      <c r="W6482" s="319"/>
    </row>
    <row r="6483" spans="23:23" x14ac:dyDescent="0.2">
      <c r="W6483" s="319"/>
    </row>
    <row r="6484" spans="23:23" x14ac:dyDescent="0.2">
      <c r="W6484" s="319"/>
    </row>
    <row r="6485" spans="23:23" x14ac:dyDescent="0.2">
      <c r="W6485" s="319"/>
    </row>
    <row r="6486" spans="23:23" x14ac:dyDescent="0.2">
      <c r="W6486" s="319"/>
    </row>
    <row r="6487" spans="23:23" x14ac:dyDescent="0.2">
      <c r="W6487" s="319"/>
    </row>
    <row r="6488" spans="23:23" x14ac:dyDescent="0.2">
      <c r="W6488" s="319"/>
    </row>
    <row r="6489" spans="23:23" x14ac:dyDescent="0.2">
      <c r="W6489" s="319"/>
    </row>
    <row r="6490" spans="23:23" x14ac:dyDescent="0.2">
      <c r="W6490" s="319"/>
    </row>
    <row r="6491" spans="23:23" x14ac:dyDescent="0.2">
      <c r="W6491" s="319"/>
    </row>
    <row r="6492" spans="23:23" x14ac:dyDescent="0.2">
      <c r="W6492" s="319"/>
    </row>
    <row r="6493" spans="23:23" x14ac:dyDescent="0.2">
      <c r="W6493" s="319"/>
    </row>
    <row r="6494" spans="23:23" x14ac:dyDescent="0.2">
      <c r="W6494" s="319"/>
    </row>
    <row r="6495" spans="23:23" x14ac:dyDescent="0.2">
      <c r="W6495" s="319"/>
    </row>
    <row r="6496" spans="23:23" x14ac:dyDescent="0.2">
      <c r="W6496" s="319"/>
    </row>
    <row r="6497" spans="23:23" x14ac:dyDescent="0.2">
      <c r="W6497" s="319"/>
    </row>
    <row r="6498" spans="23:23" x14ac:dyDescent="0.2">
      <c r="W6498" s="319"/>
    </row>
    <row r="6499" spans="23:23" x14ac:dyDescent="0.2">
      <c r="W6499" s="319"/>
    </row>
    <row r="6500" spans="23:23" x14ac:dyDescent="0.2">
      <c r="W6500" s="319"/>
    </row>
    <row r="6501" spans="23:23" x14ac:dyDescent="0.2">
      <c r="W6501" s="319"/>
    </row>
    <row r="6502" spans="23:23" x14ac:dyDescent="0.2">
      <c r="W6502" s="319"/>
    </row>
    <row r="6503" spans="23:23" x14ac:dyDescent="0.2">
      <c r="W6503" s="319"/>
    </row>
    <row r="6504" spans="23:23" x14ac:dyDescent="0.2">
      <c r="W6504" s="319"/>
    </row>
    <row r="6505" spans="23:23" x14ac:dyDescent="0.2">
      <c r="W6505" s="319"/>
    </row>
    <row r="6506" spans="23:23" x14ac:dyDescent="0.2">
      <c r="W6506" s="319"/>
    </row>
    <row r="6507" spans="23:23" x14ac:dyDescent="0.2">
      <c r="W6507" s="319"/>
    </row>
    <row r="6508" spans="23:23" x14ac:dyDescent="0.2">
      <c r="W6508" s="319"/>
    </row>
    <row r="6509" spans="23:23" x14ac:dyDescent="0.2">
      <c r="W6509" s="319"/>
    </row>
    <row r="6510" spans="23:23" x14ac:dyDescent="0.2">
      <c r="W6510" s="319"/>
    </row>
    <row r="6511" spans="23:23" x14ac:dyDescent="0.2">
      <c r="W6511" s="319"/>
    </row>
    <row r="6512" spans="23:23" x14ac:dyDescent="0.2">
      <c r="W6512" s="319"/>
    </row>
    <row r="6513" spans="23:23" x14ac:dyDescent="0.2">
      <c r="W6513" s="319"/>
    </row>
    <row r="6514" spans="23:23" x14ac:dyDescent="0.2">
      <c r="W6514" s="319"/>
    </row>
    <row r="6515" spans="23:23" x14ac:dyDescent="0.2">
      <c r="W6515" s="319"/>
    </row>
    <row r="6516" spans="23:23" x14ac:dyDescent="0.2">
      <c r="W6516" s="319"/>
    </row>
    <row r="6517" spans="23:23" x14ac:dyDescent="0.2">
      <c r="W6517" s="319"/>
    </row>
    <row r="6518" spans="23:23" x14ac:dyDescent="0.2">
      <c r="W6518" s="319"/>
    </row>
    <row r="6519" spans="23:23" x14ac:dyDescent="0.2">
      <c r="W6519" s="319"/>
    </row>
    <row r="6520" spans="23:23" x14ac:dyDescent="0.2">
      <c r="W6520" s="319"/>
    </row>
    <row r="6521" spans="23:23" x14ac:dyDescent="0.2">
      <c r="W6521" s="319"/>
    </row>
    <row r="6522" spans="23:23" x14ac:dyDescent="0.2">
      <c r="W6522" s="319"/>
    </row>
    <row r="6523" spans="23:23" x14ac:dyDescent="0.2">
      <c r="W6523" s="319"/>
    </row>
    <row r="6524" spans="23:23" x14ac:dyDescent="0.2">
      <c r="W6524" s="319"/>
    </row>
    <row r="6525" spans="23:23" x14ac:dyDescent="0.2">
      <c r="W6525" s="319"/>
    </row>
    <row r="6526" spans="23:23" x14ac:dyDescent="0.2">
      <c r="W6526" s="319"/>
    </row>
    <row r="6527" spans="23:23" x14ac:dyDescent="0.2">
      <c r="W6527" s="319"/>
    </row>
    <row r="6528" spans="23:23" x14ac:dyDescent="0.2">
      <c r="W6528" s="319"/>
    </row>
    <row r="6529" spans="23:23" x14ac:dyDescent="0.2">
      <c r="W6529" s="319"/>
    </row>
    <row r="6530" spans="23:23" x14ac:dyDescent="0.2">
      <c r="W6530" s="319"/>
    </row>
    <row r="6531" spans="23:23" x14ac:dyDescent="0.2">
      <c r="W6531" s="319"/>
    </row>
    <row r="6532" spans="23:23" x14ac:dyDescent="0.2">
      <c r="W6532" s="319"/>
    </row>
    <row r="6533" spans="23:23" x14ac:dyDescent="0.2">
      <c r="W6533" s="319"/>
    </row>
    <row r="6534" spans="23:23" x14ac:dyDescent="0.2">
      <c r="W6534" s="319"/>
    </row>
    <row r="6535" spans="23:23" x14ac:dyDescent="0.2">
      <c r="W6535" s="319"/>
    </row>
    <row r="6536" spans="23:23" x14ac:dyDescent="0.2">
      <c r="W6536" s="319"/>
    </row>
    <row r="6537" spans="23:23" x14ac:dyDescent="0.2">
      <c r="W6537" s="319"/>
    </row>
    <row r="6538" spans="23:23" x14ac:dyDescent="0.2">
      <c r="W6538" s="319"/>
    </row>
    <row r="6539" spans="23:23" x14ac:dyDescent="0.2">
      <c r="W6539" s="319"/>
    </row>
    <row r="6540" spans="23:23" x14ac:dyDescent="0.2">
      <c r="W6540" s="319"/>
    </row>
    <row r="6541" spans="23:23" x14ac:dyDescent="0.2">
      <c r="W6541" s="319"/>
    </row>
    <row r="6542" spans="23:23" x14ac:dyDescent="0.2">
      <c r="W6542" s="319"/>
    </row>
    <row r="6543" spans="23:23" x14ac:dyDescent="0.2">
      <c r="W6543" s="319"/>
    </row>
    <row r="6544" spans="23:23" x14ac:dyDescent="0.2">
      <c r="W6544" s="319"/>
    </row>
    <row r="6545" spans="23:23" x14ac:dyDescent="0.2">
      <c r="W6545" s="319"/>
    </row>
    <row r="6546" spans="23:23" x14ac:dyDescent="0.2">
      <c r="W6546" s="319"/>
    </row>
    <row r="6547" spans="23:23" x14ac:dyDescent="0.2">
      <c r="W6547" s="319"/>
    </row>
    <row r="6548" spans="23:23" x14ac:dyDescent="0.2">
      <c r="W6548" s="319"/>
    </row>
    <row r="6549" spans="23:23" x14ac:dyDescent="0.2">
      <c r="W6549" s="319"/>
    </row>
    <row r="6550" spans="23:23" x14ac:dyDescent="0.2">
      <c r="W6550" s="319"/>
    </row>
    <row r="6551" spans="23:23" x14ac:dyDescent="0.2">
      <c r="W6551" s="319"/>
    </row>
    <row r="6552" spans="23:23" x14ac:dyDescent="0.2">
      <c r="W6552" s="319"/>
    </row>
    <row r="6553" spans="23:23" x14ac:dyDescent="0.2">
      <c r="W6553" s="319"/>
    </row>
    <row r="6554" spans="23:23" x14ac:dyDescent="0.2">
      <c r="W6554" s="319"/>
    </row>
    <row r="6555" spans="23:23" x14ac:dyDescent="0.2">
      <c r="W6555" s="319"/>
    </row>
    <row r="6556" spans="23:23" x14ac:dyDescent="0.2">
      <c r="W6556" s="319"/>
    </row>
    <row r="6557" spans="23:23" x14ac:dyDescent="0.2">
      <c r="W6557" s="319"/>
    </row>
    <row r="6558" spans="23:23" x14ac:dyDescent="0.2">
      <c r="W6558" s="319"/>
    </row>
    <row r="6559" spans="23:23" x14ac:dyDescent="0.2">
      <c r="W6559" s="319"/>
    </row>
    <row r="6560" spans="23:23" x14ac:dyDescent="0.2">
      <c r="W6560" s="319"/>
    </row>
    <row r="6561" spans="23:23" x14ac:dyDescent="0.2">
      <c r="W6561" s="319"/>
    </row>
    <row r="6562" spans="23:23" x14ac:dyDescent="0.2">
      <c r="W6562" s="319"/>
    </row>
    <row r="6563" spans="23:23" x14ac:dyDescent="0.2">
      <c r="W6563" s="319"/>
    </row>
    <row r="6564" spans="23:23" x14ac:dyDescent="0.2">
      <c r="W6564" s="319"/>
    </row>
    <row r="6565" spans="23:23" x14ac:dyDescent="0.2">
      <c r="W6565" s="319"/>
    </row>
    <row r="6566" spans="23:23" x14ac:dyDescent="0.2">
      <c r="W6566" s="319"/>
    </row>
    <row r="6567" spans="23:23" x14ac:dyDescent="0.2">
      <c r="W6567" s="319"/>
    </row>
    <row r="6568" spans="23:23" x14ac:dyDescent="0.2">
      <c r="W6568" s="319"/>
    </row>
    <row r="6569" spans="23:23" x14ac:dyDescent="0.2">
      <c r="W6569" s="319"/>
    </row>
    <row r="6570" spans="23:23" x14ac:dyDescent="0.2">
      <c r="W6570" s="319"/>
    </row>
    <row r="6571" spans="23:23" x14ac:dyDescent="0.2">
      <c r="W6571" s="319"/>
    </row>
    <row r="6572" spans="23:23" x14ac:dyDescent="0.2">
      <c r="W6572" s="319"/>
    </row>
    <row r="6573" spans="23:23" x14ac:dyDescent="0.2">
      <c r="W6573" s="319"/>
    </row>
    <row r="6574" spans="23:23" x14ac:dyDescent="0.2">
      <c r="W6574" s="319"/>
    </row>
    <row r="6575" spans="23:23" x14ac:dyDescent="0.2">
      <c r="W6575" s="319"/>
    </row>
    <row r="6576" spans="23:23" x14ac:dyDescent="0.2">
      <c r="W6576" s="319"/>
    </row>
    <row r="6577" spans="23:23" x14ac:dyDescent="0.2">
      <c r="W6577" s="319"/>
    </row>
    <row r="6578" spans="23:23" x14ac:dyDescent="0.2">
      <c r="W6578" s="319"/>
    </row>
    <row r="6579" spans="23:23" x14ac:dyDescent="0.2">
      <c r="W6579" s="319"/>
    </row>
    <row r="6580" spans="23:23" x14ac:dyDescent="0.2">
      <c r="W6580" s="319"/>
    </row>
    <row r="6581" spans="23:23" x14ac:dyDescent="0.2">
      <c r="W6581" s="319"/>
    </row>
    <row r="6582" spans="23:23" x14ac:dyDescent="0.2">
      <c r="W6582" s="319"/>
    </row>
    <row r="6583" spans="23:23" x14ac:dyDescent="0.2">
      <c r="W6583" s="319"/>
    </row>
    <row r="6584" spans="23:23" x14ac:dyDescent="0.2">
      <c r="W6584" s="319"/>
    </row>
    <row r="6585" spans="23:23" x14ac:dyDescent="0.2">
      <c r="W6585" s="319"/>
    </row>
    <row r="6586" spans="23:23" x14ac:dyDescent="0.2">
      <c r="W6586" s="319"/>
    </row>
    <row r="6587" spans="23:23" x14ac:dyDescent="0.2">
      <c r="W6587" s="319"/>
    </row>
    <row r="6588" spans="23:23" x14ac:dyDescent="0.2">
      <c r="W6588" s="319"/>
    </row>
    <row r="6589" spans="23:23" x14ac:dyDescent="0.2">
      <c r="W6589" s="319"/>
    </row>
    <row r="6590" spans="23:23" x14ac:dyDescent="0.2">
      <c r="W6590" s="319"/>
    </row>
    <row r="6591" spans="23:23" x14ac:dyDescent="0.2">
      <c r="W6591" s="319"/>
    </row>
    <row r="6592" spans="23:23" x14ac:dyDescent="0.2">
      <c r="W6592" s="319"/>
    </row>
    <row r="6593" spans="23:23" x14ac:dyDescent="0.2">
      <c r="W6593" s="319"/>
    </row>
    <row r="6594" spans="23:23" x14ac:dyDescent="0.2">
      <c r="W6594" s="319"/>
    </row>
    <row r="6595" spans="23:23" x14ac:dyDescent="0.2">
      <c r="W6595" s="319"/>
    </row>
    <row r="6596" spans="23:23" x14ac:dyDescent="0.2">
      <c r="W6596" s="319"/>
    </row>
    <row r="6597" spans="23:23" x14ac:dyDescent="0.2">
      <c r="W6597" s="319"/>
    </row>
    <row r="6598" spans="23:23" x14ac:dyDescent="0.2">
      <c r="W6598" s="319"/>
    </row>
    <row r="6599" spans="23:23" x14ac:dyDescent="0.2">
      <c r="W6599" s="319"/>
    </row>
    <row r="6600" spans="23:23" x14ac:dyDescent="0.2">
      <c r="W6600" s="319"/>
    </row>
    <row r="6601" spans="23:23" x14ac:dyDescent="0.2">
      <c r="W6601" s="319"/>
    </row>
    <row r="6602" spans="23:23" x14ac:dyDescent="0.2">
      <c r="W6602" s="319"/>
    </row>
    <row r="6603" spans="23:23" x14ac:dyDescent="0.2">
      <c r="W6603" s="319"/>
    </row>
    <row r="6604" spans="23:23" x14ac:dyDescent="0.2">
      <c r="W6604" s="319"/>
    </row>
    <row r="6605" spans="23:23" x14ac:dyDescent="0.2">
      <c r="W6605" s="319"/>
    </row>
    <row r="6606" spans="23:23" x14ac:dyDescent="0.2">
      <c r="W6606" s="319"/>
    </row>
    <row r="6607" spans="23:23" x14ac:dyDescent="0.2">
      <c r="W6607" s="319"/>
    </row>
    <row r="6608" spans="23:23" x14ac:dyDescent="0.2">
      <c r="W6608" s="319"/>
    </row>
    <row r="6609" spans="23:23" x14ac:dyDescent="0.2">
      <c r="W6609" s="319"/>
    </row>
    <row r="6610" spans="23:23" x14ac:dyDescent="0.2">
      <c r="W6610" s="319"/>
    </row>
    <row r="6611" spans="23:23" x14ac:dyDescent="0.2">
      <c r="W6611" s="319"/>
    </row>
    <row r="6612" spans="23:23" x14ac:dyDescent="0.2">
      <c r="W6612" s="319"/>
    </row>
    <row r="6613" spans="23:23" x14ac:dyDescent="0.2">
      <c r="W6613" s="319"/>
    </row>
    <row r="6614" spans="23:23" x14ac:dyDescent="0.2">
      <c r="W6614" s="319"/>
    </row>
    <row r="6615" spans="23:23" x14ac:dyDescent="0.2">
      <c r="W6615" s="319"/>
    </row>
    <row r="6616" spans="23:23" x14ac:dyDescent="0.2">
      <c r="W6616" s="319"/>
    </row>
    <row r="6617" spans="23:23" x14ac:dyDescent="0.2">
      <c r="W6617" s="319"/>
    </row>
    <row r="6618" spans="23:23" x14ac:dyDescent="0.2">
      <c r="W6618" s="319"/>
    </row>
    <row r="6619" spans="23:23" x14ac:dyDescent="0.2">
      <c r="W6619" s="319"/>
    </row>
    <row r="6620" spans="23:23" x14ac:dyDescent="0.2">
      <c r="W6620" s="319"/>
    </row>
    <row r="6621" spans="23:23" x14ac:dyDescent="0.2">
      <c r="W6621" s="319"/>
    </row>
    <row r="6622" spans="23:23" x14ac:dyDescent="0.2">
      <c r="W6622" s="319"/>
    </row>
    <row r="6623" spans="23:23" x14ac:dyDescent="0.2">
      <c r="W6623" s="319"/>
    </row>
    <row r="6624" spans="23:23" x14ac:dyDescent="0.2">
      <c r="W6624" s="319"/>
    </row>
    <row r="6625" spans="23:23" x14ac:dyDescent="0.2">
      <c r="W6625" s="319"/>
    </row>
    <row r="6626" spans="23:23" x14ac:dyDescent="0.2">
      <c r="W6626" s="319"/>
    </row>
    <row r="6627" spans="23:23" x14ac:dyDescent="0.2">
      <c r="W6627" s="319"/>
    </row>
    <row r="6628" spans="23:23" x14ac:dyDescent="0.2">
      <c r="W6628" s="319"/>
    </row>
    <row r="6629" spans="23:23" x14ac:dyDescent="0.2">
      <c r="W6629" s="319"/>
    </row>
    <row r="6630" spans="23:23" x14ac:dyDescent="0.2">
      <c r="W6630" s="319"/>
    </row>
    <row r="6631" spans="23:23" x14ac:dyDescent="0.2">
      <c r="W6631" s="319"/>
    </row>
    <row r="6632" spans="23:23" x14ac:dyDescent="0.2">
      <c r="W6632" s="319"/>
    </row>
    <row r="6633" spans="23:23" x14ac:dyDescent="0.2">
      <c r="W6633" s="319"/>
    </row>
    <row r="6634" spans="23:23" x14ac:dyDescent="0.2">
      <c r="W6634" s="319"/>
    </row>
    <row r="6635" spans="23:23" x14ac:dyDescent="0.2">
      <c r="W6635" s="319"/>
    </row>
    <row r="6636" spans="23:23" x14ac:dyDescent="0.2">
      <c r="W6636" s="319"/>
    </row>
    <row r="6637" spans="23:23" x14ac:dyDescent="0.2">
      <c r="W6637" s="319"/>
    </row>
    <row r="6638" spans="23:23" x14ac:dyDescent="0.2">
      <c r="W6638" s="319"/>
    </row>
    <row r="6639" spans="23:23" x14ac:dyDescent="0.2">
      <c r="W6639" s="319"/>
    </row>
    <row r="6640" spans="23:23" x14ac:dyDescent="0.2">
      <c r="W6640" s="319"/>
    </row>
    <row r="6641" spans="23:23" x14ac:dyDescent="0.2">
      <c r="W6641" s="319"/>
    </row>
    <row r="6642" spans="23:23" x14ac:dyDescent="0.2">
      <c r="W6642" s="319"/>
    </row>
    <row r="6643" spans="23:23" x14ac:dyDescent="0.2">
      <c r="W6643" s="319"/>
    </row>
    <row r="6644" spans="23:23" x14ac:dyDescent="0.2">
      <c r="W6644" s="319"/>
    </row>
    <row r="6645" spans="23:23" x14ac:dyDescent="0.2">
      <c r="W6645" s="319"/>
    </row>
    <row r="6646" spans="23:23" x14ac:dyDescent="0.2">
      <c r="W6646" s="319"/>
    </row>
    <row r="6647" spans="23:23" x14ac:dyDescent="0.2">
      <c r="W6647" s="319"/>
    </row>
    <row r="6648" spans="23:23" x14ac:dyDescent="0.2">
      <c r="W6648" s="319"/>
    </row>
    <row r="6649" spans="23:23" x14ac:dyDescent="0.2">
      <c r="W6649" s="319"/>
    </row>
    <row r="6650" spans="23:23" x14ac:dyDescent="0.2">
      <c r="W6650" s="319"/>
    </row>
    <row r="6651" spans="23:23" x14ac:dyDescent="0.2">
      <c r="W6651" s="319"/>
    </row>
    <row r="6652" spans="23:23" x14ac:dyDescent="0.2">
      <c r="W6652" s="319"/>
    </row>
    <row r="6653" spans="23:23" x14ac:dyDescent="0.2">
      <c r="W6653" s="319"/>
    </row>
    <row r="6654" spans="23:23" x14ac:dyDescent="0.2">
      <c r="W6654" s="319"/>
    </row>
    <row r="6655" spans="23:23" x14ac:dyDescent="0.2">
      <c r="W6655" s="319"/>
    </row>
    <row r="6656" spans="23:23" x14ac:dyDescent="0.2">
      <c r="W6656" s="319"/>
    </row>
    <row r="6657" spans="23:23" x14ac:dyDescent="0.2">
      <c r="W6657" s="319"/>
    </row>
    <row r="6658" spans="23:23" x14ac:dyDescent="0.2">
      <c r="W6658" s="319"/>
    </row>
    <row r="6659" spans="23:23" x14ac:dyDescent="0.2">
      <c r="W6659" s="319"/>
    </row>
    <row r="6660" spans="23:23" x14ac:dyDescent="0.2">
      <c r="W6660" s="319"/>
    </row>
    <row r="6661" spans="23:23" x14ac:dyDescent="0.2">
      <c r="W6661" s="319"/>
    </row>
    <row r="6662" spans="23:23" x14ac:dyDescent="0.2">
      <c r="W6662" s="319"/>
    </row>
    <row r="6663" spans="23:23" x14ac:dyDescent="0.2">
      <c r="W6663" s="319"/>
    </row>
    <row r="6664" spans="23:23" x14ac:dyDescent="0.2">
      <c r="W6664" s="319"/>
    </row>
    <row r="6665" spans="23:23" x14ac:dyDescent="0.2">
      <c r="W6665" s="319"/>
    </row>
    <row r="6666" spans="23:23" x14ac:dyDescent="0.2">
      <c r="W6666" s="319"/>
    </row>
    <row r="6667" spans="23:23" x14ac:dyDescent="0.2">
      <c r="W6667" s="319"/>
    </row>
    <row r="6668" spans="23:23" x14ac:dyDescent="0.2">
      <c r="W6668" s="319"/>
    </row>
    <row r="6669" spans="23:23" x14ac:dyDescent="0.2">
      <c r="W6669" s="319"/>
    </row>
    <row r="6670" spans="23:23" x14ac:dyDescent="0.2">
      <c r="W6670" s="319"/>
    </row>
    <row r="6671" spans="23:23" x14ac:dyDescent="0.2">
      <c r="W6671" s="319"/>
    </row>
    <row r="6672" spans="23:23" x14ac:dyDescent="0.2">
      <c r="W6672" s="319"/>
    </row>
    <row r="6673" spans="23:23" x14ac:dyDescent="0.2">
      <c r="W6673" s="319"/>
    </row>
    <row r="6674" spans="23:23" x14ac:dyDescent="0.2">
      <c r="W6674" s="319"/>
    </row>
    <row r="6675" spans="23:23" x14ac:dyDescent="0.2">
      <c r="W6675" s="319"/>
    </row>
    <row r="6676" spans="23:23" x14ac:dyDescent="0.2">
      <c r="W6676" s="319"/>
    </row>
    <row r="6677" spans="23:23" x14ac:dyDescent="0.2">
      <c r="W6677" s="319"/>
    </row>
    <row r="6678" spans="23:23" x14ac:dyDescent="0.2">
      <c r="W6678" s="319"/>
    </row>
    <row r="6679" spans="23:23" x14ac:dyDescent="0.2">
      <c r="W6679" s="319"/>
    </row>
    <row r="6680" spans="23:23" x14ac:dyDescent="0.2">
      <c r="W6680" s="319"/>
    </row>
    <row r="6681" spans="23:23" x14ac:dyDescent="0.2">
      <c r="W6681" s="319"/>
    </row>
    <row r="6682" spans="23:23" x14ac:dyDescent="0.2">
      <c r="W6682" s="319"/>
    </row>
    <row r="6683" spans="23:23" x14ac:dyDescent="0.2">
      <c r="W6683" s="319"/>
    </row>
    <row r="6684" spans="23:23" x14ac:dyDescent="0.2">
      <c r="W6684" s="319"/>
    </row>
    <row r="6685" spans="23:23" x14ac:dyDescent="0.2">
      <c r="W6685" s="319"/>
    </row>
    <row r="6686" spans="23:23" x14ac:dyDescent="0.2">
      <c r="W6686" s="319"/>
    </row>
    <row r="6687" spans="23:23" x14ac:dyDescent="0.2">
      <c r="W6687" s="319"/>
    </row>
    <row r="6688" spans="23:23" x14ac:dyDescent="0.2">
      <c r="W6688" s="319"/>
    </row>
    <row r="6689" spans="23:23" x14ac:dyDescent="0.2">
      <c r="W6689" s="319"/>
    </row>
    <row r="6690" spans="23:23" x14ac:dyDescent="0.2">
      <c r="W6690" s="319"/>
    </row>
    <row r="6691" spans="23:23" x14ac:dyDescent="0.2">
      <c r="W6691" s="319"/>
    </row>
    <row r="6692" spans="23:23" x14ac:dyDescent="0.2">
      <c r="W6692" s="319"/>
    </row>
    <row r="6693" spans="23:23" x14ac:dyDescent="0.2">
      <c r="W6693" s="319"/>
    </row>
    <row r="6694" spans="23:23" x14ac:dyDescent="0.2">
      <c r="W6694" s="319"/>
    </row>
    <row r="6695" spans="23:23" x14ac:dyDescent="0.2">
      <c r="W6695" s="319"/>
    </row>
    <row r="6696" spans="23:23" x14ac:dyDescent="0.2">
      <c r="W6696" s="319"/>
    </row>
    <row r="6697" spans="23:23" x14ac:dyDescent="0.2">
      <c r="W6697" s="319"/>
    </row>
    <row r="6698" spans="23:23" x14ac:dyDescent="0.2">
      <c r="W6698" s="319"/>
    </row>
    <row r="6699" spans="23:23" x14ac:dyDescent="0.2">
      <c r="W6699" s="319"/>
    </row>
    <row r="6700" spans="23:23" x14ac:dyDescent="0.2">
      <c r="W6700" s="319"/>
    </row>
    <row r="6701" spans="23:23" x14ac:dyDescent="0.2">
      <c r="W6701" s="319"/>
    </row>
    <row r="6702" spans="23:23" x14ac:dyDescent="0.2">
      <c r="W6702" s="319"/>
    </row>
    <row r="6703" spans="23:23" x14ac:dyDescent="0.2">
      <c r="W6703" s="319"/>
    </row>
    <row r="6704" spans="23:23" x14ac:dyDescent="0.2">
      <c r="W6704" s="319"/>
    </row>
    <row r="6705" spans="23:23" x14ac:dyDescent="0.2">
      <c r="W6705" s="319"/>
    </row>
    <row r="6706" spans="23:23" x14ac:dyDescent="0.2">
      <c r="W6706" s="319"/>
    </row>
    <row r="6707" spans="23:23" x14ac:dyDescent="0.2">
      <c r="W6707" s="319"/>
    </row>
    <row r="6708" spans="23:23" x14ac:dyDescent="0.2">
      <c r="W6708" s="319"/>
    </row>
    <row r="6709" spans="23:23" x14ac:dyDescent="0.2">
      <c r="W6709" s="319"/>
    </row>
    <row r="6710" spans="23:23" x14ac:dyDescent="0.2">
      <c r="W6710" s="319"/>
    </row>
    <row r="6711" spans="23:23" x14ac:dyDescent="0.2">
      <c r="W6711" s="319"/>
    </row>
    <row r="6712" spans="23:23" x14ac:dyDescent="0.2">
      <c r="W6712" s="319"/>
    </row>
    <row r="6713" spans="23:23" x14ac:dyDescent="0.2">
      <c r="W6713" s="319"/>
    </row>
    <row r="6714" spans="23:23" x14ac:dyDescent="0.2">
      <c r="W6714" s="319"/>
    </row>
    <row r="6715" spans="23:23" x14ac:dyDescent="0.2">
      <c r="W6715" s="319"/>
    </row>
    <row r="6716" spans="23:23" x14ac:dyDescent="0.2">
      <c r="W6716" s="319"/>
    </row>
    <row r="6717" spans="23:23" x14ac:dyDescent="0.2">
      <c r="W6717" s="319"/>
    </row>
    <row r="6718" spans="23:23" x14ac:dyDescent="0.2">
      <c r="W6718" s="319"/>
    </row>
    <row r="6719" spans="23:23" x14ac:dyDescent="0.2">
      <c r="W6719" s="319"/>
    </row>
    <row r="6720" spans="23:23" x14ac:dyDescent="0.2">
      <c r="W6720" s="319"/>
    </row>
    <row r="6721" spans="23:23" x14ac:dyDescent="0.2">
      <c r="W6721" s="319"/>
    </row>
    <row r="6722" spans="23:23" x14ac:dyDescent="0.2">
      <c r="W6722" s="319"/>
    </row>
    <row r="6723" spans="23:23" x14ac:dyDescent="0.2">
      <c r="W6723" s="319"/>
    </row>
    <row r="6724" spans="23:23" x14ac:dyDescent="0.2">
      <c r="W6724" s="319"/>
    </row>
    <row r="6725" spans="23:23" x14ac:dyDescent="0.2">
      <c r="W6725" s="319"/>
    </row>
    <row r="6726" spans="23:23" x14ac:dyDescent="0.2">
      <c r="W6726" s="319"/>
    </row>
    <row r="6727" spans="23:23" x14ac:dyDescent="0.2">
      <c r="W6727" s="319"/>
    </row>
    <row r="6728" spans="23:23" x14ac:dyDescent="0.2">
      <c r="W6728" s="319"/>
    </row>
    <row r="6729" spans="23:23" x14ac:dyDescent="0.2">
      <c r="W6729" s="319"/>
    </row>
    <row r="6730" spans="23:23" x14ac:dyDescent="0.2">
      <c r="W6730" s="319"/>
    </row>
    <row r="6731" spans="23:23" x14ac:dyDescent="0.2">
      <c r="W6731" s="319"/>
    </row>
    <row r="6732" spans="23:23" x14ac:dyDescent="0.2">
      <c r="W6732" s="319"/>
    </row>
    <row r="6733" spans="23:23" x14ac:dyDescent="0.2">
      <c r="W6733" s="319"/>
    </row>
    <row r="6734" spans="23:23" x14ac:dyDescent="0.2">
      <c r="W6734" s="319"/>
    </row>
    <row r="6735" spans="23:23" x14ac:dyDescent="0.2">
      <c r="W6735" s="319"/>
    </row>
    <row r="6736" spans="23:23" x14ac:dyDescent="0.2">
      <c r="W6736" s="319"/>
    </row>
    <row r="6737" spans="23:23" x14ac:dyDescent="0.2">
      <c r="W6737" s="319"/>
    </row>
    <row r="6738" spans="23:23" x14ac:dyDescent="0.2">
      <c r="W6738" s="319"/>
    </row>
    <row r="6739" spans="23:23" x14ac:dyDescent="0.2">
      <c r="W6739" s="319"/>
    </row>
    <row r="6740" spans="23:23" x14ac:dyDescent="0.2">
      <c r="W6740" s="319"/>
    </row>
    <row r="6741" spans="23:23" x14ac:dyDescent="0.2">
      <c r="W6741" s="319"/>
    </row>
    <row r="6742" spans="23:23" x14ac:dyDescent="0.2">
      <c r="W6742" s="319"/>
    </row>
    <row r="6743" spans="23:23" x14ac:dyDescent="0.2">
      <c r="W6743" s="319"/>
    </row>
    <row r="6744" spans="23:23" x14ac:dyDescent="0.2">
      <c r="W6744" s="319"/>
    </row>
    <row r="6745" spans="23:23" x14ac:dyDescent="0.2">
      <c r="W6745" s="319"/>
    </row>
    <row r="6746" spans="23:23" x14ac:dyDescent="0.2">
      <c r="W6746" s="319"/>
    </row>
    <row r="6747" spans="23:23" x14ac:dyDescent="0.2">
      <c r="W6747" s="319"/>
    </row>
    <row r="6748" spans="23:23" x14ac:dyDescent="0.2">
      <c r="W6748" s="319"/>
    </row>
    <row r="6749" spans="23:23" x14ac:dyDescent="0.2">
      <c r="W6749" s="319"/>
    </row>
    <row r="6750" spans="23:23" x14ac:dyDescent="0.2">
      <c r="W6750" s="319"/>
    </row>
    <row r="6751" spans="23:23" x14ac:dyDescent="0.2">
      <c r="W6751" s="319"/>
    </row>
    <row r="6752" spans="23:23" x14ac:dyDescent="0.2">
      <c r="W6752" s="319"/>
    </row>
    <row r="6753" spans="23:23" x14ac:dyDescent="0.2">
      <c r="W6753" s="319"/>
    </row>
    <row r="6754" spans="23:23" x14ac:dyDescent="0.2">
      <c r="W6754" s="319"/>
    </row>
    <row r="6755" spans="23:23" x14ac:dyDescent="0.2">
      <c r="W6755" s="319"/>
    </row>
    <row r="6756" spans="23:23" x14ac:dyDescent="0.2">
      <c r="W6756" s="319"/>
    </row>
    <row r="6757" spans="23:23" x14ac:dyDescent="0.2">
      <c r="W6757" s="319"/>
    </row>
    <row r="6758" spans="23:23" x14ac:dyDescent="0.2">
      <c r="W6758" s="319"/>
    </row>
    <row r="6759" spans="23:23" x14ac:dyDescent="0.2">
      <c r="W6759" s="319"/>
    </row>
    <row r="6760" spans="23:23" x14ac:dyDescent="0.2">
      <c r="W6760" s="319"/>
    </row>
    <row r="6761" spans="23:23" x14ac:dyDescent="0.2">
      <c r="W6761" s="319"/>
    </row>
    <row r="6762" spans="23:23" x14ac:dyDescent="0.2">
      <c r="W6762" s="319"/>
    </row>
    <row r="6763" spans="23:23" x14ac:dyDescent="0.2">
      <c r="W6763" s="319"/>
    </row>
    <row r="6764" spans="23:23" x14ac:dyDescent="0.2">
      <c r="W6764" s="319"/>
    </row>
    <row r="6765" spans="23:23" x14ac:dyDescent="0.2">
      <c r="W6765" s="319"/>
    </row>
    <row r="6766" spans="23:23" x14ac:dyDescent="0.2">
      <c r="W6766" s="319"/>
    </row>
    <row r="6767" spans="23:23" x14ac:dyDescent="0.2">
      <c r="W6767" s="319"/>
    </row>
    <row r="6768" spans="23:23" x14ac:dyDescent="0.2">
      <c r="W6768" s="319"/>
    </row>
    <row r="6769" spans="23:23" x14ac:dyDescent="0.2">
      <c r="W6769" s="319"/>
    </row>
    <row r="6770" spans="23:23" x14ac:dyDescent="0.2">
      <c r="W6770" s="319"/>
    </row>
    <row r="6771" spans="23:23" x14ac:dyDescent="0.2">
      <c r="W6771" s="319"/>
    </row>
    <row r="6772" spans="23:23" x14ac:dyDescent="0.2">
      <c r="W6772" s="319"/>
    </row>
    <row r="6773" spans="23:23" x14ac:dyDescent="0.2">
      <c r="W6773" s="319"/>
    </row>
    <row r="6774" spans="23:23" x14ac:dyDescent="0.2">
      <c r="W6774" s="319"/>
    </row>
    <row r="6775" spans="23:23" x14ac:dyDescent="0.2">
      <c r="W6775" s="319"/>
    </row>
    <row r="6776" spans="23:23" x14ac:dyDescent="0.2">
      <c r="W6776" s="319"/>
    </row>
    <row r="6777" spans="23:23" x14ac:dyDescent="0.2">
      <c r="W6777" s="319"/>
    </row>
    <row r="6778" spans="23:23" x14ac:dyDescent="0.2">
      <c r="W6778" s="319"/>
    </row>
    <row r="6779" spans="23:23" x14ac:dyDescent="0.2">
      <c r="W6779" s="319"/>
    </row>
    <row r="6780" spans="23:23" x14ac:dyDescent="0.2">
      <c r="W6780" s="319"/>
    </row>
    <row r="6781" spans="23:23" x14ac:dyDescent="0.2">
      <c r="W6781" s="319"/>
    </row>
    <row r="6782" spans="23:23" x14ac:dyDescent="0.2">
      <c r="W6782" s="319"/>
    </row>
    <row r="6783" spans="23:23" x14ac:dyDescent="0.2">
      <c r="W6783" s="319"/>
    </row>
    <row r="6784" spans="23:23" x14ac:dyDescent="0.2">
      <c r="W6784" s="319"/>
    </row>
    <row r="6785" spans="23:23" x14ac:dyDescent="0.2">
      <c r="W6785" s="319"/>
    </row>
    <row r="6786" spans="23:23" x14ac:dyDescent="0.2">
      <c r="W6786" s="319"/>
    </row>
    <row r="6787" spans="23:23" x14ac:dyDescent="0.2">
      <c r="W6787" s="319"/>
    </row>
    <row r="6788" spans="23:23" x14ac:dyDescent="0.2">
      <c r="W6788" s="319"/>
    </row>
    <row r="6789" spans="23:23" x14ac:dyDescent="0.2">
      <c r="W6789" s="319"/>
    </row>
    <row r="6790" spans="23:23" x14ac:dyDescent="0.2">
      <c r="W6790" s="319"/>
    </row>
    <row r="6791" spans="23:23" x14ac:dyDescent="0.2">
      <c r="W6791" s="319"/>
    </row>
    <row r="6792" spans="23:23" x14ac:dyDescent="0.2">
      <c r="W6792" s="319"/>
    </row>
    <row r="6793" spans="23:23" x14ac:dyDescent="0.2">
      <c r="W6793" s="319"/>
    </row>
    <row r="6794" spans="23:23" x14ac:dyDescent="0.2">
      <c r="W6794" s="319"/>
    </row>
    <row r="6795" spans="23:23" x14ac:dyDescent="0.2">
      <c r="W6795" s="319"/>
    </row>
    <row r="6796" spans="23:23" x14ac:dyDescent="0.2">
      <c r="W6796" s="319"/>
    </row>
    <row r="6797" spans="23:23" x14ac:dyDescent="0.2">
      <c r="W6797" s="319"/>
    </row>
    <row r="6798" spans="23:23" x14ac:dyDescent="0.2">
      <c r="W6798" s="319"/>
    </row>
    <row r="6799" spans="23:23" x14ac:dyDescent="0.2">
      <c r="W6799" s="319"/>
    </row>
    <row r="6800" spans="23:23" x14ac:dyDescent="0.2">
      <c r="W6800" s="319"/>
    </row>
    <row r="6801" spans="23:23" x14ac:dyDescent="0.2">
      <c r="W6801" s="319"/>
    </row>
    <row r="6802" spans="23:23" x14ac:dyDescent="0.2">
      <c r="W6802" s="319"/>
    </row>
    <row r="6803" spans="23:23" x14ac:dyDescent="0.2">
      <c r="W6803" s="319"/>
    </row>
    <row r="6804" spans="23:23" x14ac:dyDescent="0.2">
      <c r="W6804" s="319"/>
    </row>
    <row r="6805" spans="23:23" x14ac:dyDescent="0.2">
      <c r="W6805" s="319"/>
    </row>
    <row r="6806" spans="23:23" x14ac:dyDescent="0.2">
      <c r="W6806" s="319"/>
    </row>
    <row r="6807" spans="23:23" x14ac:dyDescent="0.2">
      <c r="W6807" s="319"/>
    </row>
    <row r="6808" spans="23:23" x14ac:dyDescent="0.2">
      <c r="W6808" s="319"/>
    </row>
    <row r="6809" spans="23:23" x14ac:dyDescent="0.2">
      <c r="W6809" s="319"/>
    </row>
    <row r="6810" spans="23:23" x14ac:dyDescent="0.2">
      <c r="W6810" s="319"/>
    </row>
    <row r="6811" spans="23:23" x14ac:dyDescent="0.2">
      <c r="W6811" s="319"/>
    </row>
    <row r="6812" spans="23:23" x14ac:dyDescent="0.2">
      <c r="W6812" s="319"/>
    </row>
    <row r="6813" spans="23:23" x14ac:dyDescent="0.2">
      <c r="W6813" s="319"/>
    </row>
    <row r="6814" spans="23:23" x14ac:dyDescent="0.2">
      <c r="W6814" s="319"/>
    </row>
    <row r="6815" spans="23:23" x14ac:dyDescent="0.2">
      <c r="W6815" s="319"/>
    </row>
    <row r="6816" spans="23:23" x14ac:dyDescent="0.2">
      <c r="W6816" s="319"/>
    </row>
    <row r="6817" spans="23:23" x14ac:dyDescent="0.2">
      <c r="W6817" s="319"/>
    </row>
    <row r="6818" spans="23:23" x14ac:dyDescent="0.2">
      <c r="W6818" s="319"/>
    </row>
    <row r="6819" spans="23:23" x14ac:dyDescent="0.2">
      <c r="W6819" s="319"/>
    </row>
    <row r="6820" spans="23:23" x14ac:dyDescent="0.2">
      <c r="W6820" s="319"/>
    </row>
    <row r="6821" spans="23:23" x14ac:dyDescent="0.2">
      <c r="W6821" s="319"/>
    </row>
    <row r="6822" spans="23:23" x14ac:dyDescent="0.2">
      <c r="W6822" s="319"/>
    </row>
    <row r="6823" spans="23:23" x14ac:dyDescent="0.2">
      <c r="W6823" s="319"/>
    </row>
    <row r="6824" spans="23:23" x14ac:dyDescent="0.2">
      <c r="W6824" s="319"/>
    </row>
    <row r="6825" spans="23:23" x14ac:dyDescent="0.2">
      <c r="W6825" s="319"/>
    </row>
    <row r="6826" spans="23:23" x14ac:dyDescent="0.2">
      <c r="W6826" s="319"/>
    </row>
    <row r="6827" spans="23:23" x14ac:dyDescent="0.2">
      <c r="W6827" s="319"/>
    </row>
    <row r="6828" spans="23:23" x14ac:dyDescent="0.2">
      <c r="W6828" s="319"/>
    </row>
    <row r="6829" spans="23:23" x14ac:dyDescent="0.2">
      <c r="W6829" s="319"/>
    </row>
    <row r="6830" spans="23:23" x14ac:dyDescent="0.2">
      <c r="W6830" s="319"/>
    </row>
    <row r="6831" spans="23:23" x14ac:dyDescent="0.2">
      <c r="W6831" s="319"/>
    </row>
    <row r="6832" spans="23:23" x14ac:dyDescent="0.2">
      <c r="W6832" s="319"/>
    </row>
    <row r="6833" spans="23:23" x14ac:dyDescent="0.2">
      <c r="W6833" s="319"/>
    </row>
    <row r="6834" spans="23:23" x14ac:dyDescent="0.2">
      <c r="W6834" s="319"/>
    </row>
    <row r="6835" spans="23:23" x14ac:dyDescent="0.2">
      <c r="W6835" s="319"/>
    </row>
    <row r="6836" spans="23:23" x14ac:dyDescent="0.2">
      <c r="W6836" s="319"/>
    </row>
    <row r="6837" spans="23:23" x14ac:dyDescent="0.2">
      <c r="W6837" s="319"/>
    </row>
    <row r="6838" spans="23:23" x14ac:dyDescent="0.2">
      <c r="W6838" s="319"/>
    </row>
    <row r="6839" spans="23:23" x14ac:dyDescent="0.2">
      <c r="W6839" s="319"/>
    </row>
    <row r="6840" spans="23:23" x14ac:dyDescent="0.2">
      <c r="W6840" s="319"/>
    </row>
    <row r="6841" spans="23:23" x14ac:dyDescent="0.2">
      <c r="W6841" s="319"/>
    </row>
    <row r="6842" spans="23:23" x14ac:dyDescent="0.2">
      <c r="W6842" s="319"/>
    </row>
    <row r="6843" spans="23:23" x14ac:dyDescent="0.2">
      <c r="W6843" s="319"/>
    </row>
    <row r="6844" spans="23:23" x14ac:dyDescent="0.2">
      <c r="W6844" s="319"/>
    </row>
    <row r="6845" spans="23:23" x14ac:dyDescent="0.2">
      <c r="W6845" s="319"/>
    </row>
    <row r="6846" spans="23:23" x14ac:dyDescent="0.2">
      <c r="W6846" s="319"/>
    </row>
    <row r="6847" spans="23:23" x14ac:dyDescent="0.2">
      <c r="W6847" s="319"/>
    </row>
    <row r="6848" spans="23:23" x14ac:dyDescent="0.2">
      <c r="W6848" s="319"/>
    </row>
    <row r="6849" spans="23:23" x14ac:dyDescent="0.2">
      <c r="W6849" s="319"/>
    </row>
    <row r="6850" spans="23:23" x14ac:dyDescent="0.2">
      <c r="W6850" s="319"/>
    </row>
    <row r="6851" spans="23:23" x14ac:dyDescent="0.2">
      <c r="W6851" s="319"/>
    </row>
    <row r="6852" spans="23:23" x14ac:dyDescent="0.2">
      <c r="W6852" s="319"/>
    </row>
    <row r="6853" spans="23:23" x14ac:dyDescent="0.2">
      <c r="W6853" s="319"/>
    </row>
    <row r="6854" spans="23:23" x14ac:dyDescent="0.2">
      <c r="W6854" s="319"/>
    </row>
    <row r="6855" spans="23:23" x14ac:dyDescent="0.2">
      <c r="W6855" s="319"/>
    </row>
    <row r="6856" spans="23:23" x14ac:dyDescent="0.2">
      <c r="W6856" s="319"/>
    </row>
    <row r="6857" spans="23:23" x14ac:dyDescent="0.2">
      <c r="W6857" s="319"/>
    </row>
    <row r="6858" spans="23:23" x14ac:dyDescent="0.2">
      <c r="W6858" s="319"/>
    </row>
    <row r="6859" spans="23:23" x14ac:dyDescent="0.2">
      <c r="W6859" s="319"/>
    </row>
    <row r="6860" spans="23:23" x14ac:dyDescent="0.2">
      <c r="W6860" s="319"/>
    </row>
    <row r="6861" spans="23:23" x14ac:dyDescent="0.2">
      <c r="W6861" s="319"/>
    </row>
    <row r="6862" spans="23:23" x14ac:dyDescent="0.2">
      <c r="W6862" s="319"/>
    </row>
    <row r="6863" spans="23:23" x14ac:dyDescent="0.2">
      <c r="W6863" s="319"/>
    </row>
    <row r="6864" spans="23:23" x14ac:dyDescent="0.2">
      <c r="W6864" s="319"/>
    </row>
    <row r="6865" spans="23:23" x14ac:dyDescent="0.2">
      <c r="W6865" s="319"/>
    </row>
    <row r="6866" spans="23:23" x14ac:dyDescent="0.2">
      <c r="W6866" s="319"/>
    </row>
    <row r="6867" spans="23:23" x14ac:dyDescent="0.2">
      <c r="W6867" s="319"/>
    </row>
    <row r="6868" spans="23:23" x14ac:dyDescent="0.2">
      <c r="W6868" s="319"/>
    </row>
    <row r="6869" spans="23:23" x14ac:dyDescent="0.2">
      <c r="W6869" s="319"/>
    </row>
    <row r="6870" spans="23:23" x14ac:dyDescent="0.2">
      <c r="W6870" s="319"/>
    </row>
    <row r="6871" spans="23:23" x14ac:dyDescent="0.2">
      <c r="W6871" s="319"/>
    </row>
    <row r="6872" spans="23:23" x14ac:dyDescent="0.2">
      <c r="W6872" s="319"/>
    </row>
    <row r="6873" spans="23:23" x14ac:dyDescent="0.2">
      <c r="W6873" s="319"/>
    </row>
    <row r="6874" spans="23:23" x14ac:dyDescent="0.2">
      <c r="W6874" s="319"/>
    </row>
    <row r="6875" spans="23:23" x14ac:dyDescent="0.2">
      <c r="W6875" s="319"/>
    </row>
    <row r="6876" spans="23:23" x14ac:dyDescent="0.2">
      <c r="W6876" s="319"/>
    </row>
    <row r="6877" spans="23:23" x14ac:dyDescent="0.2">
      <c r="W6877" s="319"/>
    </row>
    <row r="6878" spans="23:23" x14ac:dyDescent="0.2">
      <c r="W6878" s="319"/>
    </row>
    <row r="6879" spans="23:23" x14ac:dyDescent="0.2">
      <c r="W6879" s="319"/>
    </row>
    <row r="6880" spans="23:23" x14ac:dyDescent="0.2">
      <c r="W6880" s="319"/>
    </row>
    <row r="6881" spans="23:23" x14ac:dyDescent="0.2">
      <c r="W6881" s="319"/>
    </row>
    <row r="6882" spans="23:23" x14ac:dyDescent="0.2">
      <c r="W6882" s="319"/>
    </row>
    <row r="6883" spans="23:23" x14ac:dyDescent="0.2">
      <c r="W6883" s="319"/>
    </row>
    <row r="6884" spans="23:23" x14ac:dyDescent="0.2">
      <c r="W6884" s="319"/>
    </row>
    <row r="6885" spans="23:23" x14ac:dyDescent="0.2">
      <c r="W6885" s="319"/>
    </row>
    <row r="6886" spans="23:23" x14ac:dyDescent="0.2">
      <c r="W6886" s="319"/>
    </row>
    <row r="6887" spans="23:23" x14ac:dyDescent="0.2">
      <c r="W6887" s="319"/>
    </row>
    <row r="6888" spans="23:23" x14ac:dyDescent="0.2">
      <c r="W6888" s="319"/>
    </row>
    <row r="6889" spans="23:23" x14ac:dyDescent="0.2">
      <c r="W6889" s="319"/>
    </row>
    <row r="6890" spans="23:23" x14ac:dyDescent="0.2">
      <c r="W6890" s="319"/>
    </row>
    <row r="6891" spans="23:23" x14ac:dyDescent="0.2">
      <c r="W6891" s="319"/>
    </row>
    <row r="6892" spans="23:23" x14ac:dyDescent="0.2">
      <c r="W6892" s="319"/>
    </row>
    <row r="6893" spans="23:23" x14ac:dyDescent="0.2">
      <c r="W6893" s="319"/>
    </row>
    <row r="6894" spans="23:23" x14ac:dyDescent="0.2">
      <c r="W6894" s="319"/>
    </row>
    <row r="6895" spans="23:23" x14ac:dyDescent="0.2">
      <c r="W6895" s="319"/>
    </row>
    <row r="6896" spans="23:23" x14ac:dyDescent="0.2">
      <c r="W6896" s="319"/>
    </row>
    <row r="6897" spans="23:23" x14ac:dyDescent="0.2">
      <c r="W6897" s="319"/>
    </row>
    <row r="6898" spans="23:23" x14ac:dyDescent="0.2">
      <c r="W6898" s="319"/>
    </row>
    <row r="6899" spans="23:23" x14ac:dyDescent="0.2">
      <c r="W6899" s="319"/>
    </row>
    <row r="6900" spans="23:23" x14ac:dyDescent="0.2">
      <c r="W6900" s="319"/>
    </row>
    <row r="6901" spans="23:23" x14ac:dyDescent="0.2">
      <c r="W6901" s="319"/>
    </row>
    <row r="6902" spans="23:23" x14ac:dyDescent="0.2">
      <c r="W6902" s="319"/>
    </row>
    <row r="6903" spans="23:23" x14ac:dyDescent="0.2">
      <c r="W6903" s="319"/>
    </row>
    <row r="6904" spans="23:23" x14ac:dyDescent="0.2">
      <c r="W6904" s="319"/>
    </row>
    <row r="6905" spans="23:23" x14ac:dyDescent="0.2">
      <c r="W6905" s="319"/>
    </row>
    <row r="6906" spans="23:23" x14ac:dyDescent="0.2">
      <c r="W6906" s="319"/>
    </row>
    <row r="6907" spans="23:23" x14ac:dyDescent="0.2">
      <c r="W6907" s="319"/>
    </row>
    <row r="6908" spans="23:23" x14ac:dyDescent="0.2">
      <c r="W6908" s="319"/>
    </row>
    <row r="6909" spans="23:23" x14ac:dyDescent="0.2">
      <c r="W6909" s="319"/>
    </row>
    <row r="6910" spans="23:23" x14ac:dyDescent="0.2">
      <c r="W6910" s="319"/>
    </row>
    <row r="6911" spans="23:23" x14ac:dyDescent="0.2">
      <c r="W6911" s="319"/>
    </row>
    <row r="6912" spans="23:23" x14ac:dyDescent="0.2">
      <c r="W6912" s="319"/>
    </row>
    <row r="6913" spans="23:23" x14ac:dyDescent="0.2">
      <c r="W6913" s="319"/>
    </row>
    <row r="6914" spans="23:23" x14ac:dyDescent="0.2">
      <c r="W6914" s="319"/>
    </row>
    <row r="6915" spans="23:23" x14ac:dyDescent="0.2">
      <c r="W6915" s="319"/>
    </row>
    <row r="6916" spans="23:23" x14ac:dyDescent="0.2">
      <c r="W6916" s="319"/>
    </row>
    <row r="6917" spans="23:23" x14ac:dyDescent="0.2">
      <c r="W6917" s="319"/>
    </row>
    <row r="6918" spans="23:23" x14ac:dyDescent="0.2">
      <c r="W6918" s="319"/>
    </row>
    <row r="6919" spans="23:23" x14ac:dyDescent="0.2">
      <c r="W6919" s="319"/>
    </row>
    <row r="6920" spans="23:23" x14ac:dyDescent="0.2">
      <c r="W6920" s="319"/>
    </row>
    <row r="6921" spans="23:23" x14ac:dyDescent="0.2">
      <c r="W6921" s="319"/>
    </row>
    <row r="6922" spans="23:23" x14ac:dyDescent="0.2">
      <c r="W6922" s="319"/>
    </row>
    <row r="6923" spans="23:23" x14ac:dyDescent="0.2">
      <c r="W6923" s="319"/>
    </row>
    <row r="6924" spans="23:23" x14ac:dyDescent="0.2">
      <c r="W6924" s="319"/>
    </row>
    <row r="6925" spans="23:23" x14ac:dyDescent="0.2">
      <c r="W6925" s="319"/>
    </row>
    <row r="6926" spans="23:23" x14ac:dyDescent="0.2">
      <c r="W6926" s="319"/>
    </row>
    <row r="6927" spans="23:23" x14ac:dyDescent="0.2">
      <c r="W6927" s="319"/>
    </row>
    <row r="6928" spans="23:23" x14ac:dyDescent="0.2">
      <c r="W6928" s="319"/>
    </row>
    <row r="6929" spans="23:23" x14ac:dyDescent="0.2">
      <c r="W6929" s="319"/>
    </row>
    <row r="6930" spans="23:23" x14ac:dyDescent="0.2">
      <c r="W6930" s="319"/>
    </row>
    <row r="6931" spans="23:23" x14ac:dyDescent="0.2">
      <c r="W6931" s="319"/>
    </row>
    <row r="6932" spans="23:23" x14ac:dyDescent="0.2">
      <c r="W6932" s="319"/>
    </row>
    <row r="6933" spans="23:23" x14ac:dyDescent="0.2">
      <c r="W6933" s="319"/>
    </row>
    <row r="6934" spans="23:23" x14ac:dyDescent="0.2">
      <c r="W6934" s="319"/>
    </row>
    <row r="6935" spans="23:23" x14ac:dyDescent="0.2">
      <c r="W6935" s="319"/>
    </row>
    <row r="6936" spans="23:23" x14ac:dyDescent="0.2">
      <c r="W6936" s="319"/>
    </row>
    <row r="6937" spans="23:23" x14ac:dyDescent="0.2">
      <c r="W6937" s="319"/>
    </row>
    <row r="6938" spans="23:23" x14ac:dyDescent="0.2">
      <c r="W6938" s="319"/>
    </row>
    <row r="6939" spans="23:23" x14ac:dyDescent="0.2">
      <c r="W6939" s="319"/>
    </row>
    <row r="6940" spans="23:23" x14ac:dyDescent="0.2">
      <c r="W6940" s="319"/>
    </row>
    <row r="6941" spans="23:23" x14ac:dyDescent="0.2">
      <c r="W6941" s="319"/>
    </row>
    <row r="6942" spans="23:23" x14ac:dyDescent="0.2">
      <c r="W6942" s="319"/>
    </row>
    <row r="6943" spans="23:23" x14ac:dyDescent="0.2">
      <c r="W6943" s="319"/>
    </row>
    <row r="6944" spans="23:23" x14ac:dyDescent="0.2">
      <c r="W6944" s="319"/>
    </row>
    <row r="6945" spans="23:23" x14ac:dyDescent="0.2">
      <c r="W6945" s="319"/>
    </row>
    <row r="6946" spans="23:23" x14ac:dyDescent="0.2">
      <c r="W6946" s="319"/>
    </row>
    <row r="6947" spans="23:23" x14ac:dyDescent="0.2">
      <c r="W6947" s="319"/>
    </row>
    <row r="6948" spans="23:23" x14ac:dyDescent="0.2">
      <c r="W6948" s="319"/>
    </row>
    <row r="6949" spans="23:23" x14ac:dyDescent="0.2">
      <c r="W6949" s="319"/>
    </row>
    <row r="6950" spans="23:23" x14ac:dyDescent="0.2">
      <c r="W6950" s="319"/>
    </row>
    <row r="6951" spans="23:23" x14ac:dyDescent="0.2">
      <c r="W6951" s="319"/>
    </row>
    <row r="6952" spans="23:23" x14ac:dyDescent="0.2">
      <c r="W6952" s="319"/>
    </row>
    <row r="6953" spans="23:23" x14ac:dyDescent="0.2">
      <c r="W6953" s="319"/>
    </row>
    <row r="6954" spans="23:23" x14ac:dyDescent="0.2">
      <c r="W6954" s="319"/>
    </row>
    <row r="6955" spans="23:23" x14ac:dyDescent="0.2">
      <c r="W6955" s="319"/>
    </row>
    <row r="6956" spans="23:23" x14ac:dyDescent="0.2">
      <c r="W6956" s="319"/>
    </row>
    <row r="6957" spans="23:23" x14ac:dyDescent="0.2">
      <c r="W6957" s="319"/>
    </row>
    <row r="6958" spans="23:23" x14ac:dyDescent="0.2">
      <c r="W6958" s="319"/>
    </row>
    <row r="6959" spans="23:23" x14ac:dyDescent="0.2">
      <c r="W6959" s="319"/>
    </row>
    <row r="6960" spans="23:23" x14ac:dyDescent="0.2">
      <c r="W6960" s="319"/>
    </row>
    <row r="6961" spans="23:23" x14ac:dyDescent="0.2">
      <c r="W6961" s="319"/>
    </row>
    <row r="6962" spans="23:23" x14ac:dyDescent="0.2">
      <c r="W6962" s="319"/>
    </row>
    <row r="6963" spans="23:23" x14ac:dyDescent="0.2">
      <c r="W6963" s="319"/>
    </row>
    <row r="6964" spans="23:23" x14ac:dyDescent="0.2">
      <c r="W6964" s="319"/>
    </row>
    <row r="6965" spans="23:23" x14ac:dyDescent="0.2">
      <c r="W6965" s="319"/>
    </row>
    <row r="6966" spans="23:23" x14ac:dyDescent="0.2">
      <c r="W6966" s="319"/>
    </row>
    <row r="6967" spans="23:23" x14ac:dyDescent="0.2">
      <c r="W6967" s="319"/>
    </row>
    <row r="6968" spans="23:23" x14ac:dyDescent="0.2">
      <c r="W6968" s="319"/>
    </row>
    <row r="6969" spans="23:23" x14ac:dyDescent="0.2">
      <c r="W6969" s="319"/>
    </row>
    <row r="6970" spans="23:23" x14ac:dyDescent="0.2">
      <c r="W6970" s="319"/>
    </row>
    <row r="6971" spans="23:23" x14ac:dyDescent="0.2">
      <c r="W6971" s="319"/>
    </row>
    <row r="6972" spans="23:23" x14ac:dyDescent="0.2">
      <c r="W6972" s="319"/>
    </row>
    <row r="6973" spans="23:23" x14ac:dyDescent="0.2">
      <c r="W6973" s="319"/>
    </row>
    <row r="6974" spans="23:23" x14ac:dyDescent="0.2">
      <c r="W6974" s="319"/>
    </row>
    <row r="6975" spans="23:23" x14ac:dyDescent="0.2">
      <c r="W6975" s="319"/>
    </row>
    <row r="6976" spans="23:23" x14ac:dyDescent="0.2">
      <c r="W6976" s="319"/>
    </row>
    <row r="6977" spans="23:23" x14ac:dyDescent="0.2">
      <c r="W6977" s="319"/>
    </row>
    <row r="6978" spans="23:23" x14ac:dyDescent="0.2">
      <c r="W6978" s="319"/>
    </row>
    <row r="6979" spans="23:23" x14ac:dyDescent="0.2">
      <c r="W6979" s="319"/>
    </row>
    <row r="6980" spans="23:23" x14ac:dyDescent="0.2">
      <c r="W6980" s="319"/>
    </row>
    <row r="6981" spans="23:23" x14ac:dyDescent="0.2">
      <c r="W6981" s="319"/>
    </row>
    <row r="6982" spans="23:23" x14ac:dyDescent="0.2">
      <c r="W6982" s="319"/>
    </row>
    <row r="6983" spans="23:23" x14ac:dyDescent="0.2">
      <c r="W6983" s="319"/>
    </row>
    <row r="6984" spans="23:23" x14ac:dyDescent="0.2">
      <c r="W6984" s="319"/>
    </row>
    <row r="6985" spans="23:23" x14ac:dyDescent="0.2">
      <c r="W6985" s="319"/>
    </row>
    <row r="6986" spans="23:23" x14ac:dyDescent="0.2">
      <c r="W6986" s="319"/>
    </row>
    <row r="6987" spans="23:23" x14ac:dyDescent="0.2">
      <c r="W6987" s="319"/>
    </row>
    <row r="6988" spans="23:23" x14ac:dyDescent="0.2">
      <c r="W6988" s="319"/>
    </row>
    <row r="6989" spans="23:23" x14ac:dyDescent="0.2">
      <c r="W6989" s="319"/>
    </row>
    <row r="6990" spans="23:23" x14ac:dyDescent="0.2">
      <c r="W6990" s="319"/>
    </row>
    <row r="6991" spans="23:23" x14ac:dyDescent="0.2">
      <c r="W6991" s="319"/>
    </row>
    <row r="6992" spans="23:23" x14ac:dyDescent="0.2">
      <c r="W6992" s="319"/>
    </row>
    <row r="6993" spans="23:23" x14ac:dyDescent="0.2">
      <c r="W6993" s="319"/>
    </row>
    <row r="6994" spans="23:23" x14ac:dyDescent="0.2">
      <c r="W6994" s="319"/>
    </row>
    <row r="6995" spans="23:23" x14ac:dyDescent="0.2">
      <c r="W6995" s="319"/>
    </row>
    <row r="6996" spans="23:23" x14ac:dyDescent="0.2">
      <c r="W6996" s="319"/>
    </row>
    <row r="6997" spans="23:23" x14ac:dyDescent="0.2">
      <c r="W6997" s="319"/>
    </row>
    <row r="6998" spans="23:23" x14ac:dyDescent="0.2">
      <c r="W6998" s="319"/>
    </row>
    <row r="6999" spans="23:23" x14ac:dyDescent="0.2">
      <c r="W6999" s="319"/>
    </row>
    <row r="7000" spans="23:23" x14ac:dyDescent="0.2">
      <c r="W7000" s="319"/>
    </row>
    <row r="7001" spans="23:23" x14ac:dyDescent="0.2">
      <c r="W7001" s="319"/>
    </row>
    <row r="7002" spans="23:23" x14ac:dyDescent="0.2">
      <c r="W7002" s="319"/>
    </row>
    <row r="7003" spans="23:23" x14ac:dyDescent="0.2">
      <c r="W7003" s="319"/>
    </row>
    <row r="7004" spans="23:23" x14ac:dyDescent="0.2">
      <c r="W7004" s="319"/>
    </row>
    <row r="7005" spans="23:23" x14ac:dyDescent="0.2">
      <c r="W7005" s="319"/>
    </row>
    <row r="7006" spans="23:23" x14ac:dyDescent="0.2">
      <c r="W7006" s="319"/>
    </row>
    <row r="7007" spans="23:23" x14ac:dyDescent="0.2">
      <c r="W7007" s="319"/>
    </row>
    <row r="7008" spans="23:23" x14ac:dyDescent="0.2">
      <c r="W7008" s="319"/>
    </row>
    <row r="7009" spans="23:23" x14ac:dyDescent="0.2">
      <c r="W7009" s="319"/>
    </row>
    <row r="7010" spans="23:23" x14ac:dyDescent="0.2">
      <c r="W7010" s="319"/>
    </row>
    <row r="7011" spans="23:23" x14ac:dyDescent="0.2">
      <c r="W7011" s="319"/>
    </row>
    <row r="7012" spans="23:23" x14ac:dyDescent="0.2">
      <c r="W7012" s="319"/>
    </row>
    <row r="7013" spans="23:23" x14ac:dyDescent="0.2">
      <c r="W7013" s="319"/>
    </row>
    <row r="7014" spans="23:23" x14ac:dyDescent="0.2">
      <c r="W7014" s="319"/>
    </row>
    <row r="7015" spans="23:23" x14ac:dyDescent="0.2">
      <c r="W7015" s="319"/>
    </row>
    <row r="7016" spans="23:23" x14ac:dyDescent="0.2">
      <c r="W7016" s="319"/>
    </row>
    <row r="7017" spans="23:23" x14ac:dyDescent="0.2">
      <c r="W7017" s="319"/>
    </row>
    <row r="7018" spans="23:23" x14ac:dyDescent="0.2">
      <c r="W7018" s="319"/>
    </row>
    <row r="7019" spans="23:23" x14ac:dyDescent="0.2">
      <c r="W7019" s="319"/>
    </row>
    <row r="7020" spans="23:23" x14ac:dyDescent="0.2">
      <c r="W7020" s="319"/>
    </row>
    <row r="7021" spans="23:23" x14ac:dyDescent="0.2">
      <c r="W7021" s="319"/>
    </row>
    <row r="7022" spans="23:23" x14ac:dyDescent="0.2">
      <c r="W7022" s="319"/>
    </row>
    <row r="7023" spans="23:23" x14ac:dyDescent="0.2">
      <c r="W7023" s="319"/>
    </row>
    <row r="7024" spans="23:23" x14ac:dyDescent="0.2">
      <c r="W7024" s="319"/>
    </row>
    <row r="7025" spans="23:23" x14ac:dyDescent="0.2">
      <c r="W7025" s="319"/>
    </row>
    <row r="7026" spans="23:23" x14ac:dyDescent="0.2">
      <c r="W7026" s="319"/>
    </row>
    <row r="7027" spans="23:23" x14ac:dyDescent="0.2">
      <c r="W7027" s="319"/>
    </row>
    <row r="7028" spans="23:23" x14ac:dyDescent="0.2">
      <c r="W7028" s="319"/>
    </row>
    <row r="7029" spans="23:23" x14ac:dyDescent="0.2">
      <c r="W7029" s="319"/>
    </row>
    <row r="7030" spans="23:23" x14ac:dyDescent="0.2">
      <c r="W7030" s="319"/>
    </row>
    <row r="7031" spans="23:23" x14ac:dyDescent="0.2">
      <c r="W7031" s="319"/>
    </row>
    <row r="7032" spans="23:23" x14ac:dyDescent="0.2">
      <c r="W7032" s="319"/>
    </row>
    <row r="7033" spans="23:23" x14ac:dyDescent="0.2">
      <c r="W7033" s="319"/>
    </row>
    <row r="7034" spans="23:23" x14ac:dyDescent="0.2">
      <c r="W7034" s="319"/>
    </row>
    <row r="7035" spans="23:23" x14ac:dyDescent="0.2">
      <c r="W7035" s="319"/>
    </row>
    <row r="7036" spans="23:23" x14ac:dyDescent="0.2">
      <c r="W7036" s="319"/>
    </row>
    <row r="7037" spans="23:23" x14ac:dyDescent="0.2">
      <c r="W7037" s="319"/>
    </row>
    <row r="7038" spans="23:23" x14ac:dyDescent="0.2">
      <c r="W7038" s="319"/>
    </row>
    <row r="7039" spans="23:23" x14ac:dyDescent="0.2">
      <c r="W7039" s="319"/>
    </row>
    <row r="7040" spans="23:23" x14ac:dyDescent="0.2">
      <c r="W7040" s="319"/>
    </row>
    <row r="7041" spans="23:23" x14ac:dyDescent="0.2">
      <c r="W7041" s="319"/>
    </row>
    <row r="7042" spans="23:23" x14ac:dyDescent="0.2">
      <c r="W7042" s="319"/>
    </row>
    <row r="7043" spans="23:23" x14ac:dyDescent="0.2">
      <c r="W7043" s="319"/>
    </row>
    <row r="7044" spans="23:23" x14ac:dyDescent="0.2">
      <c r="W7044" s="319"/>
    </row>
    <row r="7045" spans="23:23" x14ac:dyDescent="0.2">
      <c r="W7045" s="319"/>
    </row>
    <row r="7046" spans="23:23" x14ac:dyDescent="0.2">
      <c r="W7046" s="319"/>
    </row>
    <row r="7047" spans="23:23" x14ac:dyDescent="0.2">
      <c r="W7047" s="319"/>
    </row>
    <row r="7048" spans="23:23" x14ac:dyDescent="0.2">
      <c r="W7048" s="319"/>
    </row>
    <row r="7049" spans="23:23" x14ac:dyDescent="0.2">
      <c r="W7049" s="319"/>
    </row>
    <row r="7050" spans="23:23" x14ac:dyDescent="0.2">
      <c r="W7050" s="319"/>
    </row>
    <row r="7051" spans="23:23" x14ac:dyDescent="0.2">
      <c r="W7051" s="319"/>
    </row>
    <row r="7052" spans="23:23" x14ac:dyDescent="0.2">
      <c r="W7052" s="319"/>
    </row>
    <row r="7053" spans="23:23" x14ac:dyDescent="0.2">
      <c r="W7053" s="319"/>
    </row>
    <row r="7054" spans="23:23" x14ac:dyDescent="0.2">
      <c r="W7054" s="319"/>
    </row>
    <row r="7055" spans="23:23" x14ac:dyDescent="0.2">
      <c r="W7055" s="319"/>
    </row>
    <row r="7056" spans="23:23" x14ac:dyDescent="0.2">
      <c r="W7056" s="319"/>
    </row>
    <row r="7057" spans="23:23" x14ac:dyDescent="0.2">
      <c r="W7057" s="319"/>
    </row>
    <row r="7058" spans="23:23" x14ac:dyDescent="0.2">
      <c r="W7058" s="319"/>
    </row>
    <row r="7059" spans="23:23" x14ac:dyDescent="0.2">
      <c r="W7059" s="319"/>
    </row>
    <row r="7060" spans="23:23" x14ac:dyDescent="0.2">
      <c r="W7060" s="319"/>
    </row>
    <row r="7061" spans="23:23" x14ac:dyDescent="0.2">
      <c r="W7061" s="319"/>
    </row>
    <row r="7062" spans="23:23" x14ac:dyDescent="0.2">
      <c r="W7062" s="319"/>
    </row>
    <row r="7063" spans="23:23" x14ac:dyDescent="0.2">
      <c r="W7063" s="319"/>
    </row>
    <row r="7064" spans="23:23" x14ac:dyDescent="0.2">
      <c r="W7064" s="319"/>
    </row>
    <row r="7065" spans="23:23" x14ac:dyDescent="0.2">
      <c r="W7065" s="319"/>
    </row>
    <row r="7066" spans="23:23" x14ac:dyDescent="0.2">
      <c r="W7066" s="319"/>
    </row>
    <row r="7067" spans="23:23" x14ac:dyDescent="0.2">
      <c r="W7067" s="319"/>
    </row>
    <row r="7068" spans="23:23" x14ac:dyDescent="0.2">
      <c r="W7068" s="319"/>
    </row>
    <row r="7069" spans="23:23" x14ac:dyDescent="0.2">
      <c r="W7069" s="319"/>
    </row>
    <row r="7070" spans="23:23" x14ac:dyDescent="0.2">
      <c r="W7070" s="319"/>
    </row>
    <row r="7071" spans="23:23" x14ac:dyDescent="0.2">
      <c r="W7071" s="319"/>
    </row>
    <row r="7072" spans="23:23" x14ac:dyDescent="0.2">
      <c r="W7072" s="319"/>
    </row>
    <row r="7073" spans="23:23" x14ac:dyDescent="0.2">
      <c r="W7073" s="319"/>
    </row>
    <row r="7074" spans="23:23" x14ac:dyDescent="0.2">
      <c r="W7074" s="319"/>
    </row>
    <row r="7075" spans="23:23" x14ac:dyDescent="0.2">
      <c r="W7075" s="319"/>
    </row>
    <row r="7076" spans="23:23" x14ac:dyDescent="0.2">
      <c r="W7076" s="319"/>
    </row>
    <row r="7077" spans="23:23" x14ac:dyDescent="0.2">
      <c r="W7077" s="319"/>
    </row>
    <row r="7078" spans="23:23" x14ac:dyDescent="0.2">
      <c r="W7078" s="319"/>
    </row>
    <row r="7079" spans="23:23" x14ac:dyDescent="0.2">
      <c r="W7079" s="319"/>
    </row>
    <row r="7080" spans="23:23" x14ac:dyDescent="0.2">
      <c r="W7080" s="319"/>
    </row>
    <row r="7081" spans="23:23" x14ac:dyDescent="0.2">
      <c r="W7081" s="319"/>
    </row>
    <row r="7082" spans="23:23" x14ac:dyDescent="0.2">
      <c r="W7082" s="319"/>
    </row>
    <row r="7083" spans="23:23" x14ac:dyDescent="0.2">
      <c r="W7083" s="319"/>
    </row>
    <row r="7084" spans="23:23" x14ac:dyDescent="0.2">
      <c r="W7084" s="319"/>
    </row>
    <row r="7085" spans="23:23" x14ac:dyDescent="0.2">
      <c r="W7085" s="319"/>
    </row>
    <row r="7086" spans="23:23" x14ac:dyDescent="0.2">
      <c r="W7086" s="319"/>
    </row>
    <row r="7087" spans="23:23" x14ac:dyDescent="0.2">
      <c r="W7087" s="319"/>
    </row>
    <row r="7088" spans="23:23" x14ac:dyDescent="0.2">
      <c r="W7088" s="319"/>
    </row>
    <row r="7089" spans="23:23" x14ac:dyDescent="0.2">
      <c r="W7089" s="319"/>
    </row>
    <row r="7090" spans="23:23" x14ac:dyDescent="0.2">
      <c r="W7090" s="319"/>
    </row>
    <row r="7091" spans="23:23" x14ac:dyDescent="0.2">
      <c r="W7091" s="319"/>
    </row>
    <row r="7092" spans="23:23" x14ac:dyDescent="0.2">
      <c r="W7092" s="319"/>
    </row>
    <row r="7093" spans="23:23" x14ac:dyDescent="0.2">
      <c r="W7093" s="319"/>
    </row>
    <row r="7094" spans="23:23" x14ac:dyDescent="0.2">
      <c r="W7094" s="319"/>
    </row>
    <row r="7095" spans="23:23" x14ac:dyDescent="0.2">
      <c r="W7095" s="319"/>
    </row>
    <row r="7096" spans="23:23" x14ac:dyDescent="0.2">
      <c r="W7096" s="319"/>
    </row>
    <row r="7097" spans="23:23" x14ac:dyDescent="0.2">
      <c r="W7097" s="319"/>
    </row>
    <row r="7098" spans="23:23" x14ac:dyDescent="0.2">
      <c r="W7098" s="319"/>
    </row>
    <row r="7099" spans="23:23" x14ac:dyDescent="0.2">
      <c r="W7099" s="319"/>
    </row>
    <row r="7100" spans="23:23" x14ac:dyDescent="0.2">
      <c r="W7100" s="319"/>
    </row>
    <row r="7101" spans="23:23" x14ac:dyDescent="0.2">
      <c r="W7101" s="319"/>
    </row>
    <row r="7102" spans="23:23" x14ac:dyDescent="0.2">
      <c r="W7102" s="319"/>
    </row>
    <row r="7103" spans="23:23" x14ac:dyDescent="0.2">
      <c r="W7103" s="319"/>
    </row>
    <row r="7104" spans="23:23" x14ac:dyDescent="0.2">
      <c r="W7104" s="319"/>
    </row>
    <row r="7105" spans="23:23" x14ac:dyDescent="0.2">
      <c r="W7105" s="319"/>
    </row>
    <row r="7106" spans="23:23" x14ac:dyDescent="0.2">
      <c r="W7106" s="319"/>
    </row>
    <row r="7107" spans="23:23" x14ac:dyDescent="0.2">
      <c r="W7107" s="319"/>
    </row>
    <row r="7108" spans="23:23" x14ac:dyDescent="0.2">
      <c r="W7108" s="319"/>
    </row>
    <row r="7109" spans="23:23" x14ac:dyDescent="0.2">
      <c r="W7109" s="319"/>
    </row>
    <row r="7110" spans="23:23" x14ac:dyDescent="0.2">
      <c r="W7110" s="319"/>
    </row>
    <row r="7111" spans="23:23" x14ac:dyDescent="0.2">
      <c r="W7111" s="319"/>
    </row>
    <row r="7112" spans="23:23" x14ac:dyDescent="0.2">
      <c r="W7112" s="319"/>
    </row>
    <row r="7113" spans="23:23" x14ac:dyDescent="0.2">
      <c r="W7113" s="319"/>
    </row>
    <row r="7114" spans="23:23" x14ac:dyDescent="0.2">
      <c r="W7114" s="319"/>
    </row>
    <row r="7115" spans="23:23" x14ac:dyDescent="0.2">
      <c r="W7115" s="319"/>
    </row>
    <row r="7116" spans="23:23" x14ac:dyDescent="0.2">
      <c r="W7116" s="319"/>
    </row>
    <row r="7117" spans="23:23" x14ac:dyDescent="0.2">
      <c r="W7117" s="319"/>
    </row>
    <row r="7118" spans="23:23" x14ac:dyDescent="0.2">
      <c r="W7118" s="319"/>
    </row>
    <row r="7119" spans="23:23" x14ac:dyDescent="0.2">
      <c r="W7119" s="319"/>
    </row>
    <row r="7120" spans="23:23" x14ac:dyDescent="0.2">
      <c r="W7120" s="319"/>
    </row>
    <row r="7121" spans="23:23" x14ac:dyDescent="0.2">
      <c r="W7121" s="319"/>
    </row>
    <row r="7122" spans="23:23" x14ac:dyDescent="0.2">
      <c r="W7122" s="319"/>
    </row>
    <row r="7123" spans="23:23" x14ac:dyDescent="0.2">
      <c r="W7123" s="319"/>
    </row>
    <row r="7124" spans="23:23" x14ac:dyDescent="0.2">
      <c r="W7124" s="319"/>
    </row>
    <row r="7125" spans="23:23" x14ac:dyDescent="0.2">
      <c r="W7125" s="319"/>
    </row>
    <row r="7126" spans="23:23" x14ac:dyDescent="0.2">
      <c r="W7126" s="319"/>
    </row>
    <row r="7127" spans="23:23" x14ac:dyDescent="0.2">
      <c r="W7127" s="319"/>
    </row>
    <row r="7128" spans="23:23" x14ac:dyDescent="0.2">
      <c r="W7128" s="319"/>
    </row>
    <row r="7129" spans="23:23" x14ac:dyDescent="0.2">
      <c r="W7129" s="319"/>
    </row>
    <row r="7130" spans="23:23" x14ac:dyDescent="0.2">
      <c r="W7130" s="319"/>
    </row>
    <row r="7131" spans="23:23" x14ac:dyDescent="0.2">
      <c r="W7131" s="319"/>
    </row>
    <row r="7132" spans="23:23" x14ac:dyDescent="0.2">
      <c r="W7132" s="319"/>
    </row>
    <row r="7133" spans="23:23" x14ac:dyDescent="0.2">
      <c r="W7133" s="319"/>
    </row>
    <row r="7134" spans="23:23" x14ac:dyDescent="0.2">
      <c r="W7134" s="319"/>
    </row>
    <row r="7135" spans="23:23" x14ac:dyDescent="0.2">
      <c r="W7135" s="319"/>
    </row>
    <row r="7136" spans="23:23" x14ac:dyDescent="0.2">
      <c r="W7136" s="319"/>
    </row>
    <row r="7137" spans="23:23" x14ac:dyDescent="0.2">
      <c r="W7137" s="319"/>
    </row>
    <row r="7138" spans="23:23" x14ac:dyDescent="0.2">
      <c r="W7138" s="319"/>
    </row>
    <row r="7139" spans="23:23" x14ac:dyDescent="0.2">
      <c r="W7139" s="319"/>
    </row>
    <row r="7140" spans="23:23" x14ac:dyDescent="0.2">
      <c r="W7140" s="319"/>
    </row>
    <row r="7141" spans="23:23" x14ac:dyDescent="0.2">
      <c r="W7141" s="319"/>
    </row>
    <row r="7142" spans="23:23" x14ac:dyDescent="0.2">
      <c r="W7142" s="319"/>
    </row>
    <row r="7143" spans="23:23" x14ac:dyDescent="0.2">
      <c r="W7143" s="319"/>
    </row>
    <row r="7144" spans="23:23" x14ac:dyDescent="0.2">
      <c r="W7144" s="319"/>
    </row>
    <row r="7145" spans="23:23" x14ac:dyDescent="0.2">
      <c r="W7145" s="319"/>
    </row>
    <row r="7146" spans="23:23" x14ac:dyDescent="0.2">
      <c r="W7146" s="319"/>
    </row>
    <row r="7147" spans="23:23" x14ac:dyDescent="0.2">
      <c r="W7147" s="319"/>
    </row>
    <row r="7148" spans="23:23" x14ac:dyDescent="0.2">
      <c r="W7148" s="319"/>
    </row>
    <row r="7149" spans="23:23" x14ac:dyDescent="0.2">
      <c r="W7149" s="319"/>
    </row>
    <row r="7150" spans="23:23" x14ac:dyDescent="0.2">
      <c r="W7150" s="319"/>
    </row>
    <row r="7151" spans="23:23" x14ac:dyDescent="0.2">
      <c r="W7151" s="319"/>
    </row>
    <row r="7152" spans="23:23" x14ac:dyDescent="0.2">
      <c r="W7152" s="319"/>
    </row>
    <row r="7153" spans="23:23" x14ac:dyDescent="0.2">
      <c r="W7153" s="319"/>
    </row>
    <row r="7154" spans="23:23" x14ac:dyDescent="0.2">
      <c r="W7154" s="319"/>
    </row>
    <row r="7155" spans="23:23" x14ac:dyDescent="0.2">
      <c r="W7155" s="319"/>
    </row>
    <row r="7156" spans="23:23" x14ac:dyDescent="0.2">
      <c r="W7156" s="319"/>
    </row>
    <row r="7157" spans="23:23" x14ac:dyDescent="0.2">
      <c r="W7157" s="319"/>
    </row>
    <row r="7158" spans="23:23" x14ac:dyDescent="0.2">
      <c r="W7158" s="319"/>
    </row>
    <row r="7159" spans="23:23" x14ac:dyDescent="0.2">
      <c r="W7159" s="319"/>
    </row>
    <row r="7160" spans="23:23" x14ac:dyDescent="0.2">
      <c r="W7160" s="319"/>
    </row>
    <row r="7161" spans="23:23" x14ac:dyDescent="0.2">
      <c r="W7161" s="319"/>
    </row>
    <row r="7162" spans="23:23" x14ac:dyDescent="0.2">
      <c r="W7162" s="319"/>
    </row>
    <row r="7163" spans="23:23" x14ac:dyDescent="0.2">
      <c r="W7163" s="319"/>
    </row>
    <row r="7164" spans="23:23" x14ac:dyDescent="0.2">
      <c r="W7164" s="319"/>
    </row>
    <row r="7165" spans="23:23" x14ac:dyDescent="0.2">
      <c r="W7165" s="319"/>
    </row>
    <row r="7166" spans="23:23" x14ac:dyDescent="0.2">
      <c r="W7166" s="319"/>
    </row>
    <row r="7167" spans="23:23" x14ac:dyDescent="0.2">
      <c r="W7167" s="319"/>
    </row>
    <row r="7168" spans="23:23" x14ac:dyDescent="0.2">
      <c r="W7168" s="319"/>
    </row>
    <row r="7169" spans="23:23" x14ac:dyDescent="0.2">
      <c r="W7169" s="319"/>
    </row>
    <row r="7170" spans="23:23" x14ac:dyDescent="0.2">
      <c r="W7170" s="319"/>
    </row>
    <row r="7171" spans="23:23" x14ac:dyDescent="0.2">
      <c r="W7171" s="319"/>
    </row>
    <row r="7172" spans="23:23" x14ac:dyDescent="0.2">
      <c r="W7172" s="319"/>
    </row>
    <row r="7173" spans="23:23" x14ac:dyDescent="0.2">
      <c r="W7173" s="319"/>
    </row>
    <row r="7174" spans="23:23" x14ac:dyDescent="0.2">
      <c r="W7174" s="319"/>
    </row>
    <row r="7175" spans="23:23" x14ac:dyDescent="0.2">
      <c r="W7175" s="319"/>
    </row>
    <row r="7176" spans="23:23" x14ac:dyDescent="0.2">
      <c r="W7176" s="319"/>
    </row>
    <row r="7177" spans="23:23" x14ac:dyDescent="0.2">
      <c r="W7177" s="319"/>
    </row>
    <row r="7178" spans="23:23" x14ac:dyDescent="0.2">
      <c r="W7178" s="319"/>
    </row>
    <row r="7179" spans="23:23" x14ac:dyDescent="0.2">
      <c r="W7179" s="319"/>
    </row>
    <row r="7180" spans="23:23" x14ac:dyDescent="0.2">
      <c r="W7180" s="319"/>
    </row>
    <row r="7181" spans="23:23" x14ac:dyDescent="0.2">
      <c r="W7181" s="319"/>
    </row>
    <row r="7182" spans="23:23" x14ac:dyDescent="0.2">
      <c r="W7182" s="319"/>
    </row>
    <row r="7183" spans="23:23" x14ac:dyDescent="0.2">
      <c r="W7183" s="319"/>
    </row>
    <row r="7184" spans="23:23" x14ac:dyDescent="0.2">
      <c r="W7184" s="319"/>
    </row>
    <row r="7185" spans="23:23" x14ac:dyDescent="0.2">
      <c r="W7185" s="319"/>
    </row>
    <row r="7186" spans="23:23" x14ac:dyDescent="0.2">
      <c r="W7186" s="319"/>
    </row>
    <row r="7187" spans="23:23" x14ac:dyDescent="0.2">
      <c r="W7187" s="319"/>
    </row>
    <row r="7188" spans="23:23" x14ac:dyDescent="0.2">
      <c r="W7188" s="319"/>
    </row>
    <row r="7189" spans="23:23" x14ac:dyDescent="0.2">
      <c r="W7189" s="319"/>
    </row>
    <row r="7190" spans="23:23" x14ac:dyDescent="0.2">
      <c r="W7190" s="319"/>
    </row>
    <row r="7191" spans="23:23" x14ac:dyDescent="0.2">
      <c r="W7191" s="319"/>
    </row>
    <row r="7192" spans="23:23" x14ac:dyDescent="0.2">
      <c r="W7192" s="319"/>
    </row>
    <row r="7193" spans="23:23" x14ac:dyDescent="0.2">
      <c r="W7193" s="319"/>
    </row>
    <row r="7194" spans="23:23" x14ac:dyDescent="0.2">
      <c r="W7194" s="319"/>
    </row>
    <row r="7195" spans="23:23" x14ac:dyDescent="0.2">
      <c r="W7195" s="319"/>
    </row>
    <row r="7196" spans="23:23" x14ac:dyDescent="0.2">
      <c r="W7196" s="319"/>
    </row>
    <row r="7197" spans="23:23" x14ac:dyDescent="0.2">
      <c r="W7197" s="319"/>
    </row>
    <row r="7198" spans="23:23" x14ac:dyDescent="0.2">
      <c r="W7198" s="319"/>
    </row>
    <row r="7199" spans="23:23" x14ac:dyDescent="0.2">
      <c r="W7199" s="319"/>
    </row>
    <row r="7200" spans="23:23" x14ac:dyDescent="0.2">
      <c r="W7200" s="319"/>
    </row>
    <row r="7201" spans="23:23" x14ac:dyDescent="0.2">
      <c r="W7201" s="319"/>
    </row>
    <row r="7202" spans="23:23" x14ac:dyDescent="0.2">
      <c r="W7202" s="319"/>
    </row>
    <row r="7203" spans="23:23" x14ac:dyDescent="0.2">
      <c r="W7203" s="319"/>
    </row>
    <row r="7204" spans="23:23" x14ac:dyDescent="0.2">
      <c r="W7204" s="319"/>
    </row>
    <row r="7205" spans="23:23" x14ac:dyDescent="0.2">
      <c r="W7205" s="319"/>
    </row>
    <row r="7206" spans="23:23" x14ac:dyDescent="0.2">
      <c r="W7206" s="319"/>
    </row>
    <row r="7207" spans="23:23" x14ac:dyDescent="0.2">
      <c r="W7207" s="319"/>
    </row>
    <row r="7208" spans="23:23" x14ac:dyDescent="0.2">
      <c r="W7208" s="319"/>
    </row>
    <row r="7209" spans="23:23" x14ac:dyDescent="0.2">
      <c r="W7209" s="319"/>
    </row>
    <row r="7210" spans="23:23" x14ac:dyDescent="0.2">
      <c r="W7210" s="319"/>
    </row>
    <row r="7211" spans="23:23" x14ac:dyDescent="0.2">
      <c r="W7211" s="319"/>
    </row>
    <row r="7212" spans="23:23" x14ac:dyDescent="0.2">
      <c r="W7212" s="319"/>
    </row>
    <row r="7213" spans="23:23" x14ac:dyDescent="0.2">
      <c r="W7213" s="319"/>
    </row>
    <row r="7214" spans="23:23" x14ac:dyDescent="0.2">
      <c r="W7214" s="319"/>
    </row>
    <row r="7215" spans="23:23" x14ac:dyDescent="0.2">
      <c r="W7215" s="319"/>
    </row>
    <row r="7216" spans="23:23" x14ac:dyDescent="0.2">
      <c r="W7216" s="319"/>
    </row>
    <row r="7217" spans="23:23" x14ac:dyDescent="0.2">
      <c r="W7217" s="319"/>
    </row>
    <row r="7218" spans="23:23" x14ac:dyDescent="0.2">
      <c r="W7218" s="319"/>
    </row>
    <row r="7219" spans="23:23" x14ac:dyDescent="0.2">
      <c r="W7219" s="319"/>
    </row>
    <row r="7220" spans="23:23" x14ac:dyDescent="0.2">
      <c r="W7220" s="319"/>
    </row>
    <row r="7221" spans="23:23" x14ac:dyDescent="0.2">
      <c r="W7221" s="319"/>
    </row>
    <row r="7222" spans="23:23" x14ac:dyDescent="0.2">
      <c r="W7222" s="319"/>
    </row>
    <row r="7223" spans="23:23" x14ac:dyDescent="0.2">
      <c r="W7223" s="319"/>
    </row>
    <row r="7224" spans="23:23" x14ac:dyDescent="0.2">
      <c r="W7224" s="319"/>
    </row>
    <row r="7225" spans="23:23" x14ac:dyDescent="0.2">
      <c r="W7225" s="319"/>
    </row>
    <row r="7226" spans="23:23" x14ac:dyDescent="0.2">
      <c r="W7226" s="319"/>
    </row>
    <row r="7227" spans="23:23" x14ac:dyDescent="0.2">
      <c r="W7227" s="319"/>
    </row>
    <row r="7228" spans="23:23" x14ac:dyDescent="0.2">
      <c r="W7228" s="319"/>
    </row>
    <row r="7229" spans="23:23" x14ac:dyDescent="0.2">
      <c r="W7229" s="319"/>
    </row>
    <row r="7230" spans="23:23" x14ac:dyDescent="0.2">
      <c r="W7230" s="319"/>
    </row>
    <row r="7231" spans="23:23" x14ac:dyDescent="0.2">
      <c r="W7231" s="319"/>
    </row>
    <row r="7232" spans="23:23" x14ac:dyDescent="0.2">
      <c r="W7232" s="319"/>
    </row>
    <row r="7233" spans="23:23" x14ac:dyDescent="0.2">
      <c r="W7233" s="319"/>
    </row>
    <row r="7234" spans="23:23" x14ac:dyDescent="0.2">
      <c r="W7234" s="319"/>
    </row>
    <row r="7235" spans="23:23" x14ac:dyDescent="0.2">
      <c r="W7235" s="319"/>
    </row>
    <row r="7236" spans="23:23" x14ac:dyDescent="0.2">
      <c r="W7236" s="319"/>
    </row>
    <row r="7237" spans="23:23" x14ac:dyDescent="0.2">
      <c r="W7237" s="319"/>
    </row>
    <row r="7238" spans="23:23" x14ac:dyDescent="0.2">
      <c r="W7238" s="319"/>
    </row>
    <row r="7239" spans="23:23" x14ac:dyDescent="0.2">
      <c r="W7239" s="319"/>
    </row>
    <row r="7240" spans="23:23" x14ac:dyDescent="0.2">
      <c r="W7240" s="319"/>
    </row>
    <row r="7241" spans="23:23" x14ac:dyDescent="0.2">
      <c r="W7241" s="319"/>
    </row>
    <row r="7242" spans="23:23" x14ac:dyDescent="0.2">
      <c r="W7242" s="319"/>
    </row>
    <row r="7243" spans="23:23" x14ac:dyDescent="0.2">
      <c r="W7243" s="319"/>
    </row>
    <row r="7244" spans="23:23" x14ac:dyDescent="0.2">
      <c r="W7244" s="319"/>
    </row>
    <row r="7245" spans="23:23" x14ac:dyDescent="0.2">
      <c r="W7245" s="319"/>
    </row>
    <row r="7246" spans="23:23" x14ac:dyDescent="0.2">
      <c r="W7246" s="319"/>
    </row>
    <row r="7247" spans="23:23" x14ac:dyDescent="0.2">
      <c r="W7247" s="319"/>
    </row>
    <row r="7248" spans="23:23" x14ac:dyDescent="0.2">
      <c r="W7248" s="319"/>
    </row>
    <row r="7249" spans="23:23" x14ac:dyDescent="0.2">
      <c r="W7249" s="319"/>
    </row>
    <row r="7250" spans="23:23" x14ac:dyDescent="0.2">
      <c r="W7250" s="319"/>
    </row>
    <row r="7251" spans="23:23" x14ac:dyDescent="0.2">
      <c r="W7251" s="319"/>
    </row>
    <row r="7252" spans="23:23" x14ac:dyDescent="0.2">
      <c r="W7252" s="319"/>
    </row>
    <row r="7253" spans="23:23" x14ac:dyDescent="0.2">
      <c r="W7253" s="319"/>
    </row>
    <row r="7254" spans="23:23" x14ac:dyDescent="0.2">
      <c r="W7254" s="319"/>
    </row>
    <row r="7255" spans="23:23" x14ac:dyDescent="0.2">
      <c r="W7255" s="319"/>
    </row>
    <row r="7256" spans="23:23" x14ac:dyDescent="0.2">
      <c r="W7256" s="319"/>
    </row>
    <row r="7257" spans="23:23" x14ac:dyDescent="0.2">
      <c r="W7257" s="319"/>
    </row>
    <row r="7258" spans="23:23" x14ac:dyDescent="0.2">
      <c r="W7258" s="319"/>
    </row>
    <row r="7259" spans="23:23" x14ac:dyDescent="0.2">
      <c r="W7259" s="319"/>
    </row>
    <row r="7260" spans="23:23" x14ac:dyDescent="0.2">
      <c r="W7260" s="319"/>
    </row>
    <row r="7261" spans="23:23" x14ac:dyDescent="0.2">
      <c r="W7261" s="319"/>
    </row>
    <row r="7262" spans="23:23" x14ac:dyDescent="0.2">
      <c r="W7262" s="319"/>
    </row>
    <row r="7263" spans="23:23" x14ac:dyDescent="0.2">
      <c r="W7263" s="319"/>
    </row>
    <row r="7264" spans="23:23" x14ac:dyDescent="0.2">
      <c r="W7264" s="319"/>
    </row>
    <row r="7265" spans="23:23" x14ac:dyDescent="0.2">
      <c r="W7265" s="319"/>
    </row>
    <row r="7266" spans="23:23" x14ac:dyDescent="0.2">
      <c r="W7266" s="319"/>
    </row>
    <row r="7267" spans="23:23" x14ac:dyDescent="0.2">
      <c r="W7267" s="319"/>
    </row>
    <row r="7268" spans="23:23" x14ac:dyDescent="0.2">
      <c r="W7268" s="319"/>
    </row>
    <row r="7269" spans="23:23" x14ac:dyDescent="0.2">
      <c r="W7269" s="319"/>
    </row>
    <row r="7270" spans="23:23" x14ac:dyDescent="0.2">
      <c r="W7270" s="319"/>
    </row>
    <row r="7271" spans="23:23" x14ac:dyDescent="0.2">
      <c r="W7271" s="319"/>
    </row>
    <row r="7272" spans="23:23" x14ac:dyDescent="0.2">
      <c r="W7272" s="319"/>
    </row>
    <row r="7273" spans="23:23" x14ac:dyDescent="0.2">
      <c r="W7273" s="319"/>
    </row>
    <row r="7274" spans="23:23" x14ac:dyDescent="0.2">
      <c r="W7274" s="319"/>
    </row>
    <row r="7275" spans="23:23" x14ac:dyDescent="0.2">
      <c r="W7275" s="319"/>
    </row>
    <row r="7276" spans="23:23" x14ac:dyDescent="0.2">
      <c r="W7276" s="319"/>
    </row>
    <row r="7277" spans="23:23" x14ac:dyDescent="0.2">
      <c r="W7277" s="319"/>
    </row>
    <row r="7278" spans="23:23" x14ac:dyDescent="0.2">
      <c r="W7278" s="319"/>
    </row>
    <row r="7279" spans="23:23" x14ac:dyDescent="0.2">
      <c r="W7279" s="319"/>
    </row>
    <row r="7280" spans="23:23" x14ac:dyDescent="0.2">
      <c r="W7280" s="319"/>
    </row>
    <row r="7281" spans="23:23" x14ac:dyDescent="0.2">
      <c r="W7281" s="319"/>
    </row>
    <row r="7282" spans="23:23" x14ac:dyDescent="0.2">
      <c r="W7282" s="319"/>
    </row>
    <row r="7283" spans="23:23" x14ac:dyDescent="0.2">
      <c r="W7283" s="319"/>
    </row>
    <row r="7284" spans="23:23" x14ac:dyDescent="0.2">
      <c r="W7284" s="319"/>
    </row>
    <row r="7285" spans="23:23" x14ac:dyDescent="0.2">
      <c r="W7285" s="319"/>
    </row>
    <row r="7286" spans="23:23" x14ac:dyDescent="0.2">
      <c r="W7286" s="319"/>
    </row>
    <row r="7287" spans="23:23" x14ac:dyDescent="0.2">
      <c r="W7287" s="319"/>
    </row>
    <row r="7288" spans="23:23" x14ac:dyDescent="0.2">
      <c r="W7288" s="319"/>
    </row>
    <row r="7289" spans="23:23" x14ac:dyDescent="0.2">
      <c r="W7289" s="319"/>
    </row>
    <row r="7290" spans="23:23" x14ac:dyDescent="0.2">
      <c r="W7290" s="319"/>
    </row>
    <row r="7291" spans="23:23" x14ac:dyDescent="0.2">
      <c r="W7291" s="319"/>
    </row>
    <row r="7292" spans="23:23" x14ac:dyDescent="0.2">
      <c r="W7292" s="319"/>
    </row>
    <row r="7293" spans="23:23" x14ac:dyDescent="0.2">
      <c r="W7293" s="319"/>
    </row>
    <row r="7294" spans="23:23" x14ac:dyDescent="0.2">
      <c r="W7294" s="319"/>
    </row>
    <row r="7295" spans="23:23" x14ac:dyDescent="0.2">
      <c r="W7295" s="319"/>
    </row>
    <row r="7296" spans="23:23" x14ac:dyDescent="0.2">
      <c r="W7296" s="319"/>
    </row>
    <row r="7297" spans="23:23" x14ac:dyDescent="0.2">
      <c r="W7297" s="319"/>
    </row>
    <row r="7298" spans="23:23" x14ac:dyDescent="0.2">
      <c r="W7298" s="319"/>
    </row>
    <row r="7299" spans="23:23" x14ac:dyDescent="0.2">
      <c r="W7299" s="319"/>
    </row>
    <row r="7300" spans="23:23" x14ac:dyDescent="0.2">
      <c r="W7300" s="319"/>
    </row>
    <row r="7301" spans="23:23" x14ac:dyDescent="0.2">
      <c r="W7301" s="319"/>
    </row>
    <row r="7302" spans="23:23" x14ac:dyDescent="0.2">
      <c r="W7302" s="319"/>
    </row>
    <row r="7303" spans="23:23" x14ac:dyDescent="0.2">
      <c r="W7303" s="319"/>
    </row>
    <row r="7304" spans="23:23" x14ac:dyDescent="0.2">
      <c r="W7304" s="319"/>
    </row>
    <row r="7305" spans="23:23" x14ac:dyDescent="0.2">
      <c r="W7305" s="319"/>
    </row>
    <row r="7306" spans="23:23" x14ac:dyDescent="0.2">
      <c r="W7306" s="319"/>
    </row>
    <row r="7307" spans="23:23" x14ac:dyDescent="0.2">
      <c r="W7307" s="319"/>
    </row>
    <row r="7308" spans="23:23" x14ac:dyDescent="0.2">
      <c r="W7308" s="319"/>
    </row>
    <row r="7309" spans="23:23" x14ac:dyDescent="0.2">
      <c r="W7309" s="319"/>
    </row>
    <row r="7310" spans="23:23" x14ac:dyDescent="0.2">
      <c r="W7310" s="319"/>
    </row>
    <row r="7311" spans="23:23" x14ac:dyDescent="0.2">
      <c r="W7311" s="319"/>
    </row>
    <row r="7312" spans="23:23" x14ac:dyDescent="0.2">
      <c r="W7312" s="319"/>
    </row>
    <row r="7313" spans="23:23" x14ac:dyDescent="0.2">
      <c r="W7313" s="319"/>
    </row>
    <row r="7314" spans="23:23" x14ac:dyDescent="0.2">
      <c r="W7314" s="319"/>
    </row>
    <row r="7315" spans="23:23" x14ac:dyDescent="0.2">
      <c r="W7315" s="319"/>
    </row>
    <row r="7316" spans="23:23" x14ac:dyDescent="0.2">
      <c r="W7316" s="319"/>
    </row>
    <row r="7317" spans="23:23" x14ac:dyDescent="0.2">
      <c r="W7317" s="319"/>
    </row>
    <row r="7318" spans="23:23" x14ac:dyDescent="0.2">
      <c r="W7318" s="319"/>
    </row>
    <row r="7319" spans="23:23" x14ac:dyDescent="0.2">
      <c r="W7319" s="319"/>
    </row>
    <row r="7320" spans="23:23" x14ac:dyDescent="0.2">
      <c r="W7320" s="319"/>
    </row>
    <row r="7321" spans="23:23" x14ac:dyDescent="0.2">
      <c r="W7321" s="319"/>
    </row>
    <row r="7322" spans="23:23" x14ac:dyDescent="0.2">
      <c r="W7322" s="319"/>
    </row>
    <row r="7323" spans="23:23" x14ac:dyDescent="0.2">
      <c r="W7323" s="319"/>
    </row>
    <row r="7324" spans="23:23" x14ac:dyDescent="0.2">
      <c r="W7324" s="319"/>
    </row>
    <row r="7325" spans="23:23" x14ac:dyDescent="0.2">
      <c r="W7325" s="319"/>
    </row>
    <row r="7326" spans="23:23" x14ac:dyDescent="0.2">
      <c r="W7326" s="319"/>
    </row>
    <row r="7327" spans="23:23" x14ac:dyDescent="0.2">
      <c r="W7327" s="319"/>
    </row>
    <row r="7328" spans="23:23" x14ac:dyDescent="0.2">
      <c r="W7328" s="319"/>
    </row>
    <row r="7329" spans="23:23" x14ac:dyDescent="0.2">
      <c r="W7329" s="319"/>
    </row>
    <row r="7330" spans="23:23" x14ac:dyDescent="0.2">
      <c r="W7330" s="319"/>
    </row>
    <row r="7331" spans="23:23" x14ac:dyDescent="0.2">
      <c r="W7331" s="319"/>
    </row>
    <row r="7332" spans="23:23" x14ac:dyDescent="0.2">
      <c r="W7332" s="319"/>
    </row>
    <row r="7333" spans="23:23" x14ac:dyDescent="0.2">
      <c r="W7333" s="319"/>
    </row>
    <row r="7334" spans="23:23" x14ac:dyDescent="0.2">
      <c r="W7334" s="319"/>
    </row>
    <row r="7335" spans="23:23" x14ac:dyDescent="0.2">
      <c r="W7335" s="319"/>
    </row>
    <row r="7336" spans="23:23" x14ac:dyDescent="0.2">
      <c r="W7336" s="319"/>
    </row>
    <row r="7337" spans="23:23" x14ac:dyDescent="0.2">
      <c r="W7337" s="319"/>
    </row>
    <row r="7338" spans="23:23" x14ac:dyDescent="0.2">
      <c r="W7338" s="319"/>
    </row>
    <row r="7339" spans="23:23" x14ac:dyDescent="0.2">
      <c r="W7339" s="319"/>
    </row>
    <row r="7340" spans="23:23" x14ac:dyDescent="0.2">
      <c r="W7340" s="319"/>
    </row>
    <row r="7341" spans="23:23" x14ac:dyDescent="0.2">
      <c r="W7341" s="319"/>
    </row>
    <row r="7342" spans="23:23" x14ac:dyDescent="0.2">
      <c r="W7342" s="319"/>
    </row>
    <row r="7343" spans="23:23" x14ac:dyDescent="0.2">
      <c r="W7343" s="319"/>
    </row>
    <row r="7344" spans="23:23" x14ac:dyDescent="0.2">
      <c r="W7344" s="319"/>
    </row>
    <row r="7345" spans="23:23" x14ac:dyDescent="0.2">
      <c r="W7345" s="319"/>
    </row>
    <row r="7346" spans="23:23" x14ac:dyDescent="0.2">
      <c r="W7346" s="319"/>
    </row>
    <row r="7347" spans="23:23" x14ac:dyDescent="0.2">
      <c r="W7347" s="319"/>
    </row>
    <row r="7348" spans="23:23" x14ac:dyDescent="0.2">
      <c r="W7348" s="319"/>
    </row>
    <row r="7349" spans="23:23" x14ac:dyDescent="0.2">
      <c r="W7349" s="319"/>
    </row>
    <row r="7350" spans="23:23" x14ac:dyDescent="0.2">
      <c r="W7350" s="319"/>
    </row>
    <row r="7351" spans="23:23" x14ac:dyDescent="0.2">
      <c r="W7351" s="319"/>
    </row>
    <row r="7352" spans="23:23" x14ac:dyDescent="0.2">
      <c r="W7352" s="319"/>
    </row>
    <row r="7353" spans="23:23" x14ac:dyDescent="0.2">
      <c r="W7353" s="319"/>
    </row>
    <row r="7354" spans="23:23" x14ac:dyDescent="0.2">
      <c r="W7354" s="319"/>
    </row>
    <row r="7355" spans="23:23" x14ac:dyDescent="0.2">
      <c r="W7355" s="319"/>
    </row>
    <row r="7356" spans="23:23" x14ac:dyDescent="0.2">
      <c r="W7356" s="319"/>
    </row>
    <row r="7357" spans="23:23" x14ac:dyDescent="0.2">
      <c r="W7357" s="319"/>
    </row>
    <row r="7358" spans="23:23" x14ac:dyDescent="0.2">
      <c r="W7358" s="319"/>
    </row>
    <row r="7359" spans="23:23" x14ac:dyDescent="0.2">
      <c r="W7359" s="319"/>
    </row>
    <row r="7360" spans="23:23" x14ac:dyDescent="0.2">
      <c r="W7360" s="319"/>
    </row>
    <row r="7361" spans="23:23" x14ac:dyDescent="0.2">
      <c r="W7361" s="319"/>
    </row>
    <row r="7362" spans="23:23" x14ac:dyDescent="0.2">
      <c r="W7362" s="319"/>
    </row>
    <row r="7363" spans="23:23" x14ac:dyDescent="0.2">
      <c r="W7363" s="319"/>
    </row>
    <row r="7364" spans="23:23" x14ac:dyDescent="0.2">
      <c r="W7364" s="319"/>
    </row>
    <row r="7365" spans="23:23" x14ac:dyDescent="0.2">
      <c r="W7365" s="319"/>
    </row>
    <row r="7366" spans="23:23" x14ac:dyDescent="0.2">
      <c r="W7366" s="319"/>
    </row>
    <row r="7367" spans="23:23" x14ac:dyDescent="0.2">
      <c r="W7367" s="319"/>
    </row>
    <row r="7368" spans="23:23" x14ac:dyDescent="0.2">
      <c r="W7368" s="319"/>
    </row>
    <row r="7369" spans="23:23" x14ac:dyDescent="0.2">
      <c r="W7369" s="319"/>
    </row>
    <row r="7370" spans="23:23" x14ac:dyDescent="0.2">
      <c r="W7370" s="319"/>
    </row>
    <row r="7371" spans="23:23" x14ac:dyDescent="0.2">
      <c r="W7371" s="319"/>
    </row>
    <row r="7372" spans="23:23" x14ac:dyDescent="0.2">
      <c r="W7372" s="319"/>
    </row>
    <row r="7373" spans="23:23" x14ac:dyDescent="0.2">
      <c r="W7373" s="319"/>
    </row>
    <row r="7374" spans="23:23" x14ac:dyDescent="0.2">
      <c r="W7374" s="319"/>
    </row>
    <row r="7375" spans="23:23" x14ac:dyDescent="0.2">
      <c r="W7375" s="319"/>
    </row>
    <row r="7376" spans="23:23" x14ac:dyDescent="0.2">
      <c r="W7376" s="319"/>
    </row>
    <row r="7377" spans="23:23" x14ac:dyDescent="0.2">
      <c r="W7377" s="319"/>
    </row>
    <row r="7378" spans="23:23" x14ac:dyDescent="0.2">
      <c r="W7378" s="319"/>
    </row>
    <row r="7379" spans="23:23" x14ac:dyDescent="0.2">
      <c r="W7379" s="319"/>
    </row>
    <row r="7380" spans="23:23" x14ac:dyDescent="0.2">
      <c r="W7380" s="319"/>
    </row>
    <row r="7381" spans="23:23" x14ac:dyDescent="0.2">
      <c r="W7381" s="319"/>
    </row>
    <row r="7382" spans="23:23" x14ac:dyDescent="0.2">
      <c r="W7382" s="319"/>
    </row>
    <row r="7383" spans="23:23" x14ac:dyDescent="0.2">
      <c r="W7383" s="319"/>
    </row>
    <row r="7384" spans="23:23" x14ac:dyDescent="0.2">
      <c r="W7384" s="319"/>
    </row>
    <row r="7385" spans="23:23" x14ac:dyDescent="0.2">
      <c r="W7385" s="319"/>
    </row>
    <row r="7386" spans="23:23" x14ac:dyDescent="0.2">
      <c r="W7386" s="319"/>
    </row>
    <row r="7387" spans="23:23" x14ac:dyDescent="0.2">
      <c r="W7387" s="319"/>
    </row>
    <row r="7388" spans="23:23" x14ac:dyDescent="0.2">
      <c r="W7388" s="319"/>
    </row>
    <row r="7389" spans="23:23" x14ac:dyDescent="0.2">
      <c r="W7389" s="319"/>
    </row>
    <row r="7390" spans="23:23" x14ac:dyDescent="0.2">
      <c r="W7390" s="319"/>
    </row>
    <row r="7391" spans="23:23" x14ac:dyDescent="0.2">
      <c r="W7391" s="319"/>
    </row>
    <row r="7392" spans="23:23" x14ac:dyDescent="0.2">
      <c r="W7392" s="319"/>
    </row>
    <row r="7393" spans="23:23" x14ac:dyDescent="0.2">
      <c r="W7393" s="319"/>
    </row>
    <row r="7394" spans="23:23" x14ac:dyDescent="0.2">
      <c r="W7394" s="319"/>
    </row>
    <row r="7395" spans="23:23" x14ac:dyDescent="0.2">
      <c r="W7395" s="319"/>
    </row>
    <row r="7396" spans="23:23" x14ac:dyDescent="0.2">
      <c r="W7396" s="319"/>
    </row>
    <row r="7397" spans="23:23" x14ac:dyDescent="0.2">
      <c r="W7397" s="319"/>
    </row>
    <row r="7398" spans="23:23" x14ac:dyDescent="0.2">
      <c r="W7398" s="319"/>
    </row>
    <row r="7399" spans="23:23" x14ac:dyDescent="0.2">
      <c r="W7399" s="319"/>
    </row>
    <row r="7400" spans="23:23" x14ac:dyDescent="0.2">
      <c r="W7400" s="319"/>
    </row>
    <row r="7401" spans="23:23" x14ac:dyDescent="0.2">
      <c r="W7401" s="319"/>
    </row>
    <row r="7402" spans="23:23" x14ac:dyDescent="0.2">
      <c r="W7402" s="319"/>
    </row>
    <row r="7403" spans="23:23" x14ac:dyDescent="0.2">
      <c r="W7403" s="319"/>
    </row>
    <row r="7404" spans="23:23" x14ac:dyDescent="0.2">
      <c r="W7404" s="319"/>
    </row>
    <row r="7405" spans="23:23" x14ac:dyDescent="0.2">
      <c r="W7405" s="319"/>
    </row>
    <row r="7406" spans="23:23" x14ac:dyDescent="0.2">
      <c r="W7406" s="319"/>
    </row>
    <row r="7407" spans="23:23" x14ac:dyDescent="0.2">
      <c r="W7407" s="319"/>
    </row>
    <row r="7408" spans="23:23" x14ac:dyDescent="0.2">
      <c r="W7408" s="319"/>
    </row>
    <row r="7409" spans="23:23" x14ac:dyDescent="0.2">
      <c r="W7409" s="319"/>
    </row>
    <row r="7410" spans="23:23" x14ac:dyDescent="0.2">
      <c r="W7410" s="319"/>
    </row>
    <row r="7411" spans="23:23" x14ac:dyDescent="0.2">
      <c r="W7411" s="319"/>
    </row>
    <row r="7412" spans="23:23" x14ac:dyDescent="0.2">
      <c r="W7412" s="319"/>
    </row>
    <row r="7413" spans="23:23" x14ac:dyDescent="0.2">
      <c r="W7413" s="319"/>
    </row>
    <row r="7414" spans="23:23" x14ac:dyDescent="0.2">
      <c r="W7414" s="319"/>
    </row>
    <row r="7415" spans="23:23" x14ac:dyDescent="0.2">
      <c r="W7415" s="319"/>
    </row>
    <row r="7416" spans="23:23" x14ac:dyDescent="0.2">
      <c r="W7416" s="319"/>
    </row>
    <row r="7417" spans="23:23" x14ac:dyDescent="0.2">
      <c r="W7417" s="319"/>
    </row>
    <row r="7418" spans="23:23" x14ac:dyDescent="0.2">
      <c r="W7418" s="319"/>
    </row>
    <row r="7419" spans="23:23" x14ac:dyDescent="0.2">
      <c r="W7419" s="319"/>
    </row>
    <row r="7420" spans="23:23" x14ac:dyDescent="0.2">
      <c r="W7420" s="319"/>
    </row>
    <row r="7421" spans="23:23" x14ac:dyDescent="0.2">
      <c r="W7421" s="319"/>
    </row>
    <row r="7422" spans="23:23" x14ac:dyDescent="0.2">
      <c r="W7422" s="319"/>
    </row>
    <row r="7423" spans="23:23" x14ac:dyDescent="0.2">
      <c r="W7423" s="319"/>
    </row>
    <row r="7424" spans="23:23" x14ac:dyDescent="0.2">
      <c r="W7424" s="319"/>
    </row>
    <row r="7425" spans="23:23" x14ac:dyDescent="0.2">
      <c r="W7425" s="319"/>
    </row>
    <row r="7426" spans="23:23" x14ac:dyDescent="0.2">
      <c r="W7426" s="319"/>
    </row>
    <row r="7427" spans="23:23" x14ac:dyDescent="0.2">
      <c r="W7427" s="319"/>
    </row>
    <row r="7428" spans="23:23" x14ac:dyDescent="0.2">
      <c r="W7428" s="319"/>
    </row>
    <row r="7429" spans="23:23" x14ac:dyDescent="0.2">
      <c r="W7429" s="319"/>
    </row>
    <row r="7430" spans="23:23" x14ac:dyDescent="0.2">
      <c r="W7430" s="319"/>
    </row>
    <row r="7431" spans="23:23" x14ac:dyDescent="0.2">
      <c r="W7431" s="319"/>
    </row>
    <row r="7432" spans="23:23" x14ac:dyDescent="0.2">
      <c r="W7432" s="319"/>
    </row>
    <row r="7433" spans="23:23" x14ac:dyDescent="0.2">
      <c r="W7433" s="319"/>
    </row>
    <row r="7434" spans="23:23" x14ac:dyDescent="0.2">
      <c r="W7434" s="319"/>
    </row>
    <row r="7435" spans="23:23" x14ac:dyDescent="0.2">
      <c r="W7435" s="319"/>
    </row>
    <row r="7436" spans="23:23" x14ac:dyDescent="0.2">
      <c r="W7436" s="319"/>
    </row>
    <row r="7437" spans="23:23" x14ac:dyDescent="0.2">
      <c r="W7437" s="319"/>
    </row>
    <row r="7438" spans="23:23" x14ac:dyDescent="0.2">
      <c r="W7438" s="319"/>
    </row>
    <row r="7439" spans="23:23" x14ac:dyDescent="0.2">
      <c r="W7439" s="319"/>
    </row>
    <row r="7440" spans="23:23" x14ac:dyDescent="0.2">
      <c r="W7440" s="319"/>
    </row>
    <row r="7441" spans="23:23" x14ac:dyDescent="0.2">
      <c r="W7441" s="319"/>
    </row>
    <row r="7442" spans="23:23" x14ac:dyDescent="0.2">
      <c r="W7442" s="319"/>
    </row>
    <row r="7443" spans="23:23" x14ac:dyDescent="0.2">
      <c r="W7443" s="319"/>
    </row>
    <row r="7444" spans="23:23" x14ac:dyDescent="0.2">
      <c r="W7444" s="319"/>
    </row>
    <row r="7445" spans="23:23" x14ac:dyDescent="0.2">
      <c r="W7445" s="319"/>
    </row>
    <row r="7446" spans="23:23" x14ac:dyDescent="0.2">
      <c r="W7446" s="319"/>
    </row>
    <row r="7447" spans="23:23" x14ac:dyDescent="0.2">
      <c r="W7447" s="319"/>
    </row>
    <row r="7448" spans="23:23" x14ac:dyDescent="0.2">
      <c r="W7448" s="319"/>
    </row>
    <row r="7449" spans="23:23" x14ac:dyDescent="0.2">
      <c r="W7449" s="319"/>
    </row>
    <row r="7450" spans="23:23" x14ac:dyDescent="0.2">
      <c r="W7450" s="319"/>
    </row>
    <row r="7451" spans="23:23" x14ac:dyDescent="0.2">
      <c r="W7451" s="319"/>
    </row>
    <row r="7452" spans="23:23" x14ac:dyDescent="0.2">
      <c r="W7452" s="319"/>
    </row>
    <row r="7453" spans="23:23" x14ac:dyDescent="0.2">
      <c r="W7453" s="319"/>
    </row>
    <row r="7454" spans="23:23" x14ac:dyDescent="0.2">
      <c r="W7454" s="319"/>
    </row>
    <row r="7455" spans="23:23" x14ac:dyDescent="0.2">
      <c r="W7455" s="319"/>
    </row>
    <row r="7456" spans="23:23" x14ac:dyDescent="0.2">
      <c r="W7456" s="319"/>
    </row>
    <row r="7457" spans="23:23" x14ac:dyDescent="0.2">
      <c r="W7457" s="319"/>
    </row>
    <row r="7458" spans="23:23" x14ac:dyDescent="0.2">
      <c r="W7458" s="319"/>
    </row>
    <row r="7459" spans="23:23" x14ac:dyDescent="0.2">
      <c r="W7459" s="319"/>
    </row>
    <row r="7460" spans="23:23" x14ac:dyDescent="0.2">
      <c r="W7460" s="319"/>
    </row>
    <row r="7461" spans="23:23" x14ac:dyDescent="0.2">
      <c r="W7461" s="319"/>
    </row>
    <row r="7462" spans="23:23" x14ac:dyDescent="0.2">
      <c r="W7462" s="319"/>
    </row>
    <row r="7463" spans="23:23" x14ac:dyDescent="0.2">
      <c r="W7463" s="319"/>
    </row>
    <row r="7464" spans="23:23" x14ac:dyDescent="0.2">
      <c r="W7464" s="319"/>
    </row>
    <row r="7465" spans="23:23" x14ac:dyDescent="0.2">
      <c r="W7465" s="319"/>
    </row>
    <row r="7466" spans="23:23" x14ac:dyDescent="0.2">
      <c r="W7466" s="319"/>
    </row>
    <row r="7467" spans="23:23" x14ac:dyDescent="0.2">
      <c r="W7467" s="319"/>
    </row>
    <row r="7468" spans="23:23" x14ac:dyDescent="0.2">
      <c r="W7468" s="319"/>
    </row>
    <row r="7469" spans="23:23" x14ac:dyDescent="0.2">
      <c r="W7469" s="319"/>
    </row>
    <row r="7470" spans="23:23" x14ac:dyDescent="0.2">
      <c r="W7470" s="319"/>
    </row>
    <row r="7471" spans="23:23" x14ac:dyDescent="0.2">
      <c r="W7471" s="319"/>
    </row>
    <row r="7472" spans="23:23" x14ac:dyDescent="0.2">
      <c r="W7472" s="319"/>
    </row>
    <row r="7473" spans="23:23" x14ac:dyDescent="0.2">
      <c r="W7473" s="319"/>
    </row>
    <row r="7474" spans="23:23" x14ac:dyDescent="0.2">
      <c r="W7474" s="319"/>
    </row>
    <row r="7475" spans="23:23" x14ac:dyDescent="0.2">
      <c r="W7475" s="319"/>
    </row>
    <row r="7476" spans="23:23" x14ac:dyDescent="0.2">
      <c r="W7476" s="319"/>
    </row>
    <row r="7477" spans="23:23" x14ac:dyDescent="0.2">
      <c r="W7477" s="319"/>
    </row>
    <row r="7478" spans="23:23" x14ac:dyDescent="0.2">
      <c r="W7478" s="319"/>
    </row>
    <row r="7479" spans="23:23" x14ac:dyDescent="0.2">
      <c r="W7479" s="319"/>
    </row>
    <row r="7480" spans="23:23" x14ac:dyDescent="0.2">
      <c r="W7480" s="319"/>
    </row>
    <row r="7481" spans="23:23" x14ac:dyDescent="0.2">
      <c r="W7481" s="319"/>
    </row>
    <row r="7482" spans="23:23" x14ac:dyDescent="0.2">
      <c r="W7482" s="319"/>
    </row>
    <row r="7483" spans="23:23" x14ac:dyDescent="0.2">
      <c r="W7483" s="319"/>
    </row>
    <row r="7484" spans="23:23" x14ac:dyDescent="0.2">
      <c r="W7484" s="319"/>
    </row>
    <row r="7485" spans="23:23" x14ac:dyDescent="0.2">
      <c r="W7485" s="319"/>
    </row>
    <row r="7486" spans="23:23" x14ac:dyDescent="0.2">
      <c r="W7486" s="319"/>
    </row>
    <row r="7487" spans="23:23" x14ac:dyDescent="0.2">
      <c r="W7487" s="319"/>
    </row>
    <row r="7488" spans="23:23" x14ac:dyDescent="0.2">
      <c r="W7488" s="319"/>
    </row>
    <row r="7489" spans="23:23" x14ac:dyDescent="0.2">
      <c r="W7489" s="319"/>
    </row>
    <row r="7490" spans="23:23" x14ac:dyDescent="0.2">
      <c r="W7490" s="319"/>
    </row>
    <row r="7491" spans="23:23" x14ac:dyDescent="0.2">
      <c r="W7491" s="319"/>
    </row>
    <row r="7492" spans="23:23" x14ac:dyDescent="0.2">
      <c r="W7492" s="319"/>
    </row>
    <row r="7493" spans="23:23" x14ac:dyDescent="0.2">
      <c r="W7493" s="319"/>
    </row>
    <row r="7494" spans="23:23" x14ac:dyDescent="0.2">
      <c r="W7494" s="319"/>
    </row>
    <row r="7495" spans="23:23" x14ac:dyDescent="0.2">
      <c r="W7495" s="319"/>
    </row>
    <row r="7496" spans="23:23" x14ac:dyDescent="0.2">
      <c r="W7496" s="319"/>
    </row>
    <row r="7497" spans="23:23" x14ac:dyDescent="0.2">
      <c r="W7497" s="319"/>
    </row>
    <row r="7498" spans="23:23" x14ac:dyDescent="0.2">
      <c r="W7498" s="319"/>
    </row>
    <row r="7499" spans="23:23" x14ac:dyDescent="0.2">
      <c r="W7499" s="319"/>
    </row>
    <row r="7500" spans="23:23" x14ac:dyDescent="0.2">
      <c r="W7500" s="319"/>
    </row>
    <row r="7501" spans="23:23" x14ac:dyDescent="0.2">
      <c r="W7501" s="319"/>
    </row>
    <row r="7502" spans="23:23" x14ac:dyDescent="0.2">
      <c r="W7502" s="319"/>
    </row>
    <row r="7503" spans="23:23" x14ac:dyDescent="0.2">
      <c r="W7503" s="319"/>
    </row>
    <row r="7504" spans="23:23" x14ac:dyDescent="0.2">
      <c r="W7504" s="319"/>
    </row>
    <row r="7505" spans="23:23" x14ac:dyDescent="0.2">
      <c r="W7505" s="319"/>
    </row>
    <row r="7506" spans="23:23" x14ac:dyDescent="0.2">
      <c r="W7506" s="319"/>
    </row>
    <row r="7507" spans="23:23" x14ac:dyDescent="0.2">
      <c r="W7507" s="319"/>
    </row>
    <row r="7508" spans="23:23" x14ac:dyDescent="0.2">
      <c r="W7508" s="319"/>
    </row>
    <row r="7509" spans="23:23" x14ac:dyDescent="0.2">
      <c r="W7509" s="319"/>
    </row>
    <row r="7510" spans="23:23" x14ac:dyDescent="0.2">
      <c r="W7510" s="319"/>
    </row>
    <row r="7511" spans="23:23" x14ac:dyDescent="0.2">
      <c r="W7511" s="319"/>
    </row>
    <row r="7512" spans="23:23" x14ac:dyDescent="0.2">
      <c r="W7512" s="319"/>
    </row>
    <row r="7513" spans="23:23" x14ac:dyDescent="0.2">
      <c r="W7513" s="319"/>
    </row>
    <row r="7514" spans="23:23" x14ac:dyDescent="0.2">
      <c r="W7514" s="319"/>
    </row>
    <row r="7515" spans="23:23" x14ac:dyDescent="0.2">
      <c r="W7515" s="319"/>
    </row>
    <row r="7516" spans="23:23" x14ac:dyDescent="0.2">
      <c r="W7516" s="319"/>
    </row>
    <row r="7517" spans="23:23" x14ac:dyDescent="0.2">
      <c r="W7517" s="319"/>
    </row>
    <row r="7518" spans="23:23" x14ac:dyDescent="0.2">
      <c r="W7518" s="319"/>
    </row>
    <row r="7519" spans="23:23" x14ac:dyDescent="0.2">
      <c r="W7519" s="319"/>
    </row>
    <row r="7520" spans="23:23" x14ac:dyDescent="0.2">
      <c r="W7520" s="319"/>
    </row>
    <row r="7521" spans="23:23" x14ac:dyDescent="0.2">
      <c r="W7521" s="319"/>
    </row>
    <row r="7522" spans="23:23" x14ac:dyDescent="0.2">
      <c r="W7522" s="319"/>
    </row>
    <row r="7523" spans="23:23" x14ac:dyDescent="0.2">
      <c r="W7523" s="319"/>
    </row>
    <row r="7524" spans="23:23" x14ac:dyDescent="0.2">
      <c r="W7524" s="319"/>
    </row>
    <row r="7525" spans="23:23" x14ac:dyDescent="0.2">
      <c r="W7525" s="319"/>
    </row>
    <row r="7526" spans="23:23" x14ac:dyDescent="0.2">
      <c r="W7526" s="319"/>
    </row>
    <row r="7527" spans="23:23" x14ac:dyDescent="0.2">
      <c r="W7527" s="319"/>
    </row>
    <row r="7528" spans="23:23" x14ac:dyDescent="0.2">
      <c r="W7528" s="319"/>
    </row>
    <row r="7529" spans="23:23" x14ac:dyDescent="0.2">
      <c r="W7529" s="319"/>
    </row>
    <row r="7530" spans="23:23" x14ac:dyDescent="0.2">
      <c r="W7530" s="319"/>
    </row>
    <row r="7531" spans="23:23" x14ac:dyDescent="0.2">
      <c r="W7531" s="319"/>
    </row>
    <row r="7532" spans="23:23" x14ac:dyDescent="0.2">
      <c r="W7532" s="319"/>
    </row>
    <row r="7533" spans="23:23" x14ac:dyDescent="0.2">
      <c r="W7533" s="319"/>
    </row>
    <row r="7534" spans="23:23" x14ac:dyDescent="0.2">
      <c r="W7534" s="319"/>
    </row>
    <row r="7535" spans="23:23" x14ac:dyDescent="0.2">
      <c r="W7535" s="319"/>
    </row>
    <row r="7536" spans="23:23" x14ac:dyDescent="0.2">
      <c r="W7536" s="319"/>
    </row>
    <row r="7537" spans="23:23" x14ac:dyDescent="0.2">
      <c r="W7537" s="319"/>
    </row>
    <row r="7538" spans="23:23" x14ac:dyDescent="0.2">
      <c r="W7538" s="319"/>
    </row>
    <row r="7539" spans="23:23" x14ac:dyDescent="0.2">
      <c r="W7539" s="319"/>
    </row>
    <row r="7540" spans="23:23" x14ac:dyDescent="0.2">
      <c r="W7540" s="319"/>
    </row>
    <row r="7541" spans="23:23" x14ac:dyDescent="0.2">
      <c r="W7541" s="319"/>
    </row>
    <row r="7542" spans="23:23" x14ac:dyDescent="0.2">
      <c r="W7542" s="319"/>
    </row>
    <row r="7543" spans="23:23" x14ac:dyDescent="0.2">
      <c r="W7543" s="319"/>
    </row>
    <row r="7544" spans="23:23" x14ac:dyDescent="0.2">
      <c r="W7544" s="319"/>
    </row>
    <row r="7545" spans="23:23" x14ac:dyDescent="0.2">
      <c r="W7545" s="319"/>
    </row>
    <row r="7546" spans="23:23" x14ac:dyDescent="0.2">
      <c r="W7546" s="319"/>
    </row>
    <row r="7547" spans="23:23" x14ac:dyDescent="0.2">
      <c r="W7547" s="319"/>
    </row>
    <row r="7548" spans="23:23" x14ac:dyDescent="0.2">
      <c r="W7548" s="319"/>
    </row>
    <row r="7549" spans="23:23" x14ac:dyDescent="0.2">
      <c r="W7549" s="319"/>
    </row>
    <row r="7550" spans="23:23" x14ac:dyDescent="0.2">
      <c r="W7550" s="319"/>
    </row>
    <row r="7551" spans="23:23" x14ac:dyDescent="0.2">
      <c r="W7551" s="319"/>
    </row>
    <row r="7552" spans="23:23" x14ac:dyDescent="0.2">
      <c r="W7552" s="319"/>
    </row>
    <row r="7553" spans="23:23" x14ac:dyDescent="0.2">
      <c r="W7553" s="319"/>
    </row>
    <row r="7554" spans="23:23" x14ac:dyDescent="0.2">
      <c r="W7554" s="319"/>
    </row>
    <row r="7555" spans="23:23" x14ac:dyDescent="0.2">
      <c r="W7555" s="319"/>
    </row>
    <row r="7556" spans="23:23" x14ac:dyDescent="0.2">
      <c r="W7556" s="319"/>
    </row>
    <row r="7557" spans="23:23" x14ac:dyDescent="0.2">
      <c r="W7557" s="319"/>
    </row>
    <row r="7558" spans="23:23" x14ac:dyDescent="0.2">
      <c r="W7558" s="319"/>
    </row>
    <row r="7559" spans="23:23" x14ac:dyDescent="0.2">
      <c r="W7559" s="319"/>
    </row>
    <row r="7560" spans="23:23" x14ac:dyDescent="0.2">
      <c r="W7560" s="319"/>
    </row>
    <row r="7561" spans="23:23" x14ac:dyDescent="0.2">
      <c r="W7561" s="319"/>
    </row>
    <row r="7562" spans="23:23" x14ac:dyDescent="0.2">
      <c r="W7562" s="319"/>
    </row>
    <row r="7563" spans="23:23" x14ac:dyDescent="0.2">
      <c r="W7563" s="319"/>
    </row>
    <row r="7564" spans="23:23" x14ac:dyDescent="0.2">
      <c r="W7564" s="319"/>
    </row>
    <row r="7565" spans="23:23" x14ac:dyDescent="0.2">
      <c r="W7565" s="319"/>
    </row>
    <row r="7566" spans="23:23" x14ac:dyDescent="0.2">
      <c r="W7566" s="319"/>
    </row>
    <row r="7567" spans="23:23" x14ac:dyDescent="0.2">
      <c r="W7567" s="319"/>
    </row>
    <row r="7568" spans="23:23" x14ac:dyDescent="0.2">
      <c r="W7568" s="319"/>
    </row>
    <row r="7569" spans="23:23" x14ac:dyDescent="0.2">
      <c r="W7569" s="319"/>
    </row>
    <row r="7570" spans="23:23" x14ac:dyDescent="0.2">
      <c r="W7570" s="319"/>
    </row>
    <row r="7571" spans="23:23" x14ac:dyDescent="0.2">
      <c r="W7571" s="319"/>
    </row>
    <row r="7572" spans="23:23" x14ac:dyDescent="0.2">
      <c r="W7572" s="319"/>
    </row>
    <row r="7573" spans="23:23" x14ac:dyDescent="0.2">
      <c r="W7573" s="319"/>
    </row>
    <row r="7574" spans="23:23" x14ac:dyDescent="0.2">
      <c r="W7574" s="319"/>
    </row>
    <row r="7575" spans="23:23" x14ac:dyDescent="0.2">
      <c r="W7575" s="319"/>
    </row>
    <row r="7576" spans="23:23" x14ac:dyDescent="0.2">
      <c r="W7576" s="319"/>
    </row>
    <row r="7577" spans="23:23" x14ac:dyDescent="0.2">
      <c r="W7577" s="319"/>
    </row>
    <row r="7578" spans="23:23" x14ac:dyDescent="0.2">
      <c r="W7578" s="319"/>
    </row>
    <row r="7579" spans="23:23" x14ac:dyDescent="0.2">
      <c r="W7579" s="319"/>
    </row>
    <row r="7580" spans="23:23" x14ac:dyDescent="0.2">
      <c r="W7580" s="319"/>
    </row>
    <row r="7581" spans="23:23" x14ac:dyDescent="0.2">
      <c r="W7581" s="319"/>
    </row>
    <row r="7582" spans="23:23" x14ac:dyDescent="0.2">
      <c r="W7582" s="319"/>
    </row>
    <row r="7583" spans="23:23" x14ac:dyDescent="0.2">
      <c r="W7583" s="319"/>
    </row>
    <row r="7584" spans="23:23" x14ac:dyDescent="0.2">
      <c r="W7584" s="319"/>
    </row>
    <row r="7585" spans="23:23" x14ac:dyDescent="0.2">
      <c r="W7585" s="319"/>
    </row>
    <row r="7586" spans="23:23" x14ac:dyDescent="0.2">
      <c r="W7586" s="319"/>
    </row>
    <row r="7587" spans="23:23" x14ac:dyDescent="0.2">
      <c r="W7587" s="319"/>
    </row>
    <row r="7588" spans="23:23" x14ac:dyDescent="0.2">
      <c r="W7588" s="319"/>
    </row>
    <row r="7589" spans="23:23" x14ac:dyDescent="0.2">
      <c r="W7589" s="319"/>
    </row>
    <row r="7590" spans="23:23" x14ac:dyDescent="0.2">
      <c r="W7590" s="319"/>
    </row>
    <row r="7591" spans="23:23" x14ac:dyDescent="0.2">
      <c r="W7591" s="319"/>
    </row>
    <row r="7592" spans="23:23" x14ac:dyDescent="0.2">
      <c r="W7592" s="319"/>
    </row>
    <row r="7593" spans="23:23" x14ac:dyDescent="0.2">
      <c r="W7593" s="319"/>
    </row>
    <row r="7594" spans="23:23" x14ac:dyDescent="0.2">
      <c r="W7594" s="319"/>
    </row>
    <row r="7595" spans="23:23" x14ac:dyDescent="0.2">
      <c r="W7595" s="319"/>
    </row>
    <row r="7596" spans="23:23" x14ac:dyDescent="0.2">
      <c r="W7596" s="319"/>
    </row>
    <row r="7597" spans="23:23" x14ac:dyDescent="0.2">
      <c r="W7597" s="319"/>
    </row>
    <row r="7598" spans="23:23" x14ac:dyDescent="0.2">
      <c r="W7598" s="319"/>
    </row>
    <row r="7599" spans="23:23" x14ac:dyDescent="0.2">
      <c r="W7599" s="319"/>
    </row>
    <row r="7600" spans="23:23" x14ac:dyDescent="0.2">
      <c r="W7600" s="319"/>
    </row>
    <row r="7601" spans="23:23" x14ac:dyDescent="0.2">
      <c r="W7601" s="319"/>
    </row>
    <row r="7602" spans="23:23" x14ac:dyDescent="0.2">
      <c r="W7602" s="319"/>
    </row>
    <row r="7603" spans="23:23" x14ac:dyDescent="0.2">
      <c r="W7603" s="319"/>
    </row>
    <row r="7604" spans="23:23" x14ac:dyDescent="0.2">
      <c r="W7604" s="319"/>
    </row>
    <row r="7605" spans="23:23" x14ac:dyDescent="0.2">
      <c r="W7605" s="319"/>
    </row>
    <row r="7606" spans="23:23" x14ac:dyDescent="0.2">
      <c r="W7606" s="319"/>
    </row>
    <row r="7607" spans="23:23" x14ac:dyDescent="0.2">
      <c r="W7607" s="319"/>
    </row>
    <row r="7608" spans="23:23" x14ac:dyDescent="0.2">
      <c r="W7608" s="319"/>
    </row>
    <row r="7609" spans="23:23" x14ac:dyDescent="0.2">
      <c r="W7609" s="319"/>
    </row>
    <row r="7610" spans="23:23" x14ac:dyDescent="0.2">
      <c r="W7610" s="319"/>
    </row>
    <row r="7611" spans="23:23" x14ac:dyDescent="0.2">
      <c r="W7611" s="319"/>
    </row>
    <row r="7612" spans="23:23" x14ac:dyDescent="0.2">
      <c r="W7612" s="319"/>
    </row>
    <row r="7613" spans="23:23" x14ac:dyDescent="0.2">
      <c r="W7613" s="319"/>
    </row>
    <row r="7614" spans="23:23" x14ac:dyDescent="0.2">
      <c r="W7614" s="319"/>
    </row>
    <row r="7615" spans="23:23" x14ac:dyDescent="0.2">
      <c r="W7615" s="319"/>
    </row>
    <row r="7616" spans="23:23" x14ac:dyDescent="0.2">
      <c r="W7616" s="319"/>
    </row>
    <row r="7617" spans="23:23" x14ac:dyDescent="0.2">
      <c r="W7617" s="319"/>
    </row>
    <row r="7618" spans="23:23" x14ac:dyDescent="0.2">
      <c r="W7618" s="319"/>
    </row>
    <row r="7619" spans="23:23" x14ac:dyDescent="0.2">
      <c r="W7619" s="319"/>
    </row>
    <row r="7620" spans="23:23" x14ac:dyDescent="0.2">
      <c r="W7620" s="319"/>
    </row>
    <row r="7621" spans="23:23" x14ac:dyDescent="0.2">
      <c r="W7621" s="319"/>
    </row>
    <row r="7622" spans="23:23" x14ac:dyDescent="0.2">
      <c r="W7622" s="319"/>
    </row>
    <row r="7623" spans="23:23" x14ac:dyDescent="0.2">
      <c r="W7623" s="319"/>
    </row>
    <row r="7624" spans="23:23" x14ac:dyDescent="0.2">
      <c r="W7624" s="319"/>
    </row>
    <row r="7625" spans="23:23" x14ac:dyDescent="0.2">
      <c r="W7625" s="319"/>
    </row>
    <row r="7626" spans="23:23" x14ac:dyDescent="0.2">
      <c r="W7626" s="319"/>
    </row>
    <row r="7627" spans="23:23" x14ac:dyDescent="0.2">
      <c r="W7627" s="319"/>
    </row>
    <row r="7628" spans="23:23" x14ac:dyDescent="0.2">
      <c r="W7628" s="319"/>
    </row>
    <row r="7629" spans="23:23" x14ac:dyDescent="0.2">
      <c r="W7629" s="319"/>
    </row>
    <row r="7630" spans="23:23" x14ac:dyDescent="0.2">
      <c r="W7630" s="319"/>
    </row>
    <row r="7631" spans="23:23" x14ac:dyDescent="0.2">
      <c r="W7631" s="319"/>
    </row>
    <row r="7632" spans="23:23" x14ac:dyDescent="0.2">
      <c r="W7632" s="319"/>
    </row>
    <row r="7633" spans="23:23" x14ac:dyDescent="0.2">
      <c r="W7633" s="319"/>
    </row>
    <row r="7634" spans="23:23" x14ac:dyDescent="0.2">
      <c r="W7634" s="319"/>
    </row>
    <row r="7635" spans="23:23" x14ac:dyDescent="0.2">
      <c r="W7635" s="319"/>
    </row>
    <row r="7636" spans="23:23" x14ac:dyDescent="0.2">
      <c r="W7636" s="319"/>
    </row>
    <row r="7637" spans="23:23" x14ac:dyDescent="0.2">
      <c r="W7637" s="319"/>
    </row>
    <row r="7638" spans="23:23" x14ac:dyDescent="0.2">
      <c r="W7638" s="319"/>
    </row>
    <row r="7639" spans="23:23" x14ac:dyDescent="0.2">
      <c r="W7639" s="319"/>
    </row>
    <row r="7640" spans="23:23" x14ac:dyDescent="0.2">
      <c r="W7640" s="319"/>
    </row>
    <row r="7641" spans="23:23" x14ac:dyDescent="0.2">
      <c r="W7641" s="319"/>
    </row>
    <row r="7642" spans="23:23" x14ac:dyDescent="0.2">
      <c r="W7642" s="319"/>
    </row>
    <row r="7643" spans="23:23" x14ac:dyDescent="0.2">
      <c r="W7643" s="319"/>
    </row>
    <row r="7644" spans="23:23" x14ac:dyDescent="0.2">
      <c r="W7644" s="319"/>
    </row>
    <row r="7645" spans="23:23" x14ac:dyDescent="0.2">
      <c r="W7645" s="319"/>
    </row>
    <row r="7646" spans="23:23" x14ac:dyDescent="0.2">
      <c r="W7646" s="319"/>
    </row>
    <row r="7647" spans="23:23" x14ac:dyDescent="0.2">
      <c r="W7647" s="319"/>
    </row>
    <row r="7648" spans="23:23" x14ac:dyDescent="0.2">
      <c r="W7648" s="319"/>
    </row>
    <row r="7649" spans="23:23" x14ac:dyDescent="0.2">
      <c r="W7649" s="319"/>
    </row>
    <row r="7650" spans="23:23" x14ac:dyDescent="0.2">
      <c r="W7650" s="319"/>
    </row>
    <row r="7651" spans="23:23" x14ac:dyDescent="0.2">
      <c r="W7651" s="319"/>
    </row>
    <row r="7652" spans="23:23" x14ac:dyDescent="0.2">
      <c r="W7652" s="319"/>
    </row>
    <row r="7653" spans="23:23" x14ac:dyDescent="0.2">
      <c r="W7653" s="319"/>
    </row>
    <row r="7654" spans="23:23" x14ac:dyDescent="0.2">
      <c r="W7654" s="319"/>
    </row>
    <row r="7655" spans="23:23" x14ac:dyDescent="0.2">
      <c r="W7655" s="319"/>
    </row>
    <row r="7656" spans="23:23" x14ac:dyDescent="0.2">
      <c r="W7656" s="319"/>
    </row>
    <row r="7657" spans="23:23" x14ac:dyDescent="0.2">
      <c r="W7657" s="319"/>
    </row>
    <row r="7658" spans="23:23" x14ac:dyDescent="0.2">
      <c r="W7658" s="319"/>
    </row>
    <row r="7659" spans="23:23" x14ac:dyDescent="0.2">
      <c r="W7659" s="319"/>
    </row>
    <row r="7660" spans="23:23" x14ac:dyDescent="0.2">
      <c r="W7660" s="319"/>
    </row>
    <row r="7661" spans="23:23" x14ac:dyDescent="0.2">
      <c r="W7661" s="319"/>
    </row>
    <row r="7662" spans="23:23" x14ac:dyDescent="0.2">
      <c r="W7662" s="319"/>
    </row>
    <row r="7663" spans="23:23" x14ac:dyDescent="0.2">
      <c r="W7663" s="319"/>
    </row>
    <row r="7664" spans="23:23" x14ac:dyDescent="0.2">
      <c r="W7664" s="319"/>
    </row>
    <row r="7665" spans="23:23" x14ac:dyDescent="0.2">
      <c r="W7665" s="319"/>
    </row>
    <row r="7666" spans="23:23" x14ac:dyDescent="0.2">
      <c r="W7666" s="319"/>
    </row>
    <row r="7667" spans="23:23" x14ac:dyDescent="0.2">
      <c r="W7667" s="319"/>
    </row>
    <row r="7668" spans="23:23" x14ac:dyDescent="0.2">
      <c r="W7668" s="319"/>
    </row>
    <row r="7669" spans="23:23" x14ac:dyDescent="0.2">
      <c r="W7669" s="319"/>
    </row>
    <row r="7670" spans="23:23" x14ac:dyDescent="0.2">
      <c r="W7670" s="319"/>
    </row>
    <row r="7671" spans="23:23" x14ac:dyDescent="0.2">
      <c r="W7671" s="319"/>
    </row>
    <row r="7672" spans="23:23" x14ac:dyDescent="0.2">
      <c r="W7672" s="319"/>
    </row>
    <row r="7673" spans="23:23" x14ac:dyDescent="0.2">
      <c r="W7673" s="319"/>
    </row>
    <row r="7674" spans="23:23" x14ac:dyDescent="0.2">
      <c r="W7674" s="319"/>
    </row>
    <row r="7675" spans="23:23" x14ac:dyDescent="0.2">
      <c r="W7675" s="319"/>
    </row>
    <row r="7676" spans="23:23" x14ac:dyDescent="0.2">
      <c r="W7676" s="319"/>
    </row>
    <row r="7677" spans="23:23" x14ac:dyDescent="0.2">
      <c r="W7677" s="319"/>
    </row>
    <row r="7678" spans="23:23" x14ac:dyDescent="0.2">
      <c r="W7678" s="319"/>
    </row>
    <row r="7679" spans="23:23" x14ac:dyDescent="0.2">
      <c r="W7679" s="319"/>
    </row>
    <row r="7680" spans="23:23" x14ac:dyDescent="0.2">
      <c r="W7680" s="319"/>
    </row>
    <row r="7681" spans="23:23" x14ac:dyDescent="0.2">
      <c r="W7681" s="319"/>
    </row>
    <row r="7682" spans="23:23" x14ac:dyDescent="0.2">
      <c r="W7682" s="319"/>
    </row>
    <row r="7683" spans="23:23" x14ac:dyDescent="0.2">
      <c r="W7683" s="319"/>
    </row>
    <row r="7684" spans="23:23" x14ac:dyDescent="0.2">
      <c r="W7684" s="319"/>
    </row>
    <row r="7685" spans="23:23" x14ac:dyDescent="0.2">
      <c r="W7685" s="319"/>
    </row>
    <row r="7686" spans="23:23" x14ac:dyDescent="0.2">
      <c r="W7686" s="319"/>
    </row>
    <row r="7687" spans="23:23" x14ac:dyDescent="0.2">
      <c r="W7687" s="319"/>
    </row>
    <row r="7688" spans="23:23" x14ac:dyDescent="0.2">
      <c r="W7688" s="319"/>
    </row>
    <row r="7689" spans="23:23" x14ac:dyDescent="0.2">
      <c r="W7689" s="319"/>
    </row>
    <row r="7690" spans="23:23" x14ac:dyDescent="0.2">
      <c r="W7690" s="319"/>
    </row>
    <row r="7691" spans="23:23" x14ac:dyDescent="0.2">
      <c r="W7691" s="319"/>
    </row>
    <row r="7692" spans="23:23" x14ac:dyDescent="0.2">
      <c r="W7692" s="319"/>
    </row>
    <row r="7693" spans="23:23" x14ac:dyDescent="0.2">
      <c r="W7693" s="319"/>
    </row>
    <row r="7694" spans="23:23" x14ac:dyDescent="0.2">
      <c r="W7694" s="319"/>
    </row>
    <row r="7695" spans="23:23" x14ac:dyDescent="0.2">
      <c r="W7695" s="319"/>
    </row>
    <row r="7696" spans="23:23" x14ac:dyDescent="0.2">
      <c r="W7696" s="319"/>
    </row>
    <row r="7697" spans="23:23" x14ac:dyDescent="0.2">
      <c r="W7697" s="319"/>
    </row>
    <row r="7698" spans="23:23" x14ac:dyDescent="0.2">
      <c r="W7698" s="319"/>
    </row>
    <row r="7699" spans="23:23" x14ac:dyDescent="0.2">
      <c r="W7699" s="319"/>
    </row>
    <row r="7700" spans="23:23" x14ac:dyDescent="0.2">
      <c r="W7700" s="319"/>
    </row>
    <row r="7701" spans="23:23" x14ac:dyDescent="0.2">
      <c r="W7701" s="319"/>
    </row>
    <row r="7702" spans="23:23" x14ac:dyDescent="0.2">
      <c r="W7702" s="319"/>
    </row>
    <row r="7703" spans="23:23" x14ac:dyDescent="0.2">
      <c r="W7703" s="319"/>
    </row>
    <row r="7704" spans="23:23" x14ac:dyDescent="0.2">
      <c r="W7704" s="319"/>
    </row>
    <row r="7705" spans="23:23" x14ac:dyDescent="0.2">
      <c r="W7705" s="319"/>
    </row>
    <row r="7706" spans="23:23" x14ac:dyDescent="0.2">
      <c r="W7706" s="319"/>
    </row>
    <row r="7707" spans="23:23" x14ac:dyDescent="0.2">
      <c r="W7707" s="319"/>
    </row>
    <row r="7708" spans="23:23" x14ac:dyDescent="0.2">
      <c r="W7708" s="319"/>
    </row>
    <row r="7709" spans="23:23" x14ac:dyDescent="0.2">
      <c r="W7709" s="319"/>
    </row>
    <row r="7710" spans="23:23" x14ac:dyDescent="0.2">
      <c r="W7710" s="319"/>
    </row>
    <row r="7711" spans="23:23" x14ac:dyDescent="0.2">
      <c r="W7711" s="319"/>
    </row>
    <row r="7712" spans="23:23" x14ac:dyDescent="0.2">
      <c r="W7712" s="319"/>
    </row>
    <row r="7713" spans="23:23" x14ac:dyDescent="0.2">
      <c r="W7713" s="319"/>
    </row>
    <row r="7714" spans="23:23" x14ac:dyDescent="0.2">
      <c r="W7714" s="319"/>
    </row>
    <row r="7715" spans="23:23" x14ac:dyDescent="0.2">
      <c r="W7715" s="319"/>
    </row>
    <row r="7716" spans="23:23" x14ac:dyDescent="0.2">
      <c r="W7716" s="319"/>
    </row>
    <row r="7717" spans="23:23" x14ac:dyDescent="0.2">
      <c r="W7717" s="319"/>
    </row>
    <row r="7718" spans="23:23" x14ac:dyDescent="0.2">
      <c r="W7718" s="319"/>
    </row>
    <row r="7719" spans="23:23" x14ac:dyDescent="0.2">
      <c r="W7719" s="319"/>
    </row>
    <row r="7720" spans="23:23" x14ac:dyDescent="0.2">
      <c r="W7720" s="319"/>
    </row>
    <row r="7721" spans="23:23" x14ac:dyDescent="0.2">
      <c r="W7721" s="319"/>
    </row>
    <row r="7722" spans="23:23" x14ac:dyDescent="0.2">
      <c r="W7722" s="319"/>
    </row>
    <row r="7723" spans="23:23" x14ac:dyDescent="0.2">
      <c r="W7723" s="319"/>
    </row>
    <row r="7724" spans="23:23" x14ac:dyDescent="0.2">
      <c r="W7724" s="319"/>
    </row>
    <row r="7725" spans="23:23" x14ac:dyDescent="0.2">
      <c r="W7725" s="319"/>
    </row>
    <row r="7726" spans="23:23" x14ac:dyDescent="0.2">
      <c r="W7726" s="319"/>
    </row>
    <row r="7727" spans="23:23" x14ac:dyDescent="0.2">
      <c r="W7727" s="319"/>
    </row>
    <row r="7728" spans="23:23" x14ac:dyDescent="0.2">
      <c r="W7728" s="319"/>
    </row>
    <row r="7729" spans="23:23" x14ac:dyDescent="0.2">
      <c r="W7729" s="319"/>
    </row>
    <row r="7730" spans="23:23" x14ac:dyDescent="0.2">
      <c r="W7730" s="319"/>
    </row>
    <row r="7731" spans="23:23" x14ac:dyDescent="0.2">
      <c r="W7731" s="319"/>
    </row>
    <row r="7732" spans="23:23" x14ac:dyDescent="0.2">
      <c r="W7732" s="319"/>
    </row>
    <row r="7733" spans="23:23" x14ac:dyDescent="0.2">
      <c r="W7733" s="319"/>
    </row>
    <row r="7734" spans="23:23" x14ac:dyDescent="0.2">
      <c r="W7734" s="319"/>
    </row>
    <row r="7735" spans="23:23" x14ac:dyDescent="0.2">
      <c r="W7735" s="319"/>
    </row>
    <row r="7736" spans="23:23" x14ac:dyDescent="0.2">
      <c r="W7736" s="319"/>
    </row>
    <row r="7737" spans="23:23" x14ac:dyDescent="0.2">
      <c r="W7737" s="319"/>
    </row>
    <row r="7738" spans="23:23" x14ac:dyDescent="0.2">
      <c r="W7738" s="319"/>
    </row>
    <row r="7739" spans="23:23" x14ac:dyDescent="0.2">
      <c r="W7739" s="319"/>
    </row>
    <row r="7740" spans="23:23" x14ac:dyDescent="0.2">
      <c r="W7740" s="319"/>
    </row>
    <row r="7741" spans="23:23" x14ac:dyDescent="0.2">
      <c r="W7741" s="319"/>
    </row>
    <row r="7742" spans="23:23" x14ac:dyDescent="0.2">
      <c r="W7742" s="319"/>
    </row>
    <row r="7743" spans="23:23" x14ac:dyDescent="0.2">
      <c r="W7743" s="319"/>
    </row>
    <row r="7744" spans="23:23" x14ac:dyDescent="0.2">
      <c r="W7744" s="319"/>
    </row>
    <row r="7745" spans="23:23" x14ac:dyDescent="0.2">
      <c r="W7745" s="319"/>
    </row>
    <row r="7746" spans="23:23" x14ac:dyDescent="0.2">
      <c r="W7746" s="319"/>
    </row>
    <row r="7747" spans="23:23" x14ac:dyDescent="0.2">
      <c r="W7747" s="319"/>
    </row>
    <row r="7748" spans="23:23" x14ac:dyDescent="0.2">
      <c r="W7748" s="319"/>
    </row>
    <row r="7749" spans="23:23" x14ac:dyDescent="0.2">
      <c r="W7749" s="319"/>
    </row>
    <row r="7750" spans="23:23" x14ac:dyDescent="0.2">
      <c r="W7750" s="319"/>
    </row>
    <row r="7751" spans="23:23" x14ac:dyDescent="0.2">
      <c r="W7751" s="319"/>
    </row>
    <row r="7752" spans="23:23" x14ac:dyDescent="0.2">
      <c r="W7752" s="319"/>
    </row>
    <row r="7753" spans="23:23" x14ac:dyDescent="0.2">
      <c r="W7753" s="319"/>
    </row>
    <row r="7754" spans="23:23" x14ac:dyDescent="0.2">
      <c r="W7754" s="319"/>
    </row>
    <row r="7755" spans="23:23" x14ac:dyDescent="0.2">
      <c r="W7755" s="319"/>
    </row>
    <row r="7756" spans="23:23" x14ac:dyDescent="0.2">
      <c r="W7756" s="319"/>
    </row>
    <row r="7757" spans="23:23" x14ac:dyDescent="0.2">
      <c r="W7757" s="319"/>
    </row>
    <row r="7758" spans="23:23" x14ac:dyDescent="0.2">
      <c r="W7758" s="319"/>
    </row>
    <row r="7759" spans="23:23" x14ac:dyDescent="0.2">
      <c r="W7759" s="319"/>
    </row>
    <row r="7760" spans="23:23" x14ac:dyDescent="0.2">
      <c r="W7760" s="319"/>
    </row>
    <row r="7761" spans="23:23" x14ac:dyDescent="0.2">
      <c r="W7761" s="319"/>
    </row>
    <row r="7762" spans="23:23" x14ac:dyDescent="0.2">
      <c r="W7762" s="319"/>
    </row>
    <row r="7763" spans="23:23" x14ac:dyDescent="0.2">
      <c r="W7763" s="319"/>
    </row>
    <row r="7764" spans="23:23" x14ac:dyDescent="0.2">
      <c r="W7764" s="319"/>
    </row>
    <row r="7765" spans="23:23" x14ac:dyDescent="0.2">
      <c r="W7765" s="319"/>
    </row>
    <row r="7766" spans="23:23" x14ac:dyDescent="0.2">
      <c r="W7766" s="319"/>
    </row>
    <row r="7767" spans="23:23" x14ac:dyDescent="0.2">
      <c r="W7767" s="319"/>
    </row>
    <row r="7768" spans="23:23" x14ac:dyDescent="0.2">
      <c r="W7768" s="319"/>
    </row>
    <row r="7769" spans="23:23" x14ac:dyDescent="0.2">
      <c r="W7769" s="319"/>
    </row>
    <row r="7770" spans="23:23" x14ac:dyDescent="0.2">
      <c r="W7770" s="319"/>
    </row>
    <row r="7771" spans="23:23" x14ac:dyDescent="0.2">
      <c r="W7771" s="319"/>
    </row>
    <row r="7772" spans="23:23" x14ac:dyDescent="0.2">
      <c r="W7772" s="319"/>
    </row>
    <row r="7773" spans="23:23" x14ac:dyDescent="0.2">
      <c r="W7773" s="319"/>
    </row>
    <row r="7774" spans="23:23" x14ac:dyDescent="0.2">
      <c r="W7774" s="319"/>
    </row>
    <row r="7775" spans="23:23" x14ac:dyDescent="0.2">
      <c r="W7775" s="319"/>
    </row>
    <row r="7776" spans="23:23" x14ac:dyDescent="0.2">
      <c r="W7776" s="319"/>
    </row>
    <row r="7777" spans="23:23" x14ac:dyDescent="0.2">
      <c r="W7777" s="319"/>
    </row>
    <row r="7778" spans="23:23" x14ac:dyDescent="0.2">
      <c r="W7778" s="319"/>
    </row>
    <row r="7779" spans="23:23" x14ac:dyDescent="0.2">
      <c r="W7779" s="319"/>
    </row>
    <row r="7780" spans="23:23" x14ac:dyDescent="0.2">
      <c r="W7780" s="319"/>
    </row>
    <row r="7781" spans="23:23" x14ac:dyDescent="0.2">
      <c r="W7781" s="319"/>
    </row>
    <row r="7782" spans="23:23" x14ac:dyDescent="0.2">
      <c r="W7782" s="319"/>
    </row>
    <row r="7783" spans="23:23" x14ac:dyDescent="0.2">
      <c r="W7783" s="319"/>
    </row>
    <row r="7784" spans="23:23" x14ac:dyDescent="0.2">
      <c r="W7784" s="319"/>
    </row>
    <row r="7785" spans="23:23" x14ac:dyDescent="0.2">
      <c r="W7785" s="319"/>
    </row>
    <row r="7786" spans="23:23" x14ac:dyDescent="0.2">
      <c r="W7786" s="319"/>
    </row>
    <row r="7787" spans="23:23" x14ac:dyDescent="0.2">
      <c r="W7787" s="319"/>
    </row>
    <row r="7788" spans="23:23" x14ac:dyDescent="0.2">
      <c r="W7788" s="319"/>
    </row>
    <row r="7789" spans="23:23" x14ac:dyDescent="0.2">
      <c r="W7789" s="319"/>
    </row>
    <row r="7790" spans="23:23" x14ac:dyDescent="0.2">
      <c r="W7790" s="319"/>
    </row>
    <row r="7791" spans="23:23" x14ac:dyDescent="0.2">
      <c r="W7791" s="319"/>
    </row>
    <row r="7792" spans="23:23" x14ac:dyDescent="0.2">
      <c r="W7792" s="319"/>
    </row>
    <row r="7793" spans="23:23" x14ac:dyDescent="0.2">
      <c r="W7793" s="319"/>
    </row>
    <row r="7794" spans="23:23" x14ac:dyDescent="0.2">
      <c r="W7794" s="319"/>
    </row>
    <row r="7795" spans="23:23" x14ac:dyDescent="0.2">
      <c r="W7795" s="319"/>
    </row>
    <row r="7796" spans="23:23" x14ac:dyDescent="0.2">
      <c r="W7796" s="319"/>
    </row>
    <row r="7797" spans="23:23" x14ac:dyDescent="0.2">
      <c r="W7797" s="319"/>
    </row>
    <row r="7798" spans="23:23" x14ac:dyDescent="0.2">
      <c r="W7798" s="319"/>
    </row>
    <row r="7799" spans="23:23" x14ac:dyDescent="0.2">
      <c r="W7799" s="319"/>
    </row>
    <row r="7800" spans="23:23" x14ac:dyDescent="0.2">
      <c r="W7800" s="319"/>
    </row>
    <row r="7801" spans="23:23" x14ac:dyDescent="0.2">
      <c r="W7801" s="319"/>
    </row>
    <row r="7802" spans="23:23" x14ac:dyDescent="0.2">
      <c r="W7802" s="319"/>
    </row>
    <row r="7803" spans="23:23" x14ac:dyDescent="0.2">
      <c r="W7803" s="319"/>
    </row>
    <row r="7804" spans="23:23" x14ac:dyDescent="0.2">
      <c r="W7804" s="319"/>
    </row>
    <row r="7805" spans="23:23" x14ac:dyDescent="0.2">
      <c r="W7805" s="319"/>
    </row>
    <row r="7806" spans="23:23" x14ac:dyDescent="0.2">
      <c r="W7806" s="319"/>
    </row>
    <row r="7807" spans="23:23" x14ac:dyDescent="0.2">
      <c r="W7807" s="319"/>
    </row>
    <row r="7808" spans="23:23" x14ac:dyDescent="0.2">
      <c r="W7808" s="319"/>
    </row>
    <row r="7809" spans="23:23" x14ac:dyDescent="0.2">
      <c r="W7809" s="319"/>
    </row>
    <row r="7810" spans="23:23" x14ac:dyDescent="0.2">
      <c r="W7810" s="319"/>
    </row>
    <row r="7811" spans="23:23" x14ac:dyDescent="0.2">
      <c r="W7811" s="319"/>
    </row>
    <row r="7812" spans="23:23" x14ac:dyDescent="0.2">
      <c r="W7812" s="319"/>
    </row>
    <row r="7813" spans="23:23" x14ac:dyDescent="0.2">
      <c r="W7813" s="319"/>
    </row>
    <row r="7814" spans="23:23" x14ac:dyDescent="0.2">
      <c r="W7814" s="319"/>
    </row>
    <row r="7815" spans="23:23" x14ac:dyDescent="0.2">
      <c r="W7815" s="319"/>
    </row>
    <row r="7816" spans="23:23" x14ac:dyDescent="0.2">
      <c r="W7816" s="319"/>
    </row>
    <row r="7817" spans="23:23" x14ac:dyDescent="0.2">
      <c r="W7817" s="319"/>
    </row>
    <row r="7818" spans="23:23" x14ac:dyDescent="0.2">
      <c r="W7818" s="319"/>
    </row>
    <row r="7819" spans="23:23" x14ac:dyDescent="0.2">
      <c r="W7819" s="319"/>
    </row>
    <row r="7820" spans="23:23" x14ac:dyDescent="0.2">
      <c r="W7820" s="319"/>
    </row>
    <row r="7821" spans="23:23" x14ac:dyDescent="0.2">
      <c r="W7821" s="319"/>
    </row>
    <row r="7822" spans="23:23" x14ac:dyDescent="0.2">
      <c r="W7822" s="319"/>
    </row>
    <row r="7823" spans="23:23" x14ac:dyDescent="0.2">
      <c r="W7823" s="319"/>
    </row>
    <row r="7824" spans="23:23" x14ac:dyDescent="0.2">
      <c r="W7824" s="319"/>
    </row>
    <row r="7825" spans="23:23" x14ac:dyDescent="0.2">
      <c r="W7825" s="319"/>
    </row>
    <row r="7826" spans="23:23" x14ac:dyDescent="0.2">
      <c r="W7826" s="319"/>
    </row>
    <row r="7827" spans="23:23" x14ac:dyDescent="0.2">
      <c r="W7827" s="319"/>
    </row>
    <row r="7828" spans="23:23" x14ac:dyDescent="0.2">
      <c r="W7828" s="319"/>
    </row>
    <row r="7829" spans="23:23" x14ac:dyDescent="0.2">
      <c r="W7829" s="319"/>
    </row>
    <row r="7830" spans="23:23" x14ac:dyDescent="0.2">
      <c r="W7830" s="319"/>
    </row>
    <row r="7831" spans="23:23" x14ac:dyDescent="0.2">
      <c r="W7831" s="319"/>
    </row>
    <row r="7832" spans="23:23" x14ac:dyDescent="0.2">
      <c r="W7832" s="319"/>
    </row>
    <row r="7833" spans="23:23" x14ac:dyDescent="0.2">
      <c r="W7833" s="319"/>
    </row>
    <row r="7834" spans="23:23" x14ac:dyDescent="0.2">
      <c r="W7834" s="319"/>
    </row>
    <row r="7835" spans="23:23" x14ac:dyDescent="0.2">
      <c r="W7835" s="319"/>
    </row>
    <row r="7836" spans="23:23" x14ac:dyDescent="0.2">
      <c r="W7836" s="319"/>
    </row>
    <row r="7837" spans="23:23" x14ac:dyDescent="0.2">
      <c r="W7837" s="319"/>
    </row>
    <row r="7838" spans="23:23" x14ac:dyDescent="0.2">
      <c r="W7838" s="319"/>
    </row>
    <row r="7839" spans="23:23" x14ac:dyDescent="0.2">
      <c r="W7839" s="319"/>
    </row>
    <row r="7840" spans="23:23" x14ac:dyDescent="0.2">
      <c r="W7840" s="319"/>
    </row>
    <row r="7841" spans="23:23" x14ac:dyDescent="0.2">
      <c r="W7841" s="319"/>
    </row>
    <row r="7842" spans="23:23" x14ac:dyDescent="0.2">
      <c r="W7842" s="319"/>
    </row>
    <row r="7843" spans="23:23" x14ac:dyDescent="0.2">
      <c r="W7843" s="319"/>
    </row>
    <row r="7844" spans="23:23" x14ac:dyDescent="0.2">
      <c r="W7844" s="319"/>
    </row>
    <row r="7845" spans="23:23" x14ac:dyDescent="0.2">
      <c r="W7845" s="319"/>
    </row>
    <row r="7846" spans="23:23" x14ac:dyDescent="0.2">
      <c r="W7846" s="319"/>
    </row>
    <row r="7847" spans="23:23" x14ac:dyDescent="0.2">
      <c r="W7847" s="319"/>
    </row>
    <row r="7848" spans="23:23" x14ac:dyDescent="0.2">
      <c r="W7848" s="319"/>
    </row>
    <row r="7849" spans="23:23" x14ac:dyDescent="0.2">
      <c r="W7849" s="319"/>
    </row>
    <row r="7850" spans="23:23" x14ac:dyDescent="0.2">
      <c r="W7850" s="319"/>
    </row>
    <row r="7851" spans="23:23" x14ac:dyDescent="0.2">
      <c r="W7851" s="319"/>
    </row>
    <row r="7852" spans="23:23" x14ac:dyDescent="0.2">
      <c r="W7852" s="319"/>
    </row>
    <row r="7853" spans="23:23" x14ac:dyDescent="0.2">
      <c r="W7853" s="319"/>
    </row>
    <row r="7854" spans="23:23" x14ac:dyDescent="0.2">
      <c r="W7854" s="319"/>
    </row>
    <row r="7855" spans="23:23" x14ac:dyDescent="0.2">
      <c r="W7855" s="319"/>
    </row>
    <row r="7856" spans="23:23" x14ac:dyDescent="0.2">
      <c r="W7856" s="319"/>
    </row>
    <row r="7857" spans="23:23" x14ac:dyDescent="0.2">
      <c r="W7857" s="319"/>
    </row>
    <row r="7858" spans="23:23" x14ac:dyDescent="0.2">
      <c r="W7858" s="319"/>
    </row>
    <row r="7859" spans="23:23" x14ac:dyDescent="0.2">
      <c r="W7859" s="319"/>
    </row>
    <row r="7860" spans="23:23" x14ac:dyDescent="0.2">
      <c r="W7860" s="319"/>
    </row>
    <row r="7861" spans="23:23" x14ac:dyDescent="0.2">
      <c r="W7861" s="319"/>
    </row>
    <row r="7862" spans="23:23" x14ac:dyDescent="0.2">
      <c r="W7862" s="319"/>
    </row>
    <row r="7863" spans="23:23" x14ac:dyDescent="0.2">
      <c r="W7863" s="319"/>
    </row>
    <row r="7864" spans="23:23" x14ac:dyDescent="0.2">
      <c r="W7864" s="319"/>
    </row>
    <row r="7865" spans="23:23" x14ac:dyDescent="0.2">
      <c r="W7865" s="319"/>
    </row>
    <row r="7866" spans="23:23" x14ac:dyDescent="0.2">
      <c r="W7866" s="319"/>
    </row>
    <row r="7867" spans="23:23" x14ac:dyDescent="0.2">
      <c r="W7867" s="319"/>
    </row>
    <row r="7868" spans="23:23" x14ac:dyDescent="0.2">
      <c r="W7868" s="319"/>
    </row>
    <row r="7869" spans="23:23" x14ac:dyDescent="0.2">
      <c r="W7869" s="319"/>
    </row>
    <row r="7870" spans="23:23" x14ac:dyDescent="0.2">
      <c r="W7870" s="319"/>
    </row>
    <row r="7871" spans="23:23" x14ac:dyDescent="0.2">
      <c r="W7871" s="319"/>
    </row>
    <row r="7872" spans="23:23" x14ac:dyDescent="0.2">
      <c r="W7872" s="319"/>
    </row>
    <row r="7873" spans="23:23" x14ac:dyDescent="0.2">
      <c r="W7873" s="319"/>
    </row>
    <row r="7874" spans="23:23" x14ac:dyDescent="0.2">
      <c r="W7874" s="319"/>
    </row>
    <row r="7875" spans="23:23" x14ac:dyDescent="0.2">
      <c r="W7875" s="319"/>
    </row>
    <row r="7876" spans="23:23" x14ac:dyDescent="0.2">
      <c r="W7876" s="319"/>
    </row>
    <row r="7877" spans="23:23" x14ac:dyDescent="0.2">
      <c r="W7877" s="319"/>
    </row>
    <row r="7878" spans="23:23" x14ac:dyDescent="0.2">
      <c r="W7878" s="319"/>
    </row>
    <row r="7879" spans="23:23" x14ac:dyDescent="0.2">
      <c r="W7879" s="319"/>
    </row>
    <row r="7880" spans="23:23" x14ac:dyDescent="0.2">
      <c r="W7880" s="319"/>
    </row>
    <row r="7881" spans="23:23" x14ac:dyDescent="0.2">
      <c r="W7881" s="319"/>
    </row>
    <row r="7882" spans="23:23" x14ac:dyDescent="0.2">
      <c r="W7882" s="319"/>
    </row>
    <row r="7883" spans="23:23" x14ac:dyDescent="0.2">
      <c r="W7883" s="319"/>
    </row>
    <row r="7884" spans="23:23" x14ac:dyDescent="0.2">
      <c r="W7884" s="319"/>
    </row>
    <row r="7885" spans="23:23" x14ac:dyDescent="0.2">
      <c r="W7885" s="319"/>
    </row>
    <row r="7886" spans="23:23" x14ac:dyDescent="0.2">
      <c r="W7886" s="319"/>
    </row>
    <row r="7887" spans="23:23" x14ac:dyDescent="0.2">
      <c r="W7887" s="319"/>
    </row>
    <row r="7888" spans="23:23" x14ac:dyDescent="0.2">
      <c r="W7888" s="319"/>
    </row>
    <row r="7889" spans="23:23" x14ac:dyDescent="0.2">
      <c r="W7889" s="319"/>
    </row>
    <row r="7890" spans="23:23" x14ac:dyDescent="0.2">
      <c r="W7890" s="319"/>
    </row>
    <row r="7891" spans="23:23" x14ac:dyDescent="0.2">
      <c r="W7891" s="319"/>
    </row>
    <row r="7892" spans="23:23" x14ac:dyDescent="0.2">
      <c r="W7892" s="319"/>
    </row>
    <row r="7893" spans="23:23" x14ac:dyDescent="0.2">
      <c r="W7893" s="319"/>
    </row>
    <row r="7894" spans="23:23" x14ac:dyDescent="0.2">
      <c r="W7894" s="319"/>
    </row>
    <row r="7895" spans="23:23" x14ac:dyDescent="0.2">
      <c r="W7895" s="319"/>
    </row>
    <row r="7896" spans="23:23" x14ac:dyDescent="0.2">
      <c r="W7896" s="319"/>
    </row>
    <row r="7897" spans="23:23" x14ac:dyDescent="0.2">
      <c r="W7897" s="319"/>
    </row>
    <row r="7898" spans="23:23" x14ac:dyDescent="0.2">
      <c r="W7898" s="319"/>
    </row>
    <row r="7899" spans="23:23" x14ac:dyDescent="0.2">
      <c r="W7899" s="319"/>
    </row>
    <row r="7900" spans="23:23" x14ac:dyDescent="0.2">
      <c r="W7900" s="319"/>
    </row>
    <row r="7901" spans="23:23" x14ac:dyDescent="0.2">
      <c r="W7901" s="319"/>
    </row>
    <row r="7902" spans="23:23" x14ac:dyDescent="0.2">
      <c r="W7902" s="319"/>
    </row>
    <row r="7903" spans="23:23" x14ac:dyDescent="0.2">
      <c r="W7903" s="319"/>
    </row>
    <row r="7904" spans="23:23" x14ac:dyDescent="0.2">
      <c r="W7904" s="319"/>
    </row>
    <row r="7905" spans="23:23" x14ac:dyDescent="0.2">
      <c r="W7905" s="319"/>
    </row>
    <row r="7906" spans="23:23" x14ac:dyDescent="0.2">
      <c r="W7906" s="319"/>
    </row>
    <row r="7907" spans="23:23" x14ac:dyDescent="0.2">
      <c r="W7907" s="319"/>
    </row>
    <row r="7908" spans="23:23" x14ac:dyDescent="0.2">
      <c r="W7908" s="319"/>
    </row>
    <row r="7909" spans="23:23" x14ac:dyDescent="0.2">
      <c r="W7909" s="319"/>
    </row>
    <row r="7910" spans="23:23" x14ac:dyDescent="0.2">
      <c r="W7910" s="319"/>
    </row>
    <row r="7911" spans="23:23" x14ac:dyDescent="0.2">
      <c r="W7911" s="319"/>
    </row>
    <row r="7912" spans="23:23" x14ac:dyDescent="0.2">
      <c r="W7912" s="319"/>
    </row>
    <row r="7913" spans="23:23" x14ac:dyDescent="0.2">
      <c r="W7913" s="319"/>
    </row>
    <row r="7914" spans="23:23" x14ac:dyDescent="0.2">
      <c r="W7914" s="319"/>
    </row>
    <row r="7915" spans="23:23" x14ac:dyDescent="0.2">
      <c r="W7915" s="319"/>
    </row>
    <row r="7916" spans="23:23" x14ac:dyDescent="0.2">
      <c r="W7916" s="319"/>
    </row>
    <row r="7917" spans="23:23" x14ac:dyDescent="0.2">
      <c r="W7917" s="319"/>
    </row>
    <row r="7918" spans="23:23" x14ac:dyDescent="0.2">
      <c r="W7918" s="319"/>
    </row>
    <row r="7919" spans="23:23" x14ac:dyDescent="0.2">
      <c r="W7919" s="319"/>
    </row>
    <row r="7920" spans="23:23" x14ac:dyDescent="0.2">
      <c r="W7920" s="319"/>
    </row>
    <row r="7921" spans="23:23" x14ac:dyDescent="0.2">
      <c r="W7921" s="319"/>
    </row>
    <row r="7922" spans="23:23" x14ac:dyDescent="0.2">
      <c r="W7922" s="319"/>
    </row>
    <row r="7923" spans="23:23" x14ac:dyDescent="0.2">
      <c r="W7923" s="319"/>
    </row>
    <row r="7924" spans="23:23" x14ac:dyDescent="0.2">
      <c r="W7924" s="319"/>
    </row>
    <row r="7925" spans="23:23" x14ac:dyDescent="0.2">
      <c r="W7925" s="319"/>
    </row>
    <row r="7926" spans="23:23" x14ac:dyDescent="0.2">
      <c r="W7926" s="319"/>
    </row>
    <row r="7927" spans="23:23" x14ac:dyDescent="0.2">
      <c r="W7927" s="319"/>
    </row>
    <row r="7928" spans="23:23" x14ac:dyDescent="0.2">
      <c r="W7928" s="319"/>
    </row>
    <row r="7929" spans="23:23" x14ac:dyDescent="0.2">
      <c r="W7929" s="319"/>
    </row>
    <row r="7930" spans="23:23" x14ac:dyDescent="0.2">
      <c r="W7930" s="319"/>
    </row>
    <row r="7931" spans="23:23" x14ac:dyDescent="0.2">
      <c r="W7931" s="319"/>
    </row>
    <row r="7932" spans="23:23" x14ac:dyDescent="0.2">
      <c r="W7932" s="319"/>
    </row>
    <row r="7933" spans="23:23" x14ac:dyDescent="0.2">
      <c r="W7933" s="319"/>
    </row>
    <row r="7934" spans="23:23" x14ac:dyDescent="0.2">
      <c r="W7934" s="319"/>
    </row>
    <row r="7935" spans="23:23" x14ac:dyDescent="0.2">
      <c r="W7935" s="319"/>
    </row>
    <row r="7936" spans="23:23" x14ac:dyDescent="0.2">
      <c r="W7936" s="319"/>
    </row>
    <row r="7937" spans="23:23" x14ac:dyDescent="0.2">
      <c r="W7937" s="319"/>
    </row>
    <row r="7938" spans="23:23" x14ac:dyDescent="0.2">
      <c r="W7938" s="319"/>
    </row>
    <row r="7939" spans="23:23" x14ac:dyDescent="0.2">
      <c r="W7939" s="319"/>
    </row>
    <row r="7940" spans="23:23" x14ac:dyDescent="0.2">
      <c r="W7940" s="319"/>
    </row>
    <row r="7941" spans="23:23" x14ac:dyDescent="0.2">
      <c r="W7941" s="319"/>
    </row>
    <row r="7942" spans="23:23" x14ac:dyDescent="0.2">
      <c r="W7942" s="319"/>
    </row>
    <row r="7943" spans="23:23" x14ac:dyDescent="0.2">
      <c r="W7943" s="319"/>
    </row>
    <row r="7944" spans="23:23" x14ac:dyDescent="0.2">
      <c r="W7944" s="319"/>
    </row>
    <row r="7945" spans="23:23" x14ac:dyDescent="0.2">
      <c r="W7945" s="319"/>
    </row>
    <row r="7946" spans="23:23" x14ac:dyDescent="0.2">
      <c r="W7946" s="319"/>
    </row>
    <row r="7947" spans="23:23" x14ac:dyDescent="0.2">
      <c r="W7947" s="319"/>
    </row>
    <row r="7948" spans="23:23" x14ac:dyDescent="0.2">
      <c r="W7948" s="319"/>
    </row>
    <row r="7949" spans="23:23" x14ac:dyDescent="0.2">
      <c r="W7949" s="319"/>
    </row>
    <row r="7950" spans="23:23" x14ac:dyDescent="0.2">
      <c r="W7950" s="319"/>
    </row>
    <row r="7951" spans="23:23" x14ac:dyDescent="0.2">
      <c r="W7951" s="319"/>
    </row>
    <row r="7952" spans="23:23" x14ac:dyDescent="0.2">
      <c r="W7952" s="319"/>
    </row>
    <row r="7953" spans="23:23" x14ac:dyDescent="0.2">
      <c r="W7953" s="319"/>
    </row>
    <row r="7954" spans="23:23" x14ac:dyDescent="0.2">
      <c r="W7954" s="319"/>
    </row>
    <row r="7955" spans="23:23" x14ac:dyDescent="0.2">
      <c r="W7955" s="319"/>
    </row>
    <row r="7956" spans="23:23" x14ac:dyDescent="0.2">
      <c r="W7956" s="319"/>
    </row>
    <row r="7957" spans="23:23" x14ac:dyDescent="0.2">
      <c r="W7957" s="319"/>
    </row>
    <row r="7958" spans="23:23" x14ac:dyDescent="0.2">
      <c r="W7958" s="319"/>
    </row>
    <row r="7959" spans="23:23" x14ac:dyDescent="0.2">
      <c r="W7959" s="319"/>
    </row>
    <row r="7960" spans="23:23" x14ac:dyDescent="0.2">
      <c r="W7960" s="319"/>
    </row>
    <row r="7961" spans="23:23" x14ac:dyDescent="0.2">
      <c r="W7961" s="319"/>
    </row>
    <row r="7962" spans="23:23" x14ac:dyDescent="0.2">
      <c r="W7962" s="319"/>
    </row>
    <row r="7963" spans="23:23" x14ac:dyDescent="0.2">
      <c r="W7963" s="319"/>
    </row>
    <row r="7964" spans="23:23" x14ac:dyDescent="0.2">
      <c r="W7964" s="319"/>
    </row>
    <row r="7965" spans="23:23" x14ac:dyDescent="0.2">
      <c r="W7965" s="319"/>
    </row>
    <row r="7966" spans="23:23" x14ac:dyDescent="0.2">
      <c r="W7966" s="319"/>
    </row>
    <row r="7967" spans="23:23" x14ac:dyDescent="0.2">
      <c r="W7967" s="319"/>
    </row>
    <row r="7968" spans="23:23" x14ac:dyDescent="0.2">
      <c r="W7968" s="319"/>
    </row>
    <row r="7969" spans="23:23" x14ac:dyDescent="0.2">
      <c r="W7969" s="319"/>
    </row>
    <row r="7970" spans="23:23" x14ac:dyDescent="0.2">
      <c r="W7970" s="319"/>
    </row>
    <row r="7971" spans="23:23" x14ac:dyDescent="0.2">
      <c r="W7971" s="319"/>
    </row>
    <row r="7972" spans="23:23" x14ac:dyDescent="0.2">
      <c r="W7972" s="319"/>
    </row>
    <row r="7973" spans="23:23" x14ac:dyDescent="0.2">
      <c r="W7973" s="319"/>
    </row>
    <row r="7974" spans="23:23" x14ac:dyDescent="0.2">
      <c r="W7974" s="319"/>
    </row>
    <row r="7975" spans="23:23" x14ac:dyDescent="0.2">
      <c r="W7975" s="319"/>
    </row>
    <row r="7976" spans="23:23" x14ac:dyDescent="0.2">
      <c r="W7976" s="319"/>
    </row>
    <row r="7977" spans="23:23" x14ac:dyDescent="0.2">
      <c r="W7977" s="319"/>
    </row>
    <row r="7978" spans="23:23" x14ac:dyDescent="0.2">
      <c r="W7978" s="319"/>
    </row>
    <row r="7979" spans="23:23" x14ac:dyDescent="0.2">
      <c r="W7979" s="319"/>
    </row>
    <row r="7980" spans="23:23" x14ac:dyDescent="0.2">
      <c r="W7980" s="319"/>
    </row>
    <row r="7981" spans="23:23" x14ac:dyDescent="0.2">
      <c r="W7981" s="319"/>
    </row>
    <row r="7982" spans="23:23" x14ac:dyDescent="0.2">
      <c r="W7982" s="319"/>
    </row>
    <row r="7983" spans="23:23" x14ac:dyDescent="0.2">
      <c r="W7983" s="319"/>
    </row>
    <row r="7984" spans="23:23" x14ac:dyDescent="0.2">
      <c r="W7984" s="319"/>
    </row>
    <row r="7985" spans="23:23" x14ac:dyDescent="0.2">
      <c r="W7985" s="319"/>
    </row>
    <row r="7986" spans="23:23" x14ac:dyDescent="0.2">
      <c r="W7986" s="319"/>
    </row>
    <row r="7987" spans="23:23" x14ac:dyDescent="0.2">
      <c r="W7987" s="319"/>
    </row>
    <row r="7988" spans="23:23" x14ac:dyDescent="0.2">
      <c r="W7988" s="319"/>
    </row>
    <row r="7989" spans="23:23" x14ac:dyDescent="0.2">
      <c r="W7989" s="319"/>
    </row>
    <row r="7990" spans="23:23" x14ac:dyDescent="0.2">
      <c r="W7990" s="319"/>
    </row>
    <row r="7991" spans="23:23" x14ac:dyDescent="0.2">
      <c r="W7991" s="319"/>
    </row>
    <row r="7992" spans="23:23" x14ac:dyDescent="0.2">
      <c r="W7992" s="319"/>
    </row>
    <row r="7993" spans="23:23" x14ac:dyDescent="0.2">
      <c r="W7993" s="319"/>
    </row>
    <row r="7994" spans="23:23" x14ac:dyDescent="0.2">
      <c r="W7994" s="319"/>
    </row>
    <row r="7995" spans="23:23" x14ac:dyDescent="0.2">
      <c r="W7995" s="319"/>
    </row>
    <row r="7996" spans="23:23" x14ac:dyDescent="0.2">
      <c r="W7996" s="319"/>
    </row>
    <row r="7997" spans="23:23" x14ac:dyDescent="0.2">
      <c r="W7997" s="319"/>
    </row>
    <row r="7998" spans="23:23" x14ac:dyDescent="0.2">
      <c r="W7998" s="319"/>
    </row>
    <row r="7999" spans="23:23" x14ac:dyDescent="0.2">
      <c r="W7999" s="319"/>
    </row>
    <row r="8000" spans="23:23" x14ac:dyDescent="0.2">
      <c r="W8000" s="319"/>
    </row>
    <row r="8001" spans="23:23" x14ac:dyDescent="0.2">
      <c r="W8001" s="319"/>
    </row>
    <row r="8002" spans="23:23" x14ac:dyDescent="0.2">
      <c r="W8002" s="319"/>
    </row>
    <row r="8003" spans="23:23" x14ac:dyDescent="0.2">
      <c r="W8003" s="319"/>
    </row>
    <row r="8004" spans="23:23" x14ac:dyDescent="0.2">
      <c r="W8004" s="319"/>
    </row>
    <row r="8005" spans="23:23" x14ac:dyDescent="0.2">
      <c r="W8005" s="319"/>
    </row>
    <row r="8006" spans="23:23" x14ac:dyDescent="0.2">
      <c r="W8006" s="319"/>
    </row>
    <row r="8007" spans="23:23" x14ac:dyDescent="0.2">
      <c r="W8007" s="319"/>
    </row>
    <row r="8008" spans="23:23" x14ac:dyDescent="0.2">
      <c r="W8008" s="319"/>
    </row>
    <row r="8009" spans="23:23" x14ac:dyDescent="0.2">
      <c r="W8009" s="319"/>
    </row>
    <row r="8010" spans="23:23" x14ac:dyDescent="0.2">
      <c r="W8010" s="319"/>
    </row>
    <row r="8011" spans="23:23" x14ac:dyDescent="0.2">
      <c r="W8011" s="319"/>
    </row>
    <row r="8012" spans="23:23" x14ac:dyDescent="0.2">
      <c r="W8012" s="319"/>
    </row>
    <row r="8013" spans="23:23" x14ac:dyDescent="0.2">
      <c r="W8013" s="319"/>
    </row>
    <row r="8014" spans="23:23" x14ac:dyDescent="0.2">
      <c r="W8014" s="319"/>
    </row>
    <row r="8015" spans="23:23" x14ac:dyDescent="0.2">
      <c r="W8015" s="319"/>
    </row>
    <row r="8016" spans="23:23" x14ac:dyDescent="0.2">
      <c r="W8016" s="319"/>
    </row>
    <row r="8017" spans="23:23" x14ac:dyDescent="0.2">
      <c r="W8017" s="319"/>
    </row>
    <row r="8018" spans="23:23" x14ac:dyDescent="0.2">
      <c r="W8018" s="319"/>
    </row>
    <row r="8019" spans="23:23" x14ac:dyDescent="0.2">
      <c r="W8019" s="319"/>
    </row>
    <row r="8020" spans="23:23" x14ac:dyDescent="0.2">
      <c r="W8020" s="319"/>
    </row>
    <row r="8021" spans="23:23" x14ac:dyDescent="0.2">
      <c r="W8021" s="319"/>
    </row>
    <row r="8022" spans="23:23" x14ac:dyDescent="0.2">
      <c r="W8022" s="319"/>
    </row>
    <row r="8023" spans="23:23" x14ac:dyDescent="0.2">
      <c r="W8023" s="319"/>
    </row>
    <row r="8024" spans="23:23" x14ac:dyDescent="0.2">
      <c r="W8024" s="319"/>
    </row>
    <row r="8025" spans="23:23" x14ac:dyDescent="0.2">
      <c r="W8025" s="319"/>
    </row>
    <row r="8026" spans="23:23" x14ac:dyDescent="0.2">
      <c r="W8026" s="319"/>
    </row>
    <row r="8027" spans="23:23" x14ac:dyDescent="0.2">
      <c r="W8027" s="319"/>
    </row>
    <row r="8028" spans="23:23" x14ac:dyDescent="0.2">
      <c r="W8028" s="319"/>
    </row>
    <row r="8029" spans="23:23" x14ac:dyDescent="0.2">
      <c r="W8029" s="319"/>
    </row>
    <row r="8030" spans="23:23" x14ac:dyDescent="0.2">
      <c r="W8030" s="319"/>
    </row>
    <row r="8031" spans="23:23" x14ac:dyDescent="0.2">
      <c r="W8031" s="319"/>
    </row>
    <row r="8032" spans="23:23" x14ac:dyDescent="0.2">
      <c r="W8032" s="319"/>
    </row>
    <row r="8033" spans="23:23" x14ac:dyDescent="0.2">
      <c r="W8033" s="319"/>
    </row>
    <row r="8034" spans="23:23" x14ac:dyDescent="0.2">
      <c r="W8034" s="319"/>
    </row>
    <row r="8035" spans="23:23" x14ac:dyDescent="0.2">
      <c r="W8035" s="319"/>
    </row>
    <row r="8036" spans="23:23" x14ac:dyDescent="0.2">
      <c r="W8036" s="319"/>
    </row>
    <row r="8037" spans="23:23" x14ac:dyDescent="0.2">
      <c r="W8037" s="319"/>
    </row>
    <row r="8038" spans="23:23" x14ac:dyDescent="0.2">
      <c r="W8038" s="319"/>
    </row>
    <row r="8039" spans="23:23" x14ac:dyDescent="0.2">
      <c r="W8039" s="319"/>
    </row>
    <row r="8040" spans="23:23" x14ac:dyDescent="0.2">
      <c r="W8040" s="319"/>
    </row>
    <row r="8041" spans="23:23" x14ac:dyDescent="0.2">
      <c r="W8041" s="319"/>
    </row>
    <row r="8042" spans="23:23" x14ac:dyDescent="0.2">
      <c r="W8042" s="319"/>
    </row>
    <row r="8043" spans="23:23" x14ac:dyDescent="0.2">
      <c r="W8043" s="319"/>
    </row>
    <row r="8044" spans="23:23" x14ac:dyDescent="0.2">
      <c r="W8044" s="319"/>
    </row>
    <row r="8045" spans="23:23" x14ac:dyDescent="0.2">
      <c r="W8045" s="319"/>
    </row>
    <row r="8046" spans="23:23" x14ac:dyDescent="0.2">
      <c r="W8046" s="319"/>
    </row>
    <row r="8047" spans="23:23" x14ac:dyDescent="0.2">
      <c r="W8047" s="319"/>
    </row>
    <row r="8048" spans="23:23" x14ac:dyDescent="0.2">
      <c r="W8048" s="319"/>
    </row>
    <row r="8049" spans="23:23" x14ac:dyDescent="0.2">
      <c r="W8049" s="319"/>
    </row>
    <row r="8050" spans="23:23" x14ac:dyDescent="0.2">
      <c r="W8050" s="319"/>
    </row>
    <row r="8051" spans="23:23" x14ac:dyDescent="0.2">
      <c r="W8051" s="319"/>
    </row>
    <row r="8052" spans="23:23" x14ac:dyDescent="0.2">
      <c r="W8052" s="319"/>
    </row>
    <row r="8053" spans="23:23" x14ac:dyDescent="0.2">
      <c r="W8053" s="319"/>
    </row>
    <row r="8054" spans="23:23" x14ac:dyDescent="0.2">
      <c r="W8054" s="319"/>
    </row>
    <row r="8055" spans="23:23" x14ac:dyDescent="0.2">
      <c r="W8055" s="319"/>
    </row>
    <row r="8056" spans="23:23" x14ac:dyDescent="0.2">
      <c r="W8056" s="319"/>
    </row>
    <row r="8057" spans="23:23" x14ac:dyDescent="0.2">
      <c r="W8057" s="319"/>
    </row>
    <row r="8058" spans="23:23" x14ac:dyDescent="0.2">
      <c r="W8058" s="319"/>
    </row>
    <row r="8059" spans="23:23" x14ac:dyDescent="0.2">
      <c r="W8059" s="319"/>
    </row>
    <row r="8060" spans="23:23" x14ac:dyDescent="0.2">
      <c r="W8060" s="319"/>
    </row>
    <row r="8061" spans="23:23" x14ac:dyDescent="0.2">
      <c r="W8061" s="319"/>
    </row>
    <row r="8062" spans="23:23" x14ac:dyDescent="0.2">
      <c r="W8062" s="319"/>
    </row>
    <row r="8063" spans="23:23" x14ac:dyDescent="0.2">
      <c r="W8063" s="319"/>
    </row>
    <row r="8064" spans="23:23" x14ac:dyDescent="0.2">
      <c r="W8064" s="319"/>
    </row>
    <row r="8065" spans="23:23" x14ac:dyDescent="0.2">
      <c r="W8065" s="319"/>
    </row>
    <row r="8066" spans="23:23" x14ac:dyDescent="0.2">
      <c r="W8066" s="319"/>
    </row>
    <row r="8067" spans="23:23" x14ac:dyDescent="0.2">
      <c r="W8067" s="319"/>
    </row>
    <row r="8068" spans="23:23" x14ac:dyDescent="0.2">
      <c r="W8068" s="319"/>
    </row>
    <row r="8069" spans="23:23" x14ac:dyDescent="0.2">
      <c r="W8069" s="319"/>
    </row>
    <row r="8070" spans="23:23" x14ac:dyDescent="0.2">
      <c r="W8070" s="319"/>
    </row>
    <row r="8071" spans="23:23" x14ac:dyDescent="0.2">
      <c r="W8071" s="319"/>
    </row>
    <row r="8072" spans="23:23" x14ac:dyDescent="0.2">
      <c r="W8072" s="319"/>
    </row>
    <row r="8073" spans="23:23" x14ac:dyDescent="0.2">
      <c r="W8073" s="319"/>
    </row>
    <row r="8074" spans="23:23" x14ac:dyDescent="0.2">
      <c r="W8074" s="319"/>
    </row>
    <row r="8075" spans="23:23" x14ac:dyDescent="0.2">
      <c r="W8075" s="319"/>
    </row>
    <row r="8076" spans="23:23" x14ac:dyDescent="0.2">
      <c r="W8076" s="319"/>
    </row>
    <row r="8077" spans="23:23" x14ac:dyDescent="0.2">
      <c r="W8077" s="319"/>
    </row>
    <row r="8078" spans="23:23" x14ac:dyDescent="0.2">
      <c r="W8078" s="319"/>
    </row>
    <row r="8079" spans="23:23" x14ac:dyDescent="0.2">
      <c r="W8079" s="319"/>
    </row>
    <row r="8080" spans="23:23" x14ac:dyDescent="0.2">
      <c r="W8080" s="319"/>
    </row>
    <row r="8081" spans="23:23" x14ac:dyDescent="0.2">
      <c r="W8081" s="319"/>
    </row>
    <row r="8082" spans="23:23" x14ac:dyDescent="0.2">
      <c r="W8082" s="319"/>
    </row>
    <row r="8083" spans="23:23" x14ac:dyDescent="0.2">
      <c r="W8083" s="319"/>
    </row>
    <row r="8084" spans="23:23" x14ac:dyDescent="0.2">
      <c r="W8084" s="319"/>
    </row>
    <row r="8085" spans="23:23" x14ac:dyDescent="0.2">
      <c r="W8085" s="319"/>
    </row>
    <row r="8086" spans="23:23" x14ac:dyDescent="0.2">
      <c r="W8086" s="319"/>
    </row>
    <row r="8087" spans="23:23" x14ac:dyDescent="0.2">
      <c r="W8087" s="319"/>
    </row>
    <row r="8088" spans="23:23" x14ac:dyDescent="0.2">
      <c r="W8088" s="319"/>
    </row>
    <row r="8089" spans="23:23" x14ac:dyDescent="0.2">
      <c r="W8089" s="319"/>
    </row>
    <row r="8090" spans="23:23" x14ac:dyDescent="0.2">
      <c r="W8090" s="319"/>
    </row>
    <row r="8091" spans="23:23" x14ac:dyDescent="0.2">
      <c r="W8091" s="319"/>
    </row>
    <row r="8092" spans="23:23" x14ac:dyDescent="0.2">
      <c r="W8092" s="319"/>
    </row>
    <row r="8093" spans="23:23" x14ac:dyDescent="0.2">
      <c r="W8093" s="319"/>
    </row>
    <row r="8094" spans="23:23" x14ac:dyDescent="0.2">
      <c r="W8094" s="319"/>
    </row>
    <row r="8095" spans="23:23" x14ac:dyDescent="0.2">
      <c r="W8095" s="319"/>
    </row>
    <row r="8096" spans="23:23" x14ac:dyDescent="0.2">
      <c r="W8096" s="319"/>
    </row>
    <row r="8097" spans="23:23" x14ac:dyDescent="0.2">
      <c r="W8097" s="319"/>
    </row>
    <row r="8098" spans="23:23" x14ac:dyDescent="0.2">
      <c r="W8098" s="319"/>
    </row>
    <row r="8099" spans="23:23" x14ac:dyDescent="0.2">
      <c r="W8099" s="319"/>
    </row>
    <row r="8100" spans="23:23" x14ac:dyDescent="0.2">
      <c r="W8100" s="319"/>
    </row>
    <row r="8101" spans="23:23" x14ac:dyDescent="0.2">
      <c r="W8101" s="319"/>
    </row>
    <row r="8102" spans="23:23" x14ac:dyDescent="0.2">
      <c r="W8102" s="319"/>
    </row>
    <row r="8103" spans="23:23" x14ac:dyDescent="0.2">
      <c r="W8103" s="319"/>
    </row>
    <row r="8104" spans="23:23" x14ac:dyDescent="0.2">
      <c r="W8104" s="319"/>
    </row>
    <row r="8105" spans="23:23" x14ac:dyDescent="0.2">
      <c r="W8105" s="319"/>
    </row>
    <row r="8106" spans="23:23" x14ac:dyDescent="0.2">
      <c r="W8106" s="319"/>
    </row>
    <row r="8107" spans="23:23" x14ac:dyDescent="0.2">
      <c r="W8107" s="319"/>
    </row>
    <row r="8108" spans="23:23" x14ac:dyDescent="0.2">
      <c r="W8108" s="319"/>
    </row>
    <row r="8109" spans="23:23" x14ac:dyDescent="0.2">
      <c r="W8109" s="319"/>
    </row>
    <row r="8110" spans="23:23" x14ac:dyDescent="0.2">
      <c r="W8110" s="319"/>
    </row>
    <row r="8111" spans="23:23" x14ac:dyDescent="0.2">
      <c r="W8111" s="319"/>
    </row>
    <row r="8112" spans="23:23" x14ac:dyDescent="0.2">
      <c r="W8112" s="319"/>
    </row>
    <row r="8113" spans="23:23" x14ac:dyDescent="0.2">
      <c r="W8113" s="319"/>
    </row>
    <row r="8114" spans="23:23" x14ac:dyDescent="0.2">
      <c r="W8114" s="319"/>
    </row>
    <row r="8115" spans="23:23" x14ac:dyDescent="0.2">
      <c r="W8115" s="319"/>
    </row>
    <row r="8116" spans="23:23" x14ac:dyDescent="0.2">
      <c r="W8116" s="319"/>
    </row>
    <row r="8117" spans="23:23" x14ac:dyDescent="0.2">
      <c r="W8117" s="319"/>
    </row>
    <row r="8118" spans="23:23" x14ac:dyDescent="0.2">
      <c r="W8118" s="319"/>
    </row>
    <row r="8119" spans="23:23" x14ac:dyDescent="0.2">
      <c r="W8119" s="319"/>
    </row>
    <row r="8120" spans="23:23" x14ac:dyDescent="0.2">
      <c r="W8120" s="319"/>
    </row>
    <row r="8121" spans="23:23" x14ac:dyDescent="0.2">
      <c r="W8121" s="319"/>
    </row>
    <row r="8122" spans="23:23" x14ac:dyDescent="0.2">
      <c r="W8122" s="319"/>
    </row>
    <row r="8123" spans="23:23" x14ac:dyDescent="0.2">
      <c r="W8123" s="319"/>
    </row>
    <row r="8124" spans="23:23" x14ac:dyDescent="0.2">
      <c r="W8124" s="319"/>
    </row>
    <row r="8125" spans="23:23" x14ac:dyDescent="0.2">
      <c r="W8125" s="319"/>
    </row>
    <row r="8126" spans="23:23" x14ac:dyDescent="0.2">
      <c r="W8126" s="319"/>
    </row>
    <row r="8127" spans="23:23" x14ac:dyDescent="0.2">
      <c r="W8127" s="319"/>
    </row>
    <row r="8128" spans="23:23" x14ac:dyDescent="0.2">
      <c r="W8128" s="319"/>
    </row>
    <row r="8129" spans="23:23" x14ac:dyDescent="0.2">
      <c r="W8129" s="319"/>
    </row>
    <row r="8130" spans="23:23" x14ac:dyDescent="0.2">
      <c r="W8130" s="319"/>
    </row>
    <row r="8131" spans="23:23" x14ac:dyDescent="0.2">
      <c r="W8131" s="319"/>
    </row>
    <row r="8132" spans="23:23" x14ac:dyDescent="0.2">
      <c r="W8132" s="319"/>
    </row>
    <row r="8133" spans="23:23" x14ac:dyDescent="0.2">
      <c r="W8133" s="319"/>
    </row>
    <row r="8134" spans="23:23" x14ac:dyDescent="0.2">
      <c r="W8134" s="319"/>
    </row>
    <row r="8135" spans="23:23" x14ac:dyDescent="0.2">
      <c r="W8135" s="319"/>
    </row>
    <row r="8136" spans="23:23" x14ac:dyDescent="0.2">
      <c r="W8136" s="319"/>
    </row>
    <row r="8137" spans="23:23" x14ac:dyDescent="0.2">
      <c r="W8137" s="319"/>
    </row>
    <row r="8138" spans="23:23" x14ac:dyDescent="0.2">
      <c r="W8138" s="319"/>
    </row>
    <row r="8139" spans="23:23" x14ac:dyDescent="0.2">
      <c r="W8139" s="319"/>
    </row>
    <row r="8140" spans="23:23" x14ac:dyDescent="0.2">
      <c r="W8140" s="319"/>
    </row>
    <row r="8141" spans="23:23" x14ac:dyDescent="0.2">
      <c r="W8141" s="319"/>
    </row>
    <row r="8142" spans="23:23" x14ac:dyDescent="0.2">
      <c r="W8142" s="319"/>
    </row>
    <row r="8143" spans="23:23" x14ac:dyDescent="0.2">
      <c r="W8143" s="319"/>
    </row>
    <row r="8144" spans="23:23" x14ac:dyDescent="0.2">
      <c r="W8144" s="319"/>
    </row>
    <row r="8145" spans="23:23" x14ac:dyDescent="0.2">
      <c r="W8145" s="319"/>
    </row>
    <row r="8146" spans="23:23" x14ac:dyDescent="0.2">
      <c r="W8146" s="319"/>
    </row>
    <row r="8147" spans="23:23" x14ac:dyDescent="0.2">
      <c r="W8147" s="319"/>
    </row>
    <row r="8148" spans="23:23" x14ac:dyDescent="0.2">
      <c r="W8148" s="319"/>
    </row>
    <row r="8149" spans="23:23" x14ac:dyDescent="0.2">
      <c r="W8149" s="319"/>
    </row>
    <row r="8150" spans="23:23" x14ac:dyDescent="0.2">
      <c r="W8150" s="319"/>
    </row>
    <row r="8151" spans="23:23" x14ac:dyDescent="0.2">
      <c r="W8151" s="319"/>
    </row>
    <row r="8152" spans="23:23" x14ac:dyDescent="0.2">
      <c r="W8152" s="319"/>
    </row>
    <row r="8153" spans="23:23" x14ac:dyDescent="0.2">
      <c r="W8153" s="319"/>
    </row>
    <row r="8154" spans="23:23" x14ac:dyDescent="0.2">
      <c r="W8154" s="319"/>
    </row>
    <row r="8155" spans="23:23" x14ac:dyDescent="0.2">
      <c r="W8155" s="319"/>
    </row>
    <row r="8156" spans="23:23" x14ac:dyDescent="0.2">
      <c r="W8156" s="319"/>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2182</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'WSS-31'!K174</f>
        <v>19889476.254637145</v>
      </c>
      <c r="E14" s="247">
        <f>'WSS-31'!K123+'WSS-31'!K124+'WSS-31'!K125</f>
        <v>13312136.632797809</v>
      </c>
      <c r="F14" s="248">
        <f>'WSS-31'!K126</f>
        <v>355222.00691100291</v>
      </c>
      <c r="G14" s="248">
        <f>'WSS-31'!K135</f>
        <v>3711098.8048816794</v>
      </c>
      <c r="H14" s="248">
        <f>'WSS-31'!K145+'WSS-31'!K147+'WSS-31'!K152+'WSS-31'!K141</f>
        <v>1711383.5782619216</v>
      </c>
      <c r="I14" s="248">
        <f>'WSS-31'!K146+'WSS-31'!K148+'WSS-31'!K153+'WSS-31'!K157+'WSS-31'!K160+'WSS-31'!K163</f>
        <v>784936.45139755972</v>
      </c>
      <c r="J14" s="248">
        <f>'WSS-31'!K166+'WSS-31'!K169</f>
        <v>14698.780387173076</v>
      </c>
      <c r="K14" s="249">
        <f>SUM(E14:J14)</f>
        <v>19889476.254637148</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19889476.254637145</v>
      </c>
      <c r="E16" s="253">
        <f t="shared" ref="E16:K16" si="1">E14+E15</f>
        <v>13312136.632797809</v>
      </c>
      <c r="F16" s="254">
        <f t="shared" si="1"/>
        <v>355222.00691100291</v>
      </c>
      <c r="G16" s="254">
        <f t="shared" si="1"/>
        <v>3711098.8048816794</v>
      </c>
      <c r="H16" s="254">
        <f t="shared" si="1"/>
        <v>1711383.5782619216</v>
      </c>
      <c r="I16" s="254">
        <f t="shared" si="1"/>
        <v>784936.45139755972</v>
      </c>
      <c r="J16" s="254">
        <f t="shared" si="1"/>
        <v>14698.780387173076</v>
      </c>
      <c r="K16" s="249">
        <f t="shared" si="1"/>
        <v>19889476.254637148</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'WSS-31'!K807</f>
        <v>0.21847885155553487</v>
      </c>
      <c r="E18" s="258">
        <f t="shared" ref="E18:J18" si="2">D18</f>
        <v>0.21847885155553487</v>
      </c>
      <c r="F18" s="259">
        <f t="shared" si="2"/>
        <v>0.21847885155553487</v>
      </c>
      <c r="G18" s="259">
        <f t="shared" si="2"/>
        <v>0.21847885155553487</v>
      </c>
      <c r="H18" s="259">
        <f t="shared" si="2"/>
        <v>0.21847885155553487</v>
      </c>
      <c r="I18" s="259">
        <f t="shared" si="2"/>
        <v>0.21847885155553487</v>
      </c>
      <c r="J18" s="259">
        <f t="shared" si="2"/>
        <v>0.21847885155553487</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4345429.9301542044</v>
      </c>
      <c r="E20" s="253">
        <f t="shared" ref="E20:J20" si="3">E18*E16</f>
        <v>2908420.3232840304</v>
      </c>
      <c r="F20" s="254">
        <f t="shared" si="3"/>
        <v>77608.496117168193</v>
      </c>
      <c r="G20" s="254">
        <f t="shared" si="3"/>
        <v>810796.60489966732</v>
      </c>
      <c r="H20" s="254">
        <f t="shared" si="3"/>
        <v>373901.11874966649</v>
      </c>
      <c r="I20" s="254">
        <f t="shared" si="3"/>
        <v>171492.01444541576</v>
      </c>
      <c r="J20" s="254">
        <f t="shared" si="3"/>
        <v>3211.3726582565937</v>
      </c>
      <c r="K20" s="249">
        <f>SUM(E20:J20)</f>
        <v>4345429.9301542044</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'WSS-31'!K708</f>
        <v>423715.50933984795</v>
      </c>
      <c r="E22" s="253">
        <f t="shared" ref="E22:J22" si="4">(E14/$D$14)*$D$22</f>
        <v>283595.13752668578</v>
      </c>
      <c r="F22" s="254">
        <f t="shared" si="4"/>
        <v>7567.4729520304554</v>
      </c>
      <c r="G22" s="254">
        <f t="shared" si="4"/>
        <v>79059.403082790173</v>
      </c>
      <c r="H22" s="254">
        <f t="shared" si="4"/>
        <v>36458.464529453791</v>
      </c>
      <c r="I22" s="254">
        <f t="shared" si="4"/>
        <v>16721.895742518005</v>
      </c>
      <c r="J22" s="254">
        <f t="shared" si="4"/>
        <v>313.13550636978454</v>
      </c>
      <c r="K22" s="249">
        <f>SUM(E22:J22)</f>
        <v>423715.50933984795</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3921714.4208143563</v>
      </c>
      <c r="E24" s="253">
        <f t="shared" ref="E24:J24" si="5">E20-E22</f>
        <v>2624825.1857573446</v>
      </c>
      <c r="F24" s="254">
        <f t="shared" si="5"/>
        <v>70041.02316513774</v>
      </c>
      <c r="G24" s="254">
        <f t="shared" si="5"/>
        <v>731737.20181687712</v>
      </c>
      <c r="H24" s="254">
        <f t="shared" si="5"/>
        <v>337442.65422021272</v>
      </c>
      <c r="I24" s="254">
        <f t="shared" si="5"/>
        <v>154770.11870289774</v>
      </c>
      <c r="J24" s="254">
        <f t="shared" si="5"/>
        <v>2898.237151886809</v>
      </c>
      <c r="K24" s="249">
        <f>SUM(E24:J24)</f>
        <v>3921714.4208143568</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'WSS-31'!K680+'WSS-31'!K799</f>
        <v>807286.20750645897</v>
      </c>
      <c r="E26" s="253">
        <f t="shared" ref="E26:J26" si="6">$D$26*(E24/$K$24)</f>
        <v>540321.13055735186</v>
      </c>
      <c r="F26" s="254">
        <f t="shared" si="6"/>
        <v>14417.967728796202</v>
      </c>
      <c r="G26" s="254">
        <f t="shared" si="6"/>
        <v>150628.34443296099</v>
      </c>
      <c r="H26" s="254">
        <f t="shared" si="6"/>
        <v>69462.681711480036</v>
      </c>
      <c r="I26" s="254">
        <f t="shared" si="6"/>
        <v>31859.480001871685</v>
      </c>
      <c r="J26" s="254">
        <f t="shared" si="6"/>
        <v>596.60307399822739</v>
      </c>
      <c r="K26" s="249">
        <f>SUM(E26:J26)</f>
        <v>807286.20750645897</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'WSS-31'!K730</f>
        <v>3699084.3300284715</v>
      </c>
      <c r="E28" s="253">
        <f>'WSS-31'!K180+'WSS-31'!K181+'WSS-31'!K182</f>
        <v>596084.82885731885</v>
      </c>
      <c r="F28" s="254">
        <f>'WSS-31'!K183</f>
        <v>2478005.5319360103</v>
      </c>
      <c r="G28" s="254">
        <f>'WSS-31'!K192</f>
        <v>251269.79539155876</v>
      </c>
      <c r="H28" s="254">
        <f>'WSS-31'!K198+'WSS-31'!K202+'WSS-31'!K204+'WSS-31'!K209</f>
        <v>105712.83422218592</v>
      </c>
      <c r="I28" s="254">
        <f>'WSS-31'!K203+'WSS-31'!K205+'WSS-31'!K210+'WSS-31'!K214+'WSS-31'!K217</f>
        <v>180790.05872831043</v>
      </c>
      <c r="J28" s="254">
        <f>'WSS-31'!K223+'WSS-31'!K226</f>
        <v>87221.280893086805</v>
      </c>
      <c r="K28" s="249">
        <f>SUM(E28:J28)</f>
        <v>3699084.3300284711</v>
      </c>
      <c r="L28" s="250" t="str">
        <f>IF(ABS(K28-D28)&lt;0.01,"ok","err")</f>
        <v>ok</v>
      </c>
      <c r="M28" s="26"/>
      <c r="N28" s="26"/>
    </row>
    <row r="29" spans="1:14" ht="15.75" x14ac:dyDescent="0.25">
      <c r="A29" s="282" t="s">
        <v>1803</v>
      </c>
      <c r="B29" s="244" t="s">
        <v>813</v>
      </c>
      <c r="C29" s="245"/>
      <c r="D29" s="253">
        <f>'WSS-31'!K731</f>
        <v>1534788.6010337744</v>
      </c>
      <c r="E29" s="253">
        <f>'WSS-31'!K300</f>
        <v>1291635.8989978207</v>
      </c>
      <c r="F29" s="254">
        <v>0</v>
      </c>
      <c r="G29" s="254">
        <f>'WSS-31'!K306</f>
        <v>152606.41077902185</v>
      </c>
      <c r="H29" s="254">
        <f>'WSS-31'!K312+'WSS-31'!K316+'WSS-31'!K318+'WSS-31'!K323</f>
        <v>62736.373999970252</v>
      </c>
      <c r="I29" s="254">
        <f>'WSS-31'!K317+'WSS-31'!K319+'WSS-31'!K324+'WSS-31'!K328+'WSS-31'!K331</f>
        <v>27809.917256961689</v>
      </c>
      <c r="J29" s="254">
        <v>0</v>
      </c>
      <c r="K29" s="249">
        <f>SUM(E29:J29)</f>
        <v>1534788.6010337744</v>
      </c>
      <c r="L29" s="250" t="str">
        <f>IF(ABS(K29-D29)&lt;0.01,"ok","err")</f>
        <v>ok</v>
      </c>
      <c r="M29" s="26"/>
      <c r="N29" s="26"/>
    </row>
    <row r="30" spans="1:14" ht="15.75" x14ac:dyDescent="0.25">
      <c r="A30" s="282" t="s">
        <v>1804</v>
      </c>
      <c r="B30" s="244" t="s">
        <v>408</v>
      </c>
      <c r="C30" s="245"/>
      <c r="D30" s="253">
        <f>'WSS-31'!K733+'WSS-31'!K734</f>
        <v>191494.12497629644</v>
      </c>
      <c r="E30" s="253">
        <f>'WSS-31'!K414+'WSS-31'!K471+'WSS-31'!K357</f>
        <v>138335.14434904317</v>
      </c>
      <c r="F30" s="254">
        <f>'WSS-31'!K529</f>
        <v>0</v>
      </c>
      <c r="G30" s="254">
        <f>'WSS-31'!K420+'WSS-31'!K477+'WSS-31'!K363</f>
        <v>30729.123476589448</v>
      </c>
      <c r="H30" s="254">
        <f>'WSS-31'!K426+'WSS-31'!K430+'WSS-31'!K432+'WSS-31'!K437+'WSS-31'!K483+'WSS-31'!K487+'WSS-31'!K489+'WSS-31'!K494+'WSS-31'!K369+'WSS-31'!K373+'WSS-31'!K375+'WSS-31'!K380</f>
        <v>15520.70753466297</v>
      </c>
      <c r="I30" s="254">
        <f>'WSS-31'!K431+'WSS-31'!K433+'WSS-31'!K438+'WSS-31'!K442+'WSS-31'!K445+'WSS-31'!K488+'WSS-31'!K490+'WSS-31'!K495+'WSS-31'!K499+'WSS-31'!K502+'WSS-31'!K374+'WSS-31'!K376+'WSS-31'!K381+'WSS-31'!K385+'WSS-31'!K388</f>
        <v>6909.149616000851</v>
      </c>
      <c r="J30" s="254">
        <v>0</v>
      </c>
      <c r="K30" s="249">
        <f>SUM(E30:J30)</f>
        <v>191494.12497629644</v>
      </c>
      <c r="L30" s="250" t="str">
        <f>IF(ABS(K30-D30)&lt;0.01,"ok","err")</f>
        <v>ok</v>
      </c>
      <c r="M30" s="26"/>
      <c r="N30" s="26"/>
    </row>
    <row r="31" spans="1:14" ht="15.75" x14ac:dyDescent="0.25">
      <c r="A31" s="282" t="s">
        <v>1805</v>
      </c>
      <c r="B31" s="244" t="s">
        <v>1841</v>
      </c>
      <c r="C31" s="245"/>
      <c r="D31" s="253">
        <f>'WSS-31'!K738</f>
        <v>83449.489610537188</v>
      </c>
      <c r="E31" s="253">
        <f>D31</f>
        <v>83449.489610537188</v>
      </c>
      <c r="F31" s="254"/>
      <c r="G31" s="254"/>
      <c r="H31" s="254"/>
      <c r="I31" s="254"/>
      <c r="J31" s="254"/>
      <c r="K31" s="249">
        <f>SUM(E31:J31)</f>
        <v>83449.489610537188</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'WSS-31'!K796+'WSS-31'!K797</f>
        <v>5409.3662765415811</v>
      </c>
      <c r="E36" s="253">
        <f t="shared" ref="E36:J36" si="9">(E14/($D$14)*$D$36)</f>
        <v>3620.5188134796358</v>
      </c>
      <c r="F36" s="254">
        <f t="shared" si="9"/>
        <v>96.610183207906459</v>
      </c>
      <c r="G36" s="254">
        <f t="shared" si="9"/>
        <v>1009.312284900433</v>
      </c>
      <c r="H36" s="254">
        <f t="shared" si="9"/>
        <v>465.44717899842908</v>
      </c>
      <c r="I36" s="254">
        <f t="shared" si="9"/>
        <v>213.48016986763244</v>
      </c>
      <c r="J36" s="254">
        <f t="shared" si="9"/>
        <v>3.9976460875447728</v>
      </c>
      <c r="K36" s="249">
        <f t="shared" si="8"/>
        <v>5409.366276541582</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5409.3662765415811</v>
      </c>
      <c r="E39" s="253">
        <f t="shared" si="10"/>
        <v>3620.5188134796358</v>
      </c>
      <c r="F39" s="254">
        <f t="shared" si="10"/>
        <v>96.610183207906459</v>
      </c>
      <c r="G39" s="254">
        <f t="shared" si="10"/>
        <v>1009.312284900433</v>
      </c>
      <c r="H39" s="254">
        <f t="shared" si="10"/>
        <v>465.44717899842908</v>
      </c>
      <c r="I39" s="254">
        <f t="shared" si="10"/>
        <v>213.48016986763244</v>
      </c>
      <c r="J39" s="254">
        <f t="shared" si="10"/>
        <v>3.9976460875447728</v>
      </c>
      <c r="K39" s="249">
        <f t="shared" si="8"/>
        <v>5409.366276541582</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10666942.049586283</v>
      </c>
      <c r="E41" s="253">
        <f t="shared" ref="E41:J41" si="11">SUM(E28:E31)+E22+E26+E39+E24</f>
        <v>5561867.334469581</v>
      </c>
      <c r="F41" s="254">
        <f t="shared" si="11"/>
        <v>2570128.6059651831</v>
      </c>
      <c r="G41" s="254">
        <f t="shared" si="11"/>
        <v>1397039.5912646987</v>
      </c>
      <c r="H41" s="254">
        <f t="shared" si="11"/>
        <v>627799.16339696408</v>
      </c>
      <c r="I41" s="254">
        <f t="shared" si="11"/>
        <v>419074.10021842807</v>
      </c>
      <c r="J41" s="254">
        <f t="shared" si="11"/>
        <v>91033.254271429163</v>
      </c>
      <c r="K41" s="249">
        <f>SUM(E41:J41)</f>
        <v>10666942.049586285</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-'WSS-31'!K659-'WSS-31'!K665</f>
        <v>-6365.5089609577772</v>
      </c>
      <c r="E43" s="253">
        <f>D43</f>
        <v>-6365.5089609577772</v>
      </c>
      <c r="F43" s="254">
        <v>0</v>
      </c>
      <c r="G43" s="254">
        <v>0</v>
      </c>
      <c r="H43" s="254">
        <v>0</v>
      </c>
      <c r="I43" s="254">
        <v>0</v>
      </c>
      <c r="J43" s="254">
        <v>0</v>
      </c>
      <c r="K43" s="249">
        <f>SUM(E43:J43)</f>
        <v>-6365.5089609577772</v>
      </c>
      <c r="L43" s="250" t="str">
        <f>IF(ABS(K43-D43)&lt;0.01,"ok","err")</f>
        <v>ok</v>
      </c>
      <c r="M43" s="26"/>
      <c r="N43" s="26"/>
    </row>
    <row r="44" spans="1:14" ht="15.75" x14ac:dyDescent="0.25">
      <c r="A44" s="282" t="s">
        <v>1831</v>
      </c>
      <c r="B44" s="244" t="s">
        <v>1833</v>
      </c>
      <c r="C44" s="245"/>
      <c r="D44" s="253">
        <f>-'WSS-31'!K652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75" x14ac:dyDescent="0.25">
      <c r="A45" s="282" t="s">
        <v>1835</v>
      </c>
      <c r="B45" s="244" t="s">
        <v>2466</v>
      </c>
      <c r="C45" s="245"/>
      <c r="D45" s="253">
        <f>-'WSS-31'!K658</f>
        <v>-115553.35017985525</v>
      </c>
      <c r="E45" s="253">
        <v>0</v>
      </c>
      <c r="F45" s="254">
        <v>0</v>
      </c>
      <c r="G45" s="254">
        <f>D45</f>
        <v>-115553.35017985525</v>
      </c>
      <c r="H45" s="254">
        <v>0</v>
      </c>
      <c r="I45" s="254">
        <v>0</v>
      </c>
      <c r="J45" s="254">
        <v>0</v>
      </c>
      <c r="K45" s="249">
        <f>SUM(E45:J45)</f>
        <v>-115553.35017985525</v>
      </c>
      <c r="L45" s="250" t="str">
        <f>IF(ABS(K45-D45)&lt;0.01,"ok","err")</f>
        <v>ok</v>
      </c>
      <c r="M45" s="26"/>
      <c r="N45" s="26"/>
    </row>
    <row r="46" spans="1:14" ht="15.75" x14ac:dyDescent="0.25">
      <c r="A46" s="282" t="s">
        <v>1836</v>
      </c>
      <c r="B46" s="244" t="s">
        <v>1834</v>
      </c>
      <c r="C46" s="245"/>
      <c r="D46" s="253">
        <f>-('WSS-31'!K654+'WSS-31'!K655+'WSS-31'!K656+'WSS-31'!K657+'WSS-31'!K660+'WSS-31'!K662+'WSS-31'!K663+'WSS-31'!K664)</f>
        <v>-26835.821651821669</v>
      </c>
      <c r="E46" s="253">
        <f t="shared" ref="E46:J46" si="12">(E14/($D$14)*$D$46)</f>
        <v>-17961.364085650792</v>
      </c>
      <c r="F46" s="254">
        <f t="shared" si="12"/>
        <v>-479.28232509608381</v>
      </c>
      <c r="G46" s="254">
        <f t="shared" si="12"/>
        <v>-5007.189952368617</v>
      </c>
      <c r="H46" s="254">
        <f t="shared" si="12"/>
        <v>-2309.0796306607513</v>
      </c>
      <c r="I46" s="254">
        <f t="shared" si="12"/>
        <v>-1059.0733686518076</v>
      </c>
      <c r="J46" s="254">
        <f t="shared" si="12"/>
        <v>-19.832289393618684</v>
      </c>
      <c r="K46" s="249">
        <f>SUM(E46:J46)</f>
        <v>-26835.821651821672</v>
      </c>
      <c r="L46" s="250" t="str">
        <f>IF(ABS(K46-D46)&lt;0.01,"ok","err")</f>
        <v>ok</v>
      </c>
      <c r="M46" s="26"/>
      <c r="N46" s="26"/>
    </row>
    <row r="47" spans="1:14" ht="15.75" x14ac:dyDescent="0.25">
      <c r="A47" s="282" t="s">
        <v>1842</v>
      </c>
      <c r="B47" s="244" t="s">
        <v>1837</v>
      </c>
      <c r="C47" s="245"/>
      <c r="D47" s="253">
        <f>SUM(D43:D46)</f>
        <v>-188297.00538445936</v>
      </c>
      <c r="E47" s="253">
        <f t="shared" ref="E47:J47" si="13">SUM(E43:E46)</f>
        <v>-24326.873046608569</v>
      </c>
      <c r="F47" s="254">
        <f t="shared" si="13"/>
        <v>-40021.606916920755</v>
      </c>
      <c r="G47" s="254">
        <f t="shared" si="13"/>
        <v>-120560.54013222386</v>
      </c>
      <c r="H47" s="254">
        <f t="shared" si="13"/>
        <v>-2309.0796306607513</v>
      </c>
      <c r="I47" s="254">
        <f t="shared" si="13"/>
        <v>-1059.0733686518076</v>
      </c>
      <c r="J47" s="254">
        <f t="shared" si="13"/>
        <v>-19.832289393618684</v>
      </c>
      <c r="K47" s="249">
        <f>SUM(E47:J47)</f>
        <v>-188297.00538445936</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10478645.044201823</v>
      </c>
      <c r="E49" s="253">
        <f t="shared" ref="E49:J49" si="14">E41+E47</f>
        <v>5537540.4614229724</v>
      </c>
      <c r="F49" s="254">
        <f t="shared" si="14"/>
        <v>2530106.9990482624</v>
      </c>
      <c r="G49" s="254">
        <f t="shared" si="14"/>
        <v>1276479.0511324748</v>
      </c>
      <c r="H49" s="254">
        <f t="shared" si="14"/>
        <v>625490.08376630337</v>
      </c>
      <c r="I49" s="254">
        <f t="shared" si="14"/>
        <v>418015.02684977627</v>
      </c>
      <c r="J49" s="254">
        <f t="shared" si="14"/>
        <v>91013.42198203555</v>
      </c>
      <c r="K49" s="249">
        <f>SUM(E49:J49)</f>
        <v>10478645.044201825</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422439.48398164229</v>
      </c>
      <c r="F51" s="265">
        <f>'Billing Det'!$C$16</f>
        <v>78721459</v>
      </c>
      <c r="G51" s="265">
        <f>$E$51</f>
        <v>422439.48398164229</v>
      </c>
      <c r="H51" s="265">
        <f>$E$51</f>
        <v>422439.48398164229</v>
      </c>
      <c r="I51" s="265">
        <f>'WSS-31'!K830</f>
        <v>2445.3041095890412</v>
      </c>
      <c r="J51" s="265">
        <f>I51</f>
        <v>2445.3041095890412</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449">
        <f t="shared" ref="E53:H53" si="15">E49/E51</f>
        <v>13.10848221200747</v>
      </c>
      <c r="F53" s="270">
        <f t="shared" si="15"/>
        <v>3.2139991194119796E-2</v>
      </c>
      <c r="G53" s="271">
        <f t="shared" si="15"/>
        <v>3.0216849975793125</v>
      </c>
      <c r="H53" s="271">
        <f t="shared" si="15"/>
        <v>1.4806619823290119</v>
      </c>
      <c r="I53" s="271">
        <f>I49/I51/30.5</f>
        <v>5.6047878309456749</v>
      </c>
      <c r="J53" s="271">
        <f>J49/J51/30.5</f>
        <v>1.2203171829058601</v>
      </c>
      <c r="K53" s="272">
        <f>I53+J53</f>
        <v>6.8251050138515348</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6.8251050138515348</v>
      </c>
      <c r="L55" s="290"/>
      <c r="M55" s="26"/>
      <c r="N55" s="26"/>
    </row>
    <row r="56" spans="1:14" ht="15.75" x14ac:dyDescent="0.25">
      <c r="A56" s="26"/>
      <c r="B56" s="26"/>
      <c r="C56" s="26"/>
      <c r="D56" s="289"/>
      <c r="E56" s="26"/>
      <c r="F56" s="26"/>
      <c r="G56" s="26"/>
      <c r="H56" s="26"/>
      <c r="I56" s="26"/>
      <c r="J56" s="26" t="s">
        <v>2263</v>
      </c>
      <c r="K56" s="279">
        <f>E53+G53+H53</f>
        <v>17.610829191915794</v>
      </c>
      <c r="L56" s="26"/>
      <c r="M56" s="26"/>
      <c r="N56" s="26"/>
    </row>
    <row r="57" spans="1:14" ht="15.75" x14ac:dyDescent="0.25">
      <c r="A57" s="26"/>
      <c r="B57" s="26"/>
      <c r="C57" s="26"/>
      <c r="D57" s="279"/>
      <c r="E57" s="26"/>
      <c r="F57" s="26"/>
      <c r="G57" s="26"/>
      <c r="H57" s="26"/>
      <c r="I57" s="26"/>
      <c r="J57" s="26" t="s">
        <v>2268</v>
      </c>
      <c r="K57" s="509">
        <f>F53</f>
        <v>3.2139991194119796E-2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2261</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'WSS-31'!L174</f>
        <v>424876670.28377599</v>
      </c>
      <c r="E14" s="247">
        <f>'WSS-31'!L123+'WSS-31'!L124+'WSS-31'!L125</f>
        <v>294684795.00919878</v>
      </c>
      <c r="F14" s="248">
        <f>'WSS-31'!L126</f>
        <v>8253333.2471906664</v>
      </c>
      <c r="G14" s="248">
        <f>'WSS-31'!L135</f>
        <v>76402521.397875264</v>
      </c>
      <c r="H14" s="248">
        <f>'WSS-31'!L145+'WSS-31'!L147+'WSS-31'!L152+'WSS-31'!L141</f>
        <v>43613365.688747987</v>
      </c>
      <c r="I14" s="248">
        <f>'WSS-31'!L146+'WSS-31'!L148+'WSS-31'!L153+'WSS-31'!L157+'WSS-31'!L160+'WSS-31'!L163</f>
        <v>1647052.8085038117</v>
      </c>
      <c r="J14" s="248">
        <f>'WSS-31'!L166+'WSS-31'!L169</f>
        <v>275602.13225949515</v>
      </c>
      <c r="K14" s="249">
        <f>SUM(E14:J14)</f>
        <v>424876670.28377599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424876670.28377599</v>
      </c>
      <c r="E16" s="253">
        <f t="shared" ref="E16:K16" si="1">E14+E15</f>
        <v>294684795.00919878</v>
      </c>
      <c r="F16" s="254">
        <f t="shared" si="1"/>
        <v>8253333.2471906664</v>
      </c>
      <c r="G16" s="254">
        <f t="shared" si="1"/>
        <v>76402521.397875264</v>
      </c>
      <c r="H16" s="254">
        <f t="shared" si="1"/>
        <v>43613365.688747987</v>
      </c>
      <c r="I16" s="254">
        <f t="shared" si="1"/>
        <v>1647052.8085038117</v>
      </c>
      <c r="J16" s="254">
        <f t="shared" si="1"/>
        <v>275602.13225949515</v>
      </c>
      <c r="K16" s="249">
        <f t="shared" si="1"/>
        <v>424876670.28377599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'WSS-31'!L807</f>
        <v>6.5111783611545695E-2</v>
      </c>
      <c r="E18" s="258">
        <f t="shared" ref="E18:J18" si="2">D18</f>
        <v>6.5111783611545695E-2</v>
      </c>
      <c r="F18" s="259">
        <f t="shared" si="2"/>
        <v>6.5111783611545695E-2</v>
      </c>
      <c r="G18" s="259">
        <f t="shared" si="2"/>
        <v>6.5111783611545695E-2</v>
      </c>
      <c r="H18" s="259">
        <f t="shared" si="2"/>
        <v>6.5111783611545695E-2</v>
      </c>
      <c r="I18" s="259">
        <f t="shared" si="2"/>
        <v>6.5111783611545695E-2</v>
      </c>
      <c r="J18" s="259">
        <f t="shared" si="2"/>
        <v>6.5111783611545695E-2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27664477.817111269</v>
      </c>
      <c r="E20" s="253">
        <f t="shared" ref="E20:J20" si="3">E18*E16</f>
        <v>19187452.606251653</v>
      </c>
      <c r="F20" s="254">
        <f t="shared" si="3"/>
        <v>537389.24846505444</v>
      </c>
      <c r="G20" s="254">
        <f t="shared" si="3"/>
        <v>4974704.4406349435</v>
      </c>
      <c r="H20" s="254">
        <f t="shared" si="3"/>
        <v>2839744.0292969705</v>
      </c>
      <c r="I20" s="254">
        <f t="shared" si="3"/>
        <v>107242.5460640888</v>
      </c>
      <c r="J20" s="254">
        <f t="shared" si="3"/>
        <v>17944.946398560845</v>
      </c>
      <c r="K20" s="249">
        <f>SUM(E20:J20)</f>
        <v>27664477.817111272</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'WSS-31'!L708</f>
        <v>9087019.8741917349</v>
      </c>
      <c r="E22" s="253">
        <f t="shared" ref="E22:J22" si="4">(E14/$D$14)*$D$22</f>
        <v>6302550.3073214032</v>
      </c>
      <c r="F22" s="254">
        <f t="shared" si="4"/>
        <v>176517.58378603737</v>
      </c>
      <c r="G22" s="254">
        <f t="shared" si="4"/>
        <v>1634053.5476262951</v>
      </c>
      <c r="H22" s="254">
        <f t="shared" si="4"/>
        <v>932777.7882681695</v>
      </c>
      <c r="I22" s="254">
        <f t="shared" si="4"/>
        <v>35226.225988640639</v>
      </c>
      <c r="J22" s="254">
        <f t="shared" si="4"/>
        <v>5894.4212011898808</v>
      </c>
      <c r="K22" s="249">
        <f>SUM(E22:J22)</f>
        <v>9087019.8741917368</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18577457.942919534</v>
      </c>
      <c r="E24" s="253">
        <f t="shared" ref="E24:J24" si="5">E20-E22</f>
        <v>12884902.29893025</v>
      </c>
      <c r="F24" s="254">
        <f t="shared" si="5"/>
        <v>360871.66467901703</v>
      </c>
      <c r="G24" s="254">
        <f t="shared" si="5"/>
        <v>3340650.8930086484</v>
      </c>
      <c r="H24" s="254">
        <f t="shared" si="5"/>
        <v>1906966.2410288011</v>
      </c>
      <c r="I24" s="254">
        <f t="shared" si="5"/>
        <v>72016.320075448166</v>
      </c>
      <c r="J24" s="254">
        <f t="shared" si="5"/>
        <v>12050.525197370964</v>
      </c>
      <c r="K24" s="249">
        <f>SUM(E24:J24)</f>
        <v>18577457.942919537</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'WSS-31'!L680+'WSS-31'!L799</f>
        <v>5237124.8908036547</v>
      </c>
      <c r="E26" s="253">
        <f t="shared" ref="E26:J26" si="6">$D$26*(E24/$K$24)</f>
        <v>3632350.7098030904</v>
      </c>
      <c r="F26" s="254">
        <f t="shared" si="6"/>
        <v>101732.43203042982</v>
      </c>
      <c r="G26" s="254">
        <f t="shared" si="6"/>
        <v>941754.57142827811</v>
      </c>
      <c r="H26" s="254">
        <f t="shared" si="6"/>
        <v>537588.10260800982</v>
      </c>
      <c r="I26" s="254">
        <f t="shared" si="6"/>
        <v>20301.941394245474</v>
      </c>
      <c r="J26" s="254">
        <f t="shared" si="6"/>
        <v>3397.1335396004156</v>
      </c>
      <c r="K26" s="249">
        <f>SUM(E26:J26)</f>
        <v>5237124.8908036537</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'WSS-31'!L730</f>
        <v>80149960.788502932</v>
      </c>
      <c r="E28" s="253">
        <f>'WSS-31'!L180+'WSS-31'!L181+'WSS-31'!L182</f>
        <v>13195262.371867234</v>
      </c>
      <c r="F28" s="254">
        <f>'WSS-31'!L183</f>
        <v>57574713.969154082</v>
      </c>
      <c r="G28" s="254">
        <f>'WSS-31'!L192</f>
        <v>5173035.5154624842</v>
      </c>
      <c r="H28" s="254">
        <f>'WSS-31'!L198+'WSS-31'!L202+'WSS-31'!L204+'WSS-31'!L209</f>
        <v>2389296.7350261472</v>
      </c>
      <c r="I28" s="254">
        <f>'WSS-31'!L203+'WSS-31'!L205+'WSS-31'!L210+'WSS-31'!L214+'WSS-31'!L217</f>
        <v>219889.4739378395</v>
      </c>
      <c r="J28" s="254">
        <f>'WSS-31'!L223+'WSS-31'!L226</f>
        <v>1597762.7230551292</v>
      </c>
      <c r="K28" s="249">
        <f>SUM(E28:J28)</f>
        <v>80149960.788502917</v>
      </c>
      <c r="L28" s="250" t="str">
        <f>IF(ABS(K28-D28)&lt;0.01,"ok","err")</f>
        <v>ok</v>
      </c>
      <c r="M28" s="26"/>
      <c r="N28" s="26"/>
    </row>
    <row r="29" spans="1:14" ht="15.75" x14ac:dyDescent="0.25">
      <c r="A29" s="282" t="s">
        <v>1803</v>
      </c>
      <c r="B29" s="244" t="s">
        <v>813</v>
      </c>
      <c r="C29" s="245"/>
      <c r="D29" s="253">
        <f>'WSS-31'!L731</f>
        <v>33401355.649647601</v>
      </c>
      <c r="E29" s="253">
        <f>'WSS-31'!L300</f>
        <v>28592364.292966161</v>
      </c>
      <c r="F29" s="254">
        <v>0</v>
      </c>
      <c r="G29" s="254">
        <f>'WSS-31'!L306</f>
        <v>3141795.7801769977</v>
      </c>
      <c r="H29" s="254">
        <f>'WSS-31'!L312+'WSS-31'!L316+'WSS-31'!L318+'WSS-31'!L323</f>
        <v>1600185.2673190078</v>
      </c>
      <c r="I29" s="254">
        <f>'WSS-31'!L317+'WSS-31'!L319+'WSS-31'!L324+'WSS-31'!L328+'WSS-31'!L331</f>
        <v>67010.309185438411</v>
      </c>
      <c r="J29" s="254">
        <v>0</v>
      </c>
      <c r="K29" s="249">
        <f>SUM(E29:J29)</f>
        <v>33401355.649647605</v>
      </c>
      <c r="L29" s="250" t="str">
        <f>IF(ABS(K29-D29)&lt;0.01,"ok","err")</f>
        <v>ok</v>
      </c>
      <c r="M29" s="26"/>
      <c r="N29" s="26"/>
    </row>
    <row r="30" spans="1:14" ht="15.75" x14ac:dyDescent="0.25">
      <c r="A30" s="282" t="s">
        <v>1804</v>
      </c>
      <c r="B30" s="244" t="s">
        <v>408</v>
      </c>
      <c r="C30" s="245"/>
      <c r="D30" s="253">
        <f>'WSS-31'!L733+'WSS-31'!L734</f>
        <v>4107384.704452829</v>
      </c>
      <c r="E30" s="253">
        <f>'WSS-31'!L414+'WSS-31'!L471+'WSS-31'!L357</f>
        <v>3062263.014535937</v>
      </c>
      <c r="F30" s="254">
        <f>'WSS-31'!L529</f>
        <v>0</v>
      </c>
      <c r="G30" s="254">
        <f>'WSS-31'!L420+'WSS-31'!L477+'WSS-31'!L363</f>
        <v>632638.10461466026</v>
      </c>
      <c r="H30" s="254">
        <f>'WSS-31'!L426+'WSS-31'!L430+'WSS-31'!L432+'WSS-31'!L437+'WSS-31'!L483+'WSS-31'!L487+'WSS-31'!L489+'WSS-31'!L494+'WSS-31'!L369+'WSS-31'!L373+'WSS-31'!L375+'WSS-31'!L380</f>
        <v>395878.91285120451</v>
      </c>
      <c r="I30" s="254">
        <f>'WSS-31'!L431+'WSS-31'!L433+'WSS-31'!L438+'WSS-31'!L442+'WSS-31'!L445+'WSS-31'!L488+'WSS-31'!L490+'WSS-31'!L495+'WSS-31'!L499+'WSS-31'!L502+'WSS-31'!L374+'WSS-31'!L376+'WSS-31'!L381+'WSS-31'!L385+'WSS-31'!L388</f>
        <v>16604.672451026432</v>
      </c>
      <c r="J30" s="254">
        <v>0</v>
      </c>
      <c r="K30" s="249">
        <f>SUM(E30:J30)</f>
        <v>4107384.704452828</v>
      </c>
      <c r="L30" s="250" t="str">
        <f>IF(ABS(K30-D30)&lt;0.01,"ok","err")</f>
        <v>ok</v>
      </c>
      <c r="M30" s="26"/>
      <c r="N30" s="26"/>
    </row>
    <row r="31" spans="1:14" ht="15.75" x14ac:dyDescent="0.25">
      <c r="A31" s="282" t="s">
        <v>1805</v>
      </c>
      <c r="B31" s="244" t="s">
        <v>1841</v>
      </c>
      <c r="C31" s="245"/>
      <c r="D31" s="253">
        <f>'WSS-31'!L738</f>
        <v>1847283.9047427254</v>
      </c>
      <c r="E31" s="253">
        <f>D31</f>
        <v>1847283.9047427254</v>
      </c>
      <c r="F31" s="254"/>
      <c r="G31" s="254"/>
      <c r="H31" s="254"/>
      <c r="I31" s="254"/>
      <c r="J31" s="254"/>
      <c r="K31" s="249">
        <f>SUM(E31:J31)</f>
        <v>1847283.9047427254</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'WSS-31'!L796+'WSS-31'!L797</f>
        <v>75147.33719260509</v>
      </c>
      <c r="E36" s="253">
        <f t="shared" ref="E36:J36" si="9">(E14/($D$14)*$D$36)</f>
        <v>52120.48390724638</v>
      </c>
      <c r="F36" s="254">
        <f t="shared" si="9"/>
        <v>1459.7554063755297</v>
      </c>
      <c r="G36" s="254">
        <f t="shared" si="9"/>
        <v>13513.206159370047</v>
      </c>
      <c r="H36" s="254">
        <f t="shared" si="9"/>
        <v>7713.8344530137119</v>
      </c>
      <c r="I36" s="254">
        <f t="shared" si="9"/>
        <v>291.31190632800769</v>
      </c>
      <c r="J36" s="254">
        <f t="shared" si="9"/>
        <v>48.745360271422918</v>
      </c>
      <c r="K36" s="249">
        <f t="shared" si="8"/>
        <v>75147.33719260509</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75147.33719260509</v>
      </c>
      <c r="E39" s="253">
        <f t="shared" si="10"/>
        <v>52120.48390724638</v>
      </c>
      <c r="F39" s="254">
        <f t="shared" si="10"/>
        <v>1459.7554063755297</v>
      </c>
      <c r="G39" s="254">
        <f t="shared" si="10"/>
        <v>13513.206159370047</v>
      </c>
      <c r="H39" s="254">
        <f t="shared" si="10"/>
        <v>7713.8344530137119</v>
      </c>
      <c r="I39" s="254">
        <f t="shared" si="10"/>
        <v>291.31190632800769</v>
      </c>
      <c r="J39" s="254">
        <f t="shared" si="10"/>
        <v>48.745360271422918</v>
      </c>
      <c r="K39" s="249">
        <f t="shared" si="8"/>
        <v>75147.33719260509</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152482735.0924536</v>
      </c>
      <c r="E41" s="253">
        <f t="shared" ref="E41:J41" si="11">SUM(E28:E31)+E22+E26+E39+E24</f>
        <v>69569097.384074047</v>
      </c>
      <c r="F41" s="254">
        <f t="shared" si="11"/>
        <v>58215295.405055948</v>
      </c>
      <c r="G41" s="254">
        <f t="shared" si="11"/>
        <v>14877441.618476734</v>
      </c>
      <c r="H41" s="254">
        <f t="shared" si="11"/>
        <v>7770406.881554354</v>
      </c>
      <c r="I41" s="254">
        <f t="shared" si="11"/>
        <v>431340.25493896671</v>
      </c>
      <c r="J41" s="254">
        <f t="shared" si="11"/>
        <v>1619153.5483535619</v>
      </c>
      <c r="K41" s="249">
        <f>SUM(E41:J41)</f>
        <v>152482735.0924536</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-'WSS-31'!L659-'WSS-31'!L665</f>
        <v>-140910.41543755695</v>
      </c>
      <c r="E43" s="253">
        <f>D43</f>
        <v>-140910.41543755695</v>
      </c>
      <c r="F43" s="254">
        <v>0</v>
      </c>
      <c r="G43" s="254">
        <v>0</v>
      </c>
      <c r="H43" s="254">
        <v>0</v>
      </c>
      <c r="I43" s="254">
        <v>0</v>
      </c>
      <c r="J43" s="254">
        <v>0</v>
      </c>
      <c r="K43" s="249">
        <f>SUM(E43:J43)</f>
        <v>-140910.41543755695</v>
      </c>
      <c r="L43" s="250" t="str">
        <f>IF(ABS(K43-D43)&lt;0.01,"ok","err")</f>
        <v>ok</v>
      </c>
      <c r="M43" s="26"/>
      <c r="N43" s="26"/>
    </row>
    <row r="44" spans="1:14" ht="15.75" x14ac:dyDescent="0.25">
      <c r="A44" s="282" t="s">
        <v>1831</v>
      </c>
      <c r="B44" s="244" t="s">
        <v>1833</v>
      </c>
      <c r="C44" s="245"/>
      <c r="D44" s="253">
        <f>-'WSS-31'!L652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75" x14ac:dyDescent="0.25">
      <c r="A45" s="282" t="s">
        <v>1835</v>
      </c>
      <c r="B45" s="244" t="s">
        <v>2466</v>
      </c>
      <c r="C45" s="245"/>
      <c r="D45" s="253">
        <f>-'WSS-31'!L658</f>
        <v>-2378963.1518565952</v>
      </c>
      <c r="E45" s="253">
        <v>0</v>
      </c>
      <c r="F45" s="254">
        <v>0</v>
      </c>
      <c r="G45" s="254">
        <f>D45</f>
        <v>-2378963.1518565952</v>
      </c>
      <c r="H45" s="254">
        <v>0</v>
      </c>
      <c r="I45" s="254">
        <v>0</v>
      </c>
      <c r="J45" s="254">
        <v>0</v>
      </c>
      <c r="K45" s="249">
        <f>SUM(E45:J45)</f>
        <v>-2378963.1518565952</v>
      </c>
      <c r="L45" s="250" t="str">
        <f>IF(ABS(K45-D45)&lt;0.01,"ok","err")</f>
        <v>ok</v>
      </c>
      <c r="M45" s="26"/>
      <c r="N45" s="26"/>
    </row>
    <row r="46" spans="1:14" ht="15.75" x14ac:dyDescent="0.25">
      <c r="A46" s="282" t="s">
        <v>1836</v>
      </c>
      <c r="B46" s="244" t="s">
        <v>1834</v>
      </c>
      <c r="C46" s="245"/>
      <c r="D46" s="253">
        <f>-('WSS-31'!L654+'WSS-31'!L655+'WSS-31'!L656+'WSS-31'!L657+'WSS-31'!L660+'WSS-31'!L662+'WSS-31'!L663+'WSS-31'!L664)</f>
        <v>-299188.78394795692</v>
      </c>
      <c r="E46" s="253">
        <f t="shared" ref="E46:J46" si="12">(E14/($D$14)*$D$46)</f>
        <v>-207510.53572291613</v>
      </c>
      <c r="F46" s="254">
        <f t="shared" si="12"/>
        <v>-5811.8153112407053</v>
      </c>
      <c r="G46" s="254">
        <f t="shared" si="12"/>
        <v>-53800.971120209157</v>
      </c>
      <c r="H46" s="254">
        <f t="shared" si="12"/>
        <v>-30711.570573123852</v>
      </c>
      <c r="I46" s="254">
        <f t="shared" si="12"/>
        <v>-1159.8182751366273</v>
      </c>
      <c r="J46" s="254">
        <f t="shared" si="12"/>
        <v>-194.07294533048639</v>
      </c>
      <c r="K46" s="249">
        <f>SUM(E46:J46)</f>
        <v>-299188.78394795698</v>
      </c>
      <c r="L46" s="250" t="str">
        <f>IF(ABS(K46-D46)&lt;0.01,"ok","err")</f>
        <v>ok</v>
      </c>
      <c r="M46" s="26"/>
      <c r="N46" s="26"/>
    </row>
    <row r="47" spans="1:14" ht="15.75" x14ac:dyDescent="0.25">
      <c r="A47" s="282" t="s">
        <v>1842</v>
      </c>
      <c r="B47" s="244" t="s">
        <v>1837</v>
      </c>
      <c r="C47" s="245"/>
      <c r="D47" s="253">
        <f>SUM(D43:D46)</f>
        <v>-3737800.4245470003</v>
      </c>
      <c r="E47" s="253">
        <f t="shared" ref="E47:J47" si="13">SUM(E43:E46)</f>
        <v>-348420.95116047305</v>
      </c>
      <c r="F47" s="254">
        <f t="shared" si="13"/>
        <v>-924549.8886161322</v>
      </c>
      <c r="G47" s="254">
        <f t="shared" si="13"/>
        <v>-2432764.1229768042</v>
      </c>
      <c r="H47" s="254">
        <f t="shared" si="13"/>
        <v>-30711.570573123852</v>
      </c>
      <c r="I47" s="254">
        <f t="shared" si="13"/>
        <v>-1159.8182751366273</v>
      </c>
      <c r="J47" s="254">
        <f t="shared" si="13"/>
        <v>-194.07294533048639</v>
      </c>
      <c r="K47" s="249">
        <f>SUM(E47:J47)</f>
        <v>-3737800.4245469999</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148744934.66790661</v>
      </c>
      <c r="E49" s="253">
        <f t="shared" ref="E49:J49" si="14">E41+E47</f>
        <v>69220676.432913572</v>
      </c>
      <c r="F49" s="254">
        <f t="shared" si="14"/>
        <v>57290745.516439818</v>
      </c>
      <c r="G49" s="254">
        <f t="shared" si="14"/>
        <v>12444677.495499929</v>
      </c>
      <c r="H49" s="254">
        <f t="shared" si="14"/>
        <v>7739695.3109812299</v>
      </c>
      <c r="I49" s="254">
        <f t="shared" si="14"/>
        <v>430180.43666383007</v>
      </c>
      <c r="J49" s="254">
        <f t="shared" si="14"/>
        <v>1618959.4754082314</v>
      </c>
      <c r="K49" s="249">
        <f>SUM(E49:J49)</f>
        <v>148744934.66790664</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4588573.5905798813</v>
      </c>
      <c r="F51" s="252">
        <f>'Billing Det'!$C$18</f>
        <v>1784202424</v>
      </c>
      <c r="G51" s="252">
        <v>6217430</v>
      </c>
      <c r="H51" s="265">
        <f>G51</f>
        <v>6217430</v>
      </c>
      <c r="I51" s="265">
        <f>'WSS-31'!L830</f>
        <v>9195.4191780821911</v>
      </c>
      <c r="J51" s="265">
        <f>I51</f>
        <v>9195.4191780821911</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445">
        <f t="shared" ref="E53:H53" si="15">E49/E51</f>
        <v>15.085445414893259</v>
      </c>
      <c r="F53" s="270">
        <f t="shared" si="15"/>
        <v>3.2110003184504035E-2</v>
      </c>
      <c r="G53" s="446">
        <f t="shared" si="15"/>
        <v>2.0015790279102346</v>
      </c>
      <c r="H53" s="446">
        <f t="shared" si="15"/>
        <v>1.2448383513736754</v>
      </c>
      <c r="I53" s="271">
        <f>I49/I51/30.5</f>
        <v>1.5338372660103639</v>
      </c>
      <c r="J53" s="271">
        <f>J49/J51/30.5</f>
        <v>5.7725088448926334</v>
      </c>
      <c r="K53" s="272">
        <f>I53+J53</f>
        <v>7.3063461109029975</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7.3063461109029975</v>
      </c>
      <c r="L55" s="290"/>
      <c r="M55" s="26"/>
      <c r="N55" s="26"/>
    </row>
    <row r="56" spans="1:14" ht="15.75" x14ac:dyDescent="0.25">
      <c r="A56" s="26"/>
      <c r="B56" s="26"/>
      <c r="C56" s="26"/>
      <c r="D56" s="289"/>
      <c r="E56" s="26"/>
      <c r="F56" s="26"/>
      <c r="G56" s="26"/>
      <c r="H56" s="26"/>
      <c r="I56" s="26"/>
      <c r="J56" s="26" t="s">
        <v>2263</v>
      </c>
      <c r="K56" s="279">
        <f>E53+G53+H53</f>
        <v>18.331862794177169</v>
      </c>
      <c r="L56" s="26"/>
      <c r="M56" s="26"/>
      <c r="N56" s="26"/>
    </row>
    <row r="57" spans="1:14" ht="15.75" x14ac:dyDescent="0.25">
      <c r="A57" s="26"/>
      <c r="B57" s="26"/>
      <c r="C57" s="26"/>
      <c r="D57" s="279"/>
      <c r="E57" s="26"/>
      <c r="F57" s="26"/>
      <c r="G57" s="26"/>
      <c r="H57" s="26"/>
      <c r="I57" s="26"/>
      <c r="J57" s="26" t="s">
        <v>2268</v>
      </c>
      <c r="K57" s="509">
        <f>F53</f>
        <v>3.2110003184504035E-2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2265</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'WSS-31'!M174</f>
        <v>740522922.29555535</v>
      </c>
      <c r="E14" s="247">
        <f>'WSS-31'!M123+'WSS-31'!M124+'WSS-31'!M125</f>
        <v>539453131.04104686</v>
      </c>
      <c r="F14" s="248">
        <f>'WSS-31'!M126</f>
        <v>17832601.081429161</v>
      </c>
      <c r="G14" s="248">
        <f>'WSS-31'!M135</f>
        <v>124431809.44606513</v>
      </c>
      <c r="H14" s="248">
        <f>'WSS-31'!M145+'WSS-31'!M147+'WSS-31'!M152+'WSS-31'!M141</f>
        <v>57382076.440350123</v>
      </c>
      <c r="I14" s="248">
        <f>'WSS-31'!M146+'WSS-31'!M148+'WSS-31'!M153+'WSS-31'!M157+'WSS-31'!M160+'WSS-31'!M163</f>
        <v>1331076.6450192998</v>
      </c>
      <c r="J14" s="248">
        <f>'WSS-31'!M166+'WSS-31'!M169</f>
        <v>92227.641645007534</v>
      </c>
      <c r="K14" s="249">
        <f>SUM(E14:J14)</f>
        <v>740522922.29555547</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740522922.29555535</v>
      </c>
      <c r="E16" s="253">
        <f t="shared" ref="E16:K16" si="1">E14+E15</f>
        <v>539453131.04104686</v>
      </c>
      <c r="F16" s="254">
        <f t="shared" si="1"/>
        <v>17832601.081429161</v>
      </c>
      <c r="G16" s="254">
        <f t="shared" si="1"/>
        <v>124431809.44606513</v>
      </c>
      <c r="H16" s="254">
        <f t="shared" si="1"/>
        <v>57382076.440350123</v>
      </c>
      <c r="I16" s="254">
        <f t="shared" si="1"/>
        <v>1331076.6450192998</v>
      </c>
      <c r="J16" s="254">
        <f t="shared" si="1"/>
        <v>92227.641645007534</v>
      </c>
      <c r="K16" s="249">
        <f t="shared" si="1"/>
        <v>740522922.29555547</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'WSS-31'!M807</f>
        <v>5.9214694827749381E-2</v>
      </c>
      <c r="E18" s="258">
        <f t="shared" ref="E18:J18" si="2">D18</f>
        <v>5.9214694827749381E-2</v>
      </c>
      <c r="F18" s="259">
        <f t="shared" si="2"/>
        <v>5.9214694827749381E-2</v>
      </c>
      <c r="G18" s="259">
        <f t="shared" si="2"/>
        <v>5.9214694827749381E-2</v>
      </c>
      <c r="H18" s="259">
        <f t="shared" si="2"/>
        <v>5.9214694827749381E-2</v>
      </c>
      <c r="I18" s="259">
        <f t="shared" si="2"/>
        <v>5.9214694827749381E-2</v>
      </c>
      <c r="J18" s="259">
        <f t="shared" si="2"/>
        <v>5.9214694827749381E-2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43849838.856684476</v>
      </c>
      <c r="E20" s="253">
        <f t="shared" ref="E20:J20" si="3">E18*E16</f>
        <v>31943552.528469488</v>
      </c>
      <c r="F20" s="254">
        <f t="shared" si="3"/>
        <v>1055952.0310218213</v>
      </c>
      <c r="G20" s="254">
        <f t="shared" si="3"/>
        <v>7368191.6232134094</v>
      </c>
      <c r="H20" s="254">
        <f t="shared" si="3"/>
        <v>3397862.1449979199</v>
      </c>
      <c r="I20" s="254">
        <f t="shared" si="3"/>
        <v>78819.297327162334</v>
      </c>
      <c r="J20" s="254">
        <f t="shared" si="3"/>
        <v>5461.2316546921511</v>
      </c>
      <c r="K20" s="249">
        <f>SUM(E20:J20)</f>
        <v>43849838.856684484</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'WSS-31'!M708</f>
        <v>15858864.221028218</v>
      </c>
      <c r="E22" s="253">
        <f t="shared" ref="E22:J22" si="4">(E14/$D$14)*$D$22</f>
        <v>11552801.002119435</v>
      </c>
      <c r="F22" s="254">
        <f t="shared" si="4"/>
        <v>381898.7782059146</v>
      </c>
      <c r="G22" s="254">
        <f t="shared" si="4"/>
        <v>2664802.2787259603</v>
      </c>
      <c r="H22" s="254">
        <f t="shared" si="4"/>
        <v>1228881.0131186896</v>
      </c>
      <c r="I22" s="254">
        <f t="shared" si="4"/>
        <v>28506.023440443543</v>
      </c>
      <c r="J22" s="254">
        <f t="shared" si="4"/>
        <v>1975.1254177788478</v>
      </c>
      <c r="K22" s="249">
        <f>SUM(E22:J22)</f>
        <v>15858864.22102822</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27990974.63565626</v>
      </c>
      <c r="E24" s="253">
        <f t="shared" ref="E24:J24" si="5">E20-E22</f>
        <v>20390751.526350051</v>
      </c>
      <c r="F24" s="254">
        <f t="shared" si="5"/>
        <v>674053.25281590666</v>
      </c>
      <c r="G24" s="254">
        <f t="shared" si="5"/>
        <v>4703389.3444874492</v>
      </c>
      <c r="H24" s="254">
        <f t="shared" si="5"/>
        <v>2168981.13187923</v>
      </c>
      <c r="I24" s="254">
        <f t="shared" si="5"/>
        <v>50313.273886718787</v>
      </c>
      <c r="J24" s="254">
        <f t="shared" si="5"/>
        <v>3486.1062369133033</v>
      </c>
      <c r="K24" s="249">
        <f>SUM(E24:J24)</f>
        <v>27990974.635656264</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'WSS-31'!M680+'WSS-31'!M799</f>
        <v>8426082.8794781715</v>
      </c>
      <c r="E26" s="253">
        <f t="shared" ref="E26:J26" si="6">$D$26*(E24/$K$24)</f>
        <v>6138198.6362492116</v>
      </c>
      <c r="F26" s="254">
        <f t="shared" si="6"/>
        <v>202909.28227178255</v>
      </c>
      <c r="G26" s="254">
        <f t="shared" si="6"/>
        <v>1415854.5369342614</v>
      </c>
      <c r="H26" s="254">
        <f t="shared" si="6"/>
        <v>652925.27391875419</v>
      </c>
      <c r="I26" s="254">
        <f t="shared" si="6"/>
        <v>15145.732552211208</v>
      </c>
      <c r="J26" s="254">
        <f t="shared" si="6"/>
        <v>1049.4175519518692</v>
      </c>
      <c r="K26" s="249">
        <f>SUM(E26:J26)</f>
        <v>8426082.8794781733</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'WSS-31'!M730</f>
        <v>161373637.99331099</v>
      </c>
      <c r="E28" s="253">
        <f>'WSS-31'!M180+'WSS-31'!M181+'WSS-31'!M182</f>
        <v>24155388.136634905</v>
      </c>
      <c r="F28" s="254">
        <f>'WSS-31'!M183</f>
        <v>124399061.06284878</v>
      </c>
      <c r="G28" s="254">
        <f>'WSS-31'!M192</f>
        <v>8424985.95256643</v>
      </c>
      <c r="H28" s="254">
        <f>'WSS-31'!M198+'WSS-31'!M202+'WSS-31'!M204+'WSS-31'!M209</f>
        <v>3544513.3464609813</v>
      </c>
      <c r="I28" s="254">
        <f>'WSS-31'!M203+'WSS-31'!M205+'WSS-31'!M210+'WSS-31'!M214+'WSS-31'!M217</f>
        <v>315711.35236887302</v>
      </c>
      <c r="J28" s="254">
        <f>'WSS-31'!M223+'WSS-31'!M226</f>
        <v>533978.14243095706</v>
      </c>
      <c r="K28" s="249">
        <f>SUM(E28:J28)</f>
        <v>161373637.99331093</v>
      </c>
      <c r="L28" s="250" t="str">
        <f>IF(ABS(K28-D28)&lt;0.01,"ok","err")</f>
        <v>ok</v>
      </c>
      <c r="M28" s="26"/>
      <c r="N28" s="26"/>
    </row>
    <row r="29" spans="1:14" ht="15.75" x14ac:dyDescent="0.25">
      <c r="A29" s="282" t="s">
        <v>1803</v>
      </c>
      <c r="B29" s="244" t="s">
        <v>813</v>
      </c>
      <c r="C29" s="245"/>
      <c r="D29" s="253">
        <f>'WSS-31'!M731</f>
        <v>59608942.280417196</v>
      </c>
      <c r="E29" s="253">
        <f>'WSS-31'!M300</f>
        <v>52341487.25327123</v>
      </c>
      <c r="F29" s="254">
        <v>0</v>
      </c>
      <c r="G29" s="254">
        <f>'WSS-31'!M306</f>
        <v>5116838.118490519</v>
      </c>
      <c r="H29" s="254">
        <f>'WSS-31'!M312+'WSS-31'!M316+'WSS-31'!M318+'WSS-31'!M323</f>
        <v>2103528.0776228923</v>
      </c>
      <c r="I29" s="254">
        <f>'WSS-31'!M317+'WSS-31'!M319+'WSS-31'!M324+'WSS-31'!M328+'WSS-31'!M331</f>
        <v>47088.831032560825</v>
      </c>
      <c r="J29" s="254">
        <v>0</v>
      </c>
      <c r="K29" s="249">
        <f>SUM(E29:J29)</f>
        <v>59608942.280417196</v>
      </c>
      <c r="L29" s="250" t="str">
        <f>IF(ABS(K29-D29)&lt;0.01,"ok","err")</f>
        <v>ok</v>
      </c>
      <c r="M29" s="26"/>
      <c r="N29" s="26"/>
    </row>
    <row r="30" spans="1:14" ht="15.75" x14ac:dyDescent="0.25">
      <c r="A30" s="282" t="s">
        <v>1804</v>
      </c>
      <c r="B30" s="244" t="s">
        <v>408</v>
      </c>
      <c r="C30" s="245"/>
      <c r="D30" s="253">
        <f>'WSS-31'!M733+'WSS-31'!M734</f>
        <v>7168252.6909795683</v>
      </c>
      <c r="E30" s="253">
        <f>'WSS-31'!M414+'WSS-31'!M471+'WSS-31'!M357</f>
        <v>5605811.3592560468</v>
      </c>
      <c r="F30" s="254">
        <f>'WSS-31'!M529</f>
        <v>0</v>
      </c>
      <c r="G30" s="254">
        <f>'WSS-31'!M420+'WSS-31'!M477+'WSS-31'!M363</f>
        <v>1030336.4685019469</v>
      </c>
      <c r="H30" s="254">
        <f>'WSS-31'!M426+'WSS-31'!M430+'WSS-31'!M432+'WSS-31'!M437+'WSS-31'!M483+'WSS-31'!M487+'WSS-31'!M489+'WSS-31'!M494+'WSS-31'!M369+'WSS-31'!M373+'WSS-31'!M375+'WSS-31'!M380</f>
        <v>520403.74669648928</v>
      </c>
      <c r="I30" s="254">
        <f>'WSS-31'!M431+'WSS-31'!M433+'WSS-31'!M438+'WSS-31'!M442+'WSS-31'!M445+'WSS-31'!M488+'WSS-31'!M490+'WSS-31'!M495+'WSS-31'!M499+'WSS-31'!M502+'WSS-31'!M374+'WSS-31'!M376+'WSS-31'!M381+'WSS-31'!M385+'WSS-31'!M388</f>
        <v>11701.116525086267</v>
      </c>
      <c r="J30" s="254">
        <v>0</v>
      </c>
      <c r="K30" s="249">
        <f>SUM(E30:J30)</f>
        <v>7168252.6909795692</v>
      </c>
      <c r="L30" s="250" t="str">
        <f>IF(ABS(K30-D30)&lt;0.01,"ok","err")</f>
        <v>ok</v>
      </c>
      <c r="M30" s="26"/>
      <c r="N30" s="26"/>
    </row>
    <row r="31" spans="1:14" ht="15.75" x14ac:dyDescent="0.25">
      <c r="A31" s="282" t="s">
        <v>1805</v>
      </c>
      <c r="B31" s="244" t="s">
        <v>1841</v>
      </c>
      <c r="C31" s="245"/>
      <c r="D31" s="253">
        <f>'WSS-31'!M738</f>
        <v>3381657.6328754495</v>
      </c>
      <c r="E31" s="253">
        <f>D31</f>
        <v>3381657.6328754495</v>
      </c>
      <c r="F31" s="254"/>
      <c r="G31" s="254"/>
      <c r="H31" s="254"/>
      <c r="I31" s="254"/>
      <c r="J31" s="254"/>
      <c r="K31" s="249">
        <f>SUM(E31:J31)</f>
        <v>3381657.6328754495</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'WSS-31'!M796+'WSS-31'!M797</f>
        <v>139077.05389329951</v>
      </c>
      <c r="E36" s="253">
        <f t="shared" ref="E36:J36" si="9">(E14/($D$14)*$D$36)</f>
        <v>101314.28740400403</v>
      </c>
      <c r="F36" s="254">
        <f t="shared" si="9"/>
        <v>3349.127416571424</v>
      </c>
      <c r="G36" s="254">
        <f t="shared" si="9"/>
        <v>23369.444682043497</v>
      </c>
      <c r="H36" s="254">
        <f t="shared" si="9"/>
        <v>10776.884681523525</v>
      </c>
      <c r="I36" s="254">
        <f t="shared" si="9"/>
        <v>249.9885050439749</v>
      </c>
      <c r="J36" s="254">
        <f t="shared" si="9"/>
        <v>17.321204113105431</v>
      </c>
      <c r="K36" s="249">
        <f t="shared" si="8"/>
        <v>139077.05389329954</v>
      </c>
      <c r="L36" s="250" t="str">
        <f t="shared" si="7"/>
        <v>ok</v>
      </c>
      <c r="M36" s="26"/>
      <c r="N36" s="26"/>
    </row>
    <row r="37" spans="1:14" ht="15.75" x14ac:dyDescent="0.25">
      <c r="A37" s="284" t="s">
        <v>1827</v>
      </c>
      <c r="B37" s="244" t="s">
        <v>2262</v>
      </c>
      <c r="C37" s="300"/>
      <c r="D37" s="253">
        <f>'WSS-31'!M737</f>
        <v>-1032456.07</v>
      </c>
      <c r="E37" s="253">
        <f>D37</f>
        <v>-1032456.07</v>
      </c>
      <c r="F37" s="302">
        <v>0</v>
      </c>
      <c r="G37" s="302">
        <v>0</v>
      </c>
      <c r="H37" s="302">
        <v>0</v>
      </c>
      <c r="I37" s="302">
        <v>0</v>
      </c>
      <c r="J37" s="302">
        <v>0</v>
      </c>
      <c r="K37" s="249">
        <f t="shared" si="8"/>
        <v>-1032456.07</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-893379.01610670041</v>
      </c>
      <c r="E39" s="253">
        <f t="shared" si="10"/>
        <v>-931141.78259599593</v>
      </c>
      <c r="F39" s="254">
        <f t="shared" si="10"/>
        <v>3349.127416571424</v>
      </c>
      <c r="G39" s="254">
        <f t="shared" si="10"/>
        <v>23369.444682043497</v>
      </c>
      <c r="H39" s="254">
        <f t="shared" si="10"/>
        <v>10776.884681523525</v>
      </c>
      <c r="I39" s="254">
        <f t="shared" si="10"/>
        <v>249.9885050439749</v>
      </c>
      <c r="J39" s="254">
        <f t="shared" si="10"/>
        <v>17.321204113105431</v>
      </c>
      <c r="K39" s="249">
        <f t="shared" si="8"/>
        <v>-893379.01610670041</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282915033.31763917</v>
      </c>
      <c r="E41" s="253">
        <f t="shared" ref="E41:J41" si="11">SUM(E28:E31)+E22+E26+E39+E24</f>
        <v>122634953.76416034</v>
      </c>
      <c r="F41" s="254">
        <f t="shared" si="11"/>
        <v>125661271.50355895</v>
      </c>
      <c r="G41" s="254">
        <f t="shared" si="11"/>
        <v>23379576.144388609</v>
      </c>
      <c r="H41" s="254">
        <f t="shared" si="11"/>
        <v>10230009.47437856</v>
      </c>
      <c r="I41" s="254">
        <f t="shared" si="11"/>
        <v>468716.31831093767</v>
      </c>
      <c r="J41" s="254">
        <f t="shared" si="11"/>
        <v>540506.11284171417</v>
      </c>
      <c r="K41" s="249">
        <f>SUM(E41:J41)</f>
        <v>282915033.31763911</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-'WSS-31'!M659-'WSS-31'!M665</f>
        <v>-257952.11049729228</v>
      </c>
      <c r="E43" s="253">
        <f>D43</f>
        <v>-257952.11049729228</v>
      </c>
      <c r="F43" s="254">
        <v>0</v>
      </c>
      <c r="G43" s="254">
        <v>0</v>
      </c>
      <c r="H43" s="254">
        <v>0</v>
      </c>
      <c r="I43" s="254">
        <v>0</v>
      </c>
      <c r="J43" s="254">
        <v>0</v>
      </c>
      <c r="K43" s="249">
        <f>SUM(E43:J43)</f>
        <v>-257952.11049729228</v>
      </c>
      <c r="L43" s="250" t="str">
        <f>IF(ABS(K43-D43)&lt;0.01,"ok","err")</f>
        <v>ok</v>
      </c>
      <c r="M43" s="26"/>
      <c r="N43" s="26"/>
    </row>
    <row r="44" spans="1:14" ht="15.75" x14ac:dyDescent="0.25">
      <c r="A44" s="282" t="s">
        <v>1831</v>
      </c>
      <c r="B44" s="244" t="s">
        <v>1833</v>
      </c>
      <c r="C44" s="245"/>
      <c r="D44" s="253">
        <f>-'WSS-31'!M652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75" x14ac:dyDescent="0.25">
      <c r="A45" s="282" t="s">
        <v>1835</v>
      </c>
      <c r="B45" s="244" t="s">
        <v>2466</v>
      </c>
      <c r="C45" s="245"/>
      <c r="D45" s="253">
        <f>-'WSS-31'!M658</f>
        <v>-3874462.3106019977</v>
      </c>
      <c r="E45" s="253">
        <v>0</v>
      </c>
      <c r="F45" s="254">
        <v>0</v>
      </c>
      <c r="G45" s="254">
        <f>D45</f>
        <v>-3874462.3106019977</v>
      </c>
      <c r="H45" s="254">
        <v>0</v>
      </c>
      <c r="I45" s="254">
        <v>0</v>
      </c>
      <c r="J45" s="254">
        <v>0</v>
      </c>
      <c r="K45" s="249">
        <f>SUM(E45:J45)</f>
        <v>-3874462.3106019977</v>
      </c>
      <c r="L45" s="250" t="str">
        <f>IF(ABS(K45-D45)&lt;0.01,"ok","err")</f>
        <v>ok</v>
      </c>
      <c r="M45" s="26"/>
      <c r="N45" s="26"/>
    </row>
    <row r="46" spans="1:14" ht="15.75" x14ac:dyDescent="0.25">
      <c r="A46" s="282" t="s">
        <v>1836</v>
      </c>
      <c r="B46" s="244" t="s">
        <v>1834</v>
      </c>
      <c r="C46" s="245"/>
      <c r="D46" s="253">
        <f>-('WSS-31'!M654+'WSS-31'!M655+'WSS-31'!M656+'WSS-31'!M657+'WSS-31'!M660+'WSS-31'!M662+'WSS-31'!M663+'WSS-31'!M664)</f>
        <v>-438931.12797471951</v>
      </c>
      <c r="E46" s="253">
        <f t="shared" ref="E46:J46" si="12">(E14/($D$14)*$D$46)</f>
        <v>-319750.7655311132</v>
      </c>
      <c r="F46" s="254">
        <f t="shared" si="12"/>
        <v>-10569.94114798097</v>
      </c>
      <c r="G46" s="254">
        <f t="shared" si="12"/>
        <v>-73754.630453286823</v>
      </c>
      <c r="H46" s="254">
        <f t="shared" si="12"/>
        <v>-34012.15381614073</v>
      </c>
      <c r="I46" s="254">
        <f t="shared" si="12"/>
        <v>-788.97081458059449</v>
      </c>
      <c r="J46" s="254">
        <f t="shared" si="12"/>
        <v>-54.666211617328543</v>
      </c>
      <c r="K46" s="249">
        <f>SUM(E46:J46)</f>
        <v>-438931.12797471968</v>
      </c>
      <c r="L46" s="250" t="str">
        <f>IF(ABS(K46-D46)&lt;0.01,"ok","err")</f>
        <v>ok</v>
      </c>
      <c r="M46" s="26"/>
      <c r="N46" s="26"/>
    </row>
    <row r="47" spans="1:14" ht="15.75" x14ac:dyDescent="0.25">
      <c r="A47" s="282" t="s">
        <v>1842</v>
      </c>
      <c r="B47" s="244" t="s">
        <v>1837</v>
      </c>
      <c r="C47" s="245"/>
      <c r="D47" s="253">
        <f>SUM(D43:D46)</f>
        <v>-6556421.0414689993</v>
      </c>
      <c r="E47" s="253">
        <f t="shared" ref="E47:J47" si="13">SUM(E43:E46)</f>
        <v>-577702.8760284055</v>
      </c>
      <c r="F47" s="254">
        <f t="shared" si="13"/>
        <v>-1995645.4335429706</v>
      </c>
      <c r="G47" s="254">
        <f t="shared" si="13"/>
        <v>-3948216.9410552843</v>
      </c>
      <c r="H47" s="254">
        <f t="shared" si="13"/>
        <v>-34012.15381614073</v>
      </c>
      <c r="I47" s="254">
        <f t="shared" si="13"/>
        <v>-788.97081458059449</v>
      </c>
      <c r="J47" s="254">
        <f t="shared" si="13"/>
        <v>-54.666211617328543</v>
      </c>
      <c r="K47" s="249">
        <f>SUM(E47:J47)</f>
        <v>-6556421.0414690003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276358612.27617019</v>
      </c>
      <c r="E49" s="253">
        <f t="shared" ref="E49:J49" si="14">E41+E47</f>
        <v>122057250.88813193</v>
      </c>
      <c r="F49" s="254">
        <f t="shared" si="14"/>
        <v>123665626.07001598</v>
      </c>
      <c r="G49" s="254">
        <f t="shared" si="14"/>
        <v>19431359.203333326</v>
      </c>
      <c r="H49" s="254">
        <f t="shared" si="14"/>
        <v>10195997.320562419</v>
      </c>
      <c r="I49" s="254">
        <f t="shared" si="14"/>
        <v>467927.34749635705</v>
      </c>
      <c r="J49" s="254">
        <f t="shared" si="14"/>
        <v>540451.44663009688</v>
      </c>
      <c r="K49" s="249">
        <f>SUM(E49:J49)</f>
        <v>276358612.27617007</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8525278.7373274509</v>
      </c>
      <c r="F51" s="252">
        <f>'Billing Det'!$C$20</f>
        <v>3951918371</v>
      </c>
      <c r="G51" s="252">
        <v>10620000</v>
      </c>
      <c r="H51" s="265">
        <f>G51</f>
        <v>10620000</v>
      </c>
      <c r="I51" s="265">
        <f>'WSS-31'!M830</f>
        <v>3066.4438356164383</v>
      </c>
      <c r="J51" s="265">
        <f>I51</f>
        <v>3066.4438356164383</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445">
        <f t="shared" ref="E53:H53" si="15">E49/E51</f>
        <v>14.317097968153364</v>
      </c>
      <c r="F53" s="270">
        <f t="shared" si="15"/>
        <v>3.1292555781895721E-2</v>
      </c>
      <c r="G53" s="446">
        <f t="shared" si="15"/>
        <v>1.8296948402385429</v>
      </c>
      <c r="H53" s="446">
        <f t="shared" si="15"/>
        <v>0.96007507726576446</v>
      </c>
      <c r="I53" s="271">
        <f>I49/I51/30.5</f>
        <v>5.0031505770912199</v>
      </c>
      <c r="J53" s="271">
        <f>J49/J51/30.5</f>
        <v>5.7785893078587494</v>
      </c>
      <c r="K53" s="272">
        <f>I53+J53</f>
        <v>10.781739884949969</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10.781739884949969</v>
      </c>
      <c r="L55" s="290"/>
      <c r="M55" s="26"/>
      <c r="N55" s="26"/>
    </row>
    <row r="56" spans="1:14" ht="15.75" x14ac:dyDescent="0.25">
      <c r="A56" s="26"/>
      <c r="B56" s="26"/>
      <c r="C56" s="26"/>
      <c r="D56" s="289"/>
      <c r="E56" s="26"/>
      <c r="F56" s="26"/>
      <c r="G56" s="26"/>
      <c r="H56" s="26"/>
      <c r="I56" s="26"/>
      <c r="J56" s="26" t="s">
        <v>2263</v>
      </c>
      <c r="K56" s="279">
        <f>E53+G53+H53</f>
        <v>17.106867885657671</v>
      </c>
      <c r="L56" s="26"/>
      <c r="M56" s="26"/>
      <c r="N56" s="26"/>
    </row>
    <row r="57" spans="1:14" ht="15.75" x14ac:dyDescent="0.25">
      <c r="A57" s="26"/>
      <c r="B57" s="26"/>
      <c r="C57" s="26"/>
      <c r="D57" s="279"/>
      <c r="E57" s="26"/>
      <c r="F57" s="26"/>
      <c r="G57" s="26"/>
      <c r="H57" s="26"/>
      <c r="I57" s="26"/>
      <c r="J57" s="26" t="s">
        <v>2268</v>
      </c>
      <c r="K57" s="509">
        <f>F53</f>
        <v>3.1292555781895721E-2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2266</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'WSS-31'!N174</f>
        <v>225552348.81659499</v>
      </c>
      <c r="E14" s="247">
        <f>'WSS-31'!N123+'WSS-31'!N124+'WSS-31'!N125</f>
        <v>175600115.06970802</v>
      </c>
      <c r="F14" s="248">
        <f>'WSS-31'!N126</f>
        <v>6206391.0166964289</v>
      </c>
      <c r="G14" s="248">
        <f>'WSS-31'!N135</f>
        <v>43150261.524401501</v>
      </c>
      <c r="H14" s="248">
        <f>'WSS-31'!N145+'WSS-31'!N147+'WSS-31'!N152+'WSS-31'!N141</f>
        <v>0</v>
      </c>
      <c r="I14" s="248">
        <f>'WSS-31'!N146+'WSS-31'!N148+'WSS-31'!N153+'WSS-31'!N157+'WSS-31'!N160+'WSS-31'!N163</f>
        <v>588375.9212855401</v>
      </c>
      <c r="J14" s="248">
        <f>'WSS-31'!N166+'WSS-31'!N169</f>
        <v>7205.2845035162136</v>
      </c>
      <c r="K14" s="249">
        <f>SUM(E14:J14)</f>
        <v>225552348.81659499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225552348.81659499</v>
      </c>
      <c r="E16" s="253">
        <f t="shared" ref="E16:K16" si="1">E14+E15</f>
        <v>175600115.06970802</v>
      </c>
      <c r="F16" s="254">
        <f t="shared" si="1"/>
        <v>6206391.0166964289</v>
      </c>
      <c r="G16" s="254">
        <f t="shared" si="1"/>
        <v>43150261.524401501</v>
      </c>
      <c r="H16" s="254">
        <f t="shared" si="1"/>
        <v>0</v>
      </c>
      <c r="I16" s="254">
        <f t="shared" si="1"/>
        <v>588375.9212855401</v>
      </c>
      <c r="J16" s="254">
        <f t="shared" si="1"/>
        <v>7205.2845035162136</v>
      </c>
      <c r="K16" s="249">
        <f t="shared" si="1"/>
        <v>225552348.81659499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'WSS-31'!N807</f>
        <v>6.4406030322960661E-2</v>
      </c>
      <c r="E18" s="258">
        <f t="shared" ref="E18:J18" si="2">D18</f>
        <v>6.4406030322960661E-2</v>
      </c>
      <c r="F18" s="259">
        <f t="shared" si="2"/>
        <v>6.4406030322960661E-2</v>
      </c>
      <c r="G18" s="259">
        <f t="shared" si="2"/>
        <v>6.4406030322960661E-2</v>
      </c>
      <c r="H18" s="259">
        <f t="shared" si="2"/>
        <v>6.4406030322960661E-2</v>
      </c>
      <c r="I18" s="259">
        <f t="shared" si="2"/>
        <v>6.4406030322960661E-2</v>
      </c>
      <c r="J18" s="259">
        <f t="shared" si="2"/>
        <v>6.4406030322960661E-2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14526931.417296616</v>
      </c>
      <c r="E20" s="253">
        <f t="shared" ref="E20:J20" si="3">E18*E16</f>
        <v>11309706.335894996</v>
      </c>
      <c r="F20" s="254">
        <f t="shared" si="3"/>
        <v>399729.00801750086</v>
      </c>
      <c r="G20" s="254">
        <f t="shared" si="3"/>
        <v>2779137.0521842856</v>
      </c>
      <c r="H20" s="254">
        <f t="shared" si="3"/>
        <v>0</v>
      </c>
      <c r="I20" s="254">
        <f t="shared" si="3"/>
        <v>37894.957427616413</v>
      </c>
      <c r="J20" s="254">
        <f t="shared" si="3"/>
        <v>464.0637722190238</v>
      </c>
      <c r="K20" s="249">
        <f>SUM(E20:J20)</f>
        <v>14526931.417296618</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'WSS-31'!N708</f>
        <v>4839027.5429492528</v>
      </c>
      <c r="E22" s="253">
        <f t="shared" ref="E22:J22" si="4">(E14/$D$14)*$D$22</f>
        <v>3767346.2405763967</v>
      </c>
      <c r="F22" s="254">
        <f t="shared" si="4"/>
        <v>133152.66823724235</v>
      </c>
      <c r="G22" s="254">
        <f t="shared" si="4"/>
        <v>925750.9624598485</v>
      </c>
      <c r="H22" s="254">
        <f t="shared" si="4"/>
        <v>0</v>
      </c>
      <c r="I22" s="254">
        <f t="shared" si="4"/>
        <v>12623.088625089016</v>
      </c>
      <c r="J22" s="254">
        <f t="shared" si="4"/>
        <v>154.58305067641612</v>
      </c>
      <c r="K22" s="249">
        <f>SUM(E22:J22)</f>
        <v>4839027.5429492537</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9687903.8743473627</v>
      </c>
      <c r="E24" s="253">
        <f t="shared" ref="E24:J24" si="5">E20-E22</f>
        <v>7542360.0953185996</v>
      </c>
      <c r="F24" s="254">
        <f t="shared" si="5"/>
        <v>266576.33978025848</v>
      </c>
      <c r="G24" s="254">
        <f t="shared" si="5"/>
        <v>1853386.0897244371</v>
      </c>
      <c r="H24" s="254">
        <f t="shared" si="5"/>
        <v>0</v>
      </c>
      <c r="I24" s="254">
        <f t="shared" si="5"/>
        <v>25271.868802527395</v>
      </c>
      <c r="J24" s="254">
        <f t="shared" si="5"/>
        <v>309.48072154260768</v>
      </c>
      <c r="K24" s="249">
        <f>SUM(E24:J24)</f>
        <v>9687903.8743473645</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'WSS-31'!N680+'WSS-31'!N799</f>
        <v>2324673.9070772002</v>
      </c>
      <c r="E26" s="253">
        <f t="shared" ref="E26:J26" si="6">$D$26*(E24/$K$24)</f>
        <v>1809837.0853776268</v>
      </c>
      <c r="F26" s="254">
        <f t="shared" si="6"/>
        <v>63966.681479182174</v>
      </c>
      <c r="G26" s="254">
        <f t="shared" si="6"/>
        <v>444731.73334541259</v>
      </c>
      <c r="H26" s="254">
        <f t="shared" si="6"/>
        <v>0</v>
      </c>
      <c r="I26" s="254">
        <f t="shared" si="6"/>
        <v>6064.1450152984144</v>
      </c>
      <c r="J26" s="254">
        <f t="shared" si="6"/>
        <v>74.261859680352245</v>
      </c>
      <c r="K26" s="249">
        <f>SUM(E26:J26)</f>
        <v>2324673.9070772002</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'WSS-31'!N730</f>
        <v>54272684.636613227</v>
      </c>
      <c r="E28" s="253">
        <f>'WSS-31'!N180+'WSS-31'!N181+'WSS-31'!N182</f>
        <v>7862942.4731688155</v>
      </c>
      <c r="F28" s="254">
        <f>'WSS-31'!N183</f>
        <v>43295378.590056986</v>
      </c>
      <c r="G28" s="254">
        <f>'WSS-31'!N192</f>
        <v>2921602.9953355826</v>
      </c>
      <c r="H28" s="254">
        <f>'WSS-31'!N198+'WSS-31'!N202+'WSS-31'!N204+'WSS-31'!N209</f>
        <v>0</v>
      </c>
      <c r="I28" s="254">
        <f>'WSS-31'!N203+'WSS-31'!N205+'WSS-31'!N210+'WSS-31'!N214+'WSS-31'!N217</f>
        <v>151043.53567442551</v>
      </c>
      <c r="J28" s="254">
        <f>'WSS-31'!N223+'WSS-31'!N226</f>
        <v>41717.042377418518</v>
      </c>
      <c r="K28" s="249">
        <f>SUM(E28:J28)</f>
        <v>54272684.636613227</v>
      </c>
      <c r="L28" s="250" t="str">
        <f>IF(ABS(K28-D28)&lt;0.01,"ok","err")</f>
        <v>ok</v>
      </c>
      <c r="M28" s="26"/>
      <c r="N28" s="26"/>
    </row>
    <row r="29" spans="1:14" ht="15.75" x14ac:dyDescent="0.25">
      <c r="A29" s="282" t="s">
        <v>1803</v>
      </c>
      <c r="B29" s="244" t="s">
        <v>813</v>
      </c>
      <c r="C29" s="245"/>
      <c r="D29" s="253">
        <f>'WSS-31'!N731</f>
        <v>18833076.783056621</v>
      </c>
      <c r="E29" s="253">
        <f>'WSS-31'!N300</f>
        <v>17037942.048564605</v>
      </c>
      <c r="F29" s="254">
        <v>0</v>
      </c>
      <c r="G29" s="254">
        <f>'WSS-31'!N306</f>
        <v>1774408.8426729415</v>
      </c>
      <c r="H29" s="254">
        <f>'WSS-31'!N312+'WSS-31'!N316+'WSS-31'!N318+'WSS-31'!N323</f>
        <v>0</v>
      </c>
      <c r="I29" s="254">
        <f>'WSS-31'!N317+'WSS-31'!N319+'WSS-31'!N324+'WSS-31'!N328+'WSS-31'!N331</f>
        <v>20725.891819075743</v>
      </c>
      <c r="J29" s="254">
        <v>0</v>
      </c>
      <c r="K29" s="249">
        <f>SUM(E29:J29)</f>
        <v>18833076.783056621</v>
      </c>
      <c r="L29" s="250" t="str">
        <f>IF(ABS(K29-D29)&lt;0.01,"ok","err")</f>
        <v>ok</v>
      </c>
      <c r="M29" s="26"/>
      <c r="N29" s="26"/>
    </row>
    <row r="30" spans="1:14" ht="15.75" x14ac:dyDescent="0.25">
      <c r="A30" s="282" t="s">
        <v>1804</v>
      </c>
      <c r="B30" s="244" t="s">
        <v>408</v>
      </c>
      <c r="C30" s="245"/>
      <c r="D30" s="253">
        <f>'WSS-31'!N733+'WSS-31'!N734</f>
        <v>2187227.451302391</v>
      </c>
      <c r="E30" s="253">
        <f>'WSS-31'!N414+'WSS-31'!N471+'WSS-31'!N357</f>
        <v>1824775.9872016329</v>
      </c>
      <c r="F30" s="254">
        <f>'WSS-31'!N529</f>
        <v>0</v>
      </c>
      <c r="G30" s="254">
        <f>'WSS-31'!N420+'WSS-31'!N477+'WSS-31'!N363</f>
        <v>357298.41325869429</v>
      </c>
      <c r="H30" s="254">
        <f>'WSS-31'!N426+'WSS-31'!N430+'WSS-31'!N432+'WSS-31'!N437+'WSS-31'!N483+'WSS-31'!N487+'WSS-31'!N489+'WSS-31'!N494+'WSS-31'!N369+'WSS-31'!N373+'WSS-31'!N375+'WSS-31'!N380</f>
        <v>0</v>
      </c>
      <c r="I30" s="254">
        <f>'WSS-31'!N431+'WSS-31'!N433+'WSS-31'!N438+'WSS-31'!N442+'WSS-31'!N445+'WSS-31'!N488+'WSS-31'!N490+'WSS-31'!N495+'WSS-31'!N499+'WSS-31'!N502+'WSS-31'!N374+'WSS-31'!N376+'WSS-31'!N381+'WSS-31'!N385+'WSS-31'!N388</f>
        <v>5153.0508420637825</v>
      </c>
      <c r="J30" s="254">
        <v>0</v>
      </c>
      <c r="K30" s="249">
        <f>SUM(E30:J30)</f>
        <v>2187227.451302391</v>
      </c>
      <c r="L30" s="250" t="str">
        <f>IF(ABS(K30-D30)&lt;0.01,"ok","err")</f>
        <v>ok</v>
      </c>
      <c r="M30" s="26"/>
      <c r="N30" s="26"/>
    </row>
    <row r="31" spans="1:14" ht="15.75" x14ac:dyDescent="0.25">
      <c r="A31" s="282" t="s">
        <v>1805</v>
      </c>
      <c r="B31" s="244" t="s">
        <v>1841</v>
      </c>
      <c r="C31" s="245"/>
      <c r="D31" s="253">
        <f>'WSS-31'!N738</f>
        <v>1100780.4669023261</v>
      </c>
      <c r="E31" s="253">
        <f>D31</f>
        <v>1100780.4669023261</v>
      </c>
      <c r="F31" s="254"/>
      <c r="G31" s="254"/>
      <c r="H31" s="254"/>
      <c r="I31" s="254"/>
      <c r="J31" s="254"/>
      <c r="K31" s="249">
        <f>SUM(E31:J31)</f>
        <v>1100780.4669023261</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'WSS-31'!N796+'WSS-31'!N797</f>
        <v>45346.023099847182</v>
      </c>
      <c r="E36" s="253">
        <f t="shared" ref="E36:J36" si="9">(E14/($D$14)*$D$36)</f>
        <v>35303.409235439285</v>
      </c>
      <c r="F36" s="254">
        <f t="shared" si="9"/>
        <v>1247.7597856391453</v>
      </c>
      <c r="G36" s="254">
        <f t="shared" si="9"/>
        <v>8675.1158483435574</v>
      </c>
      <c r="H36" s="254">
        <f t="shared" si="9"/>
        <v>0</v>
      </c>
      <c r="I36" s="254">
        <f t="shared" si="9"/>
        <v>118.28964875778298</v>
      </c>
      <c r="J36" s="254">
        <f t="shared" si="9"/>
        <v>1.4485816674119156</v>
      </c>
      <c r="K36" s="249">
        <f t="shared" si="8"/>
        <v>45346.023099847182</v>
      </c>
      <c r="L36" s="250" t="str">
        <f t="shared" si="7"/>
        <v>ok</v>
      </c>
      <c r="M36" s="26"/>
      <c r="N36" s="26"/>
    </row>
    <row r="37" spans="1:14" ht="15.75" x14ac:dyDescent="0.25">
      <c r="A37" s="284" t="s">
        <v>1827</v>
      </c>
      <c r="B37" s="244" t="s">
        <v>2262</v>
      </c>
      <c r="C37" s="300"/>
      <c r="D37" s="253">
        <f>'WSS-31'!N737</f>
        <v>-3386120.19</v>
      </c>
      <c r="E37" s="253">
        <f>D37</f>
        <v>-3386120.19</v>
      </c>
      <c r="F37" s="302">
        <v>0</v>
      </c>
      <c r="G37" s="302">
        <v>0</v>
      </c>
      <c r="H37" s="302">
        <v>0</v>
      </c>
      <c r="I37" s="302">
        <v>0</v>
      </c>
      <c r="J37" s="302">
        <v>0</v>
      </c>
      <c r="K37" s="249">
        <f t="shared" si="8"/>
        <v>-3386120.19</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-3340774.1669001528</v>
      </c>
      <c r="E39" s="253">
        <f t="shared" si="10"/>
        <v>-3350816.7807645607</v>
      </c>
      <c r="F39" s="254">
        <f t="shared" si="10"/>
        <v>1247.7597856391453</v>
      </c>
      <c r="G39" s="254">
        <f t="shared" si="10"/>
        <v>8675.1158483435574</v>
      </c>
      <c r="H39" s="254">
        <f t="shared" si="10"/>
        <v>0</v>
      </c>
      <c r="I39" s="254">
        <f t="shared" si="10"/>
        <v>118.28964875778298</v>
      </c>
      <c r="J39" s="254">
        <f t="shared" si="10"/>
        <v>1.4485816674119156</v>
      </c>
      <c r="K39" s="249">
        <f t="shared" si="8"/>
        <v>-3340774.1669001528</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89904600.49534823</v>
      </c>
      <c r="E41" s="253">
        <f t="shared" ref="E41:J41" si="11">SUM(E28:E31)+E22+E26+E39+E24</f>
        <v>37595167.616345443</v>
      </c>
      <c r="F41" s="254">
        <f t="shared" si="11"/>
        <v>43760322.039339304</v>
      </c>
      <c r="G41" s="254">
        <f t="shared" si="11"/>
        <v>8285854.1526452601</v>
      </c>
      <c r="H41" s="254">
        <f t="shared" si="11"/>
        <v>0</v>
      </c>
      <c r="I41" s="254">
        <f t="shared" si="11"/>
        <v>220999.87042723765</v>
      </c>
      <c r="J41" s="254">
        <f t="shared" si="11"/>
        <v>42256.816590985305</v>
      </c>
      <c r="K41" s="249">
        <f>SUM(E41:J41)</f>
        <v>89904600.495348215</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-'WSS-31'!N659-'WSS-31'!N665</f>
        <v>-83967.295172399274</v>
      </c>
      <c r="E43" s="253">
        <f>D43</f>
        <v>-83967.295172399274</v>
      </c>
      <c r="F43" s="254">
        <v>0</v>
      </c>
      <c r="G43" s="254">
        <v>0</v>
      </c>
      <c r="H43" s="254">
        <v>0</v>
      </c>
      <c r="I43" s="254">
        <v>0</v>
      </c>
      <c r="J43" s="254">
        <v>0</v>
      </c>
      <c r="K43" s="249">
        <f>SUM(E43:J43)</f>
        <v>-83967.295172399274</v>
      </c>
      <c r="L43" s="250" t="str">
        <f>IF(ABS(K43-D43)&lt;0.01,"ok","err")</f>
        <v>ok</v>
      </c>
      <c r="M43" s="26"/>
      <c r="N43" s="26"/>
    </row>
    <row r="44" spans="1:14" ht="15.75" x14ac:dyDescent="0.25">
      <c r="A44" s="282" t="s">
        <v>1831</v>
      </c>
      <c r="B44" s="244" t="s">
        <v>1833</v>
      </c>
      <c r="C44" s="245"/>
      <c r="D44" s="253">
        <f>-'WSS-31'!N652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75" x14ac:dyDescent="0.25">
      <c r="A45" s="282" t="s">
        <v>1835</v>
      </c>
      <c r="B45" s="244" t="s">
        <v>2466</v>
      </c>
      <c r="C45" s="245"/>
      <c r="D45" s="253">
        <f>-'WSS-31'!N658</f>
        <v>-1343579.7704234056</v>
      </c>
      <c r="E45" s="253">
        <v>0</v>
      </c>
      <c r="F45" s="254">
        <v>0</v>
      </c>
      <c r="G45" s="254">
        <f>D45</f>
        <v>-1343579.7704234056</v>
      </c>
      <c r="H45" s="254">
        <v>0</v>
      </c>
      <c r="I45" s="254">
        <v>0</v>
      </c>
      <c r="J45" s="254">
        <v>0</v>
      </c>
      <c r="K45" s="249">
        <f>SUM(E45:J45)</f>
        <v>-1343579.7704234056</v>
      </c>
      <c r="L45" s="250" t="str">
        <f>IF(ABS(K45-D45)&lt;0.01,"ok","err")</f>
        <v>ok</v>
      </c>
      <c r="M45" s="26"/>
      <c r="N45" s="26"/>
    </row>
    <row r="46" spans="1:14" ht="15.75" x14ac:dyDescent="0.25">
      <c r="A46" s="282" t="s">
        <v>1836</v>
      </c>
      <c r="B46" s="244" t="s">
        <v>1834</v>
      </c>
      <c r="C46" s="245"/>
      <c r="D46" s="253">
        <f>-('WSS-31'!N654+'WSS-31'!N655+'WSS-31'!N656+'WSS-31'!N657+'WSS-31'!N660+'WSS-31'!N662+'WSS-31'!N663+'WSS-31'!N664)</f>
        <v>-129272.74237742749</v>
      </c>
      <c r="E46" s="253">
        <f t="shared" ref="E46:J46" si="12">(E14/($D$14)*$D$46)</f>
        <v>-100643.19239393713</v>
      </c>
      <c r="F46" s="254">
        <f t="shared" si="12"/>
        <v>-3557.1218442392355</v>
      </c>
      <c r="G46" s="254">
        <f t="shared" si="12"/>
        <v>-24731.077600519162</v>
      </c>
      <c r="H46" s="254">
        <f t="shared" si="12"/>
        <v>0</v>
      </c>
      <c r="I46" s="254">
        <f t="shared" si="12"/>
        <v>-337.22091253979886</v>
      </c>
      <c r="J46" s="254">
        <f t="shared" si="12"/>
        <v>-4.1296261921728696</v>
      </c>
      <c r="K46" s="249">
        <f>SUM(E46:J46)</f>
        <v>-129272.74237742749</v>
      </c>
      <c r="L46" s="250" t="str">
        <f>IF(ABS(K46-D46)&lt;0.01,"ok","err")</f>
        <v>ok</v>
      </c>
      <c r="M46" s="26"/>
      <c r="N46" s="26"/>
    </row>
    <row r="47" spans="1:14" ht="15.75" x14ac:dyDescent="0.25">
      <c r="A47" s="282" t="s">
        <v>1842</v>
      </c>
      <c r="B47" s="244" t="s">
        <v>1837</v>
      </c>
      <c r="C47" s="245"/>
      <c r="D47" s="253">
        <f>SUM(D43:D46)</f>
        <v>-2247697.9724769341</v>
      </c>
      <c r="E47" s="253">
        <f t="shared" ref="E47:J47" si="13">SUM(E43:E46)</f>
        <v>-184610.48756633641</v>
      </c>
      <c r="F47" s="254">
        <f t="shared" si="13"/>
        <v>-694435.2863479408</v>
      </c>
      <c r="G47" s="254">
        <f t="shared" si="13"/>
        <v>-1368310.8480239247</v>
      </c>
      <c r="H47" s="254">
        <f t="shared" si="13"/>
        <v>0</v>
      </c>
      <c r="I47" s="254">
        <f t="shared" si="13"/>
        <v>-337.22091253979886</v>
      </c>
      <c r="J47" s="254">
        <f t="shared" si="13"/>
        <v>-4.1296261921728696</v>
      </c>
      <c r="K47" s="249">
        <f>SUM(E47:J47)</f>
        <v>-2247697.9724769341</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87656902.522871301</v>
      </c>
      <c r="E49" s="253">
        <f t="shared" ref="E49:J49" si="14">E41+E47</f>
        <v>37410557.128779106</v>
      </c>
      <c r="F49" s="254">
        <f t="shared" si="14"/>
        <v>43065886.752991363</v>
      </c>
      <c r="G49" s="254">
        <f t="shared" si="14"/>
        <v>6917543.3046213351</v>
      </c>
      <c r="H49" s="254">
        <f t="shared" si="14"/>
        <v>0</v>
      </c>
      <c r="I49" s="254">
        <f t="shared" si="14"/>
        <v>220662.64951469784</v>
      </c>
      <c r="J49" s="254">
        <f t="shared" si="14"/>
        <v>42252.686964793131</v>
      </c>
      <c r="K49" s="249">
        <f>SUM(E49:J49)</f>
        <v>87656902.522871301</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2902956</v>
      </c>
      <c r="F51" s="252">
        <f>'Billing Det'!$C$22</f>
        <v>1404629847</v>
      </c>
      <c r="G51" s="252">
        <v>3201300</v>
      </c>
      <c r="H51" s="265">
        <f>G51</f>
        <v>3201300</v>
      </c>
      <c r="I51" s="265">
        <f>'WSS-31'!N830</f>
        <v>240</v>
      </c>
      <c r="J51" s="265">
        <f>I51</f>
        <v>240</v>
      </c>
      <c r="K51" s="234"/>
      <c r="L51" s="257"/>
      <c r="M51" s="26"/>
      <c r="N51" s="26"/>
    </row>
    <row r="52" spans="1:14" ht="16.5" thickBot="1" x14ac:dyDescent="0.3">
      <c r="A52" s="283"/>
      <c r="B52" s="244"/>
      <c r="C52" s="245"/>
      <c r="D52" s="255"/>
      <c r="E52" s="450"/>
      <c r="F52" s="292"/>
      <c r="G52" s="292"/>
      <c r="H52" s="191"/>
      <c r="I52" s="191"/>
      <c r="J52" s="191"/>
      <c r="K52" s="234"/>
      <c r="L52" s="257"/>
      <c r="M52" s="26"/>
      <c r="N52" s="26"/>
    </row>
    <row r="53" spans="1:14" ht="16.5" thickBot="1" x14ac:dyDescent="0.3">
      <c r="A53" s="285" t="s">
        <v>2467</v>
      </c>
      <c r="B53" s="266" t="s">
        <v>1814</v>
      </c>
      <c r="C53" s="267"/>
      <c r="D53" s="268"/>
      <c r="E53" s="445">
        <f t="shared" ref="E53:H53" si="15">E49/E51</f>
        <v>12.887056203669331</v>
      </c>
      <c r="F53" s="270">
        <f t="shared" si="15"/>
        <v>3.0659954182926715E-2</v>
      </c>
      <c r="G53" s="446">
        <f t="shared" si="15"/>
        <v>2.1608544355797128</v>
      </c>
      <c r="H53" s="446">
        <f t="shared" si="15"/>
        <v>0</v>
      </c>
      <c r="I53" s="271">
        <f>I49/I51/30.5</f>
        <v>30.145170698729213</v>
      </c>
      <c r="J53" s="271">
        <f>J49/J51/30.5</f>
        <v>5.7722249951903182</v>
      </c>
      <c r="K53" s="272">
        <f>I53+J53</f>
        <v>35.917395693919531</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35.917395693919531</v>
      </c>
      <c r="L55" s="290"/>
      <c r="M55" s="26"/>
      <c r="N55" s="26"/>
    </row>
    <row r="56" spans="1:14" ht="15.75" x14ac:dyDescent="0.25">
      <c r="A56" s="26"/>
      <c r="B56" s="26"/>
      <c r="C56" s="26"/>
      <c r="D56" s="289"/>
      <c r="E56" s="26"/>
      <c r="F56" s="26"/>
      <c r="G56" s="26"/>
      <c r="H56" s="26"/>
      <c r="I56" s="26"/>
      <c r="J56" s="26" t="s">
        <v>2263</v>
      </c>
      <c r="K56" s="279">
        <f>E53+G53+H53</f>
        <v>15.047910639249045</v>
      </c>
      <c r="L56" s="26"/>
      <c r="M56" s="26"/>
      <c r="N56" s="26"/>
    </row>
    <row r="57" spans="1:14" ht="15.75" x14ac:dyDescent="0.25">
      <c r="A57" s="26"/>
      <c r="B57" s="26"/>
      <c r="C57" s="26"/>
      <c r="D57" s="279"/>
      <c r="E57" s="26"/>
      <c r="F57" s="26"/>
      <c r="G57" s="26"/>
      <c r="H57" s="26"/>
      <c r="I57" s="26"/>
      <c r="J57" s="26" t="s">
        <v>2268</v>
      </c>
      <c r="K57" s="509">
        <f>F53</f>
        <v>3.0659954182926715E-2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2267</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'WSS-31'!O174</f>
        <v>104343933.18818319</v>
      </c>
      <c r="E14" s="247">
        <f>'WSS-31'!O123+'WSS-31'!O124+'WSS-31'!O125</f>
        <v>72715766.043478012</v>
      </c>
      <c r="F14" s="248">
        <f>'WSS-31'!O126</f>
        <v>2677141.4367464744</v>
      </c>
      <c r="G14" s="248">
        <f>'WSS-31'!O135</f>
        <v>28913984.991474099</v>
      </c>
      <c r="H14" s="248">
        <f>'WSS-31'!O145+'WSS-31'!O147+'WSS-31'!O152+'WSS-31'!O141</f>
        <v>0</v>
      </c>
      <c r="I14" s="248">
        <f>'WSS-31'!O146+'WSS-31'!O148+'WSS-31'!O153+'WSS-31'!O157+'WSS-31'!O160+'WSS-31'!O163</f>
        <v>36320.188034255931</v>
      </c>
      <c r="J14" s="248">
        <f>'WSS-31'!O166+'WSS-31'!O169</f>
        <v>720.52845035162136</v>
      </c>
      <c r="K14" s="249">
        <f>SUM(E14:J14)</f>
        <v>104343933.18818319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104343933.18818319</v>
      </c>
      <c r="E16" s="253">
        <f t="shared" ref="E16:K16" si="1">E14+E15</f>
        <v>72715766.043478012</v>
      </c>
      <c r="F16" s="254">
        <f t="shared" si="1"/>
        <v>2677141.4367464744</v>
      </c>
      <c r="G16" s="254">
        <f t="shared" si="1"/>
        <v>28913984.991474099</v>
      </c>
      <c r="H16" s="254">
        <f t="shared" si="1"/>
        <v>0</v>
      </c>
      <c r="I16" s="254">
        <f t="shared" si="1"/>
        <v>36320.188034255931</v>
      </c>
      <c r="J16" s="254">
        <f t="shared" si="1"/>
        <v>720.52845035162136</v>
      </c>
      <c r="K16" s="249">
        <f t="shared" si="1"/>
        <v>104343933.18818319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'WSS-31'!O807</f>
        <v>5.268787537279887E-2</v>
      </c>
      <c r="E18" s="258">
        <f t="shared" ref="E18:J18" si="2">D18</f>
        <v>5.268787537279887E-2</v>
      </c>
      <c r="F18" s="259">
        <f t="shared" si="2"/>
        <v>5.268787537279887E-2</v>
      </c>
      <c r="G18" s="259">
        <f t="shared" si="2"/>
        <v>5.268787537279887E-2</v>
      </c>
      <c r="H18" s="259">
        <f t="shared" si="2"/>
        <v>5.268787537279887E-2</v>
      </c>
      <c r="I18" s="259">
        <f t="shared" si="2"/>
        <v>5.268787537279887E-2</v>
      </c>
      <c r="J18" s="259">
        <f t="shared" si="2"/>
        <v>5.268787537279887E-2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5497660.1477266476</v>
      </c>
      <c r="E20" s="253">
        <f t="shared" ref="E20:J20" si="3">E18*E16</f>
        <v>3831239.2189363693</v>
      </c>
      <c r="F20" s="254">
        <f t="shared" si="3"/>
        <v>141052.89437465396</v>
      </c>
      <c r="G20" s="254">
        <f t="shared" si="3"/>
        <v>1523416.4377617643</v>
      </c>
      <c r="H20" s="254">
        <f t="shared" si="3"/>
        <v>0</v>
      </c>
      <c r="I20" s="254">
        <f t="shared" si="3"/>
        <v>1913.6335406654973</v>
      </c>
      <c r="J20" s="254">
        <f t="shared" si="3"/>
        <v>37.963113194682123</v>
      </c>
      <c r="K20" s="249">
        <f>SUM(E20:J20)</f>
        <v>5497660.1477266476</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'WSS-31'!O708</f>
        <v>2202117.6766835209</v>
      </c>
      <c r="E22" s="253">
        <f t="shared" ref="E22:J22" si="4">(E14/$D$14)*$D$22</f>
        <v>1534623.7091631948</v>
      </c>
      <c r="F22" s="254">
        <f t="shared" si="4"/>
        <v>56499.504098710488</v>
      </c>
      <c r="G22" s="254">
        <f t="shared" si="4"/>
        <v>610212.74076620594</v>
      </c>
      <c r="H22" s="254">
        <f t="shared" si="4"/>
        <v>0</v>
      </c>
      <c r="I22" s="254">
        <f t="shared" si="4"/>
        <v>766.5163239194635</v>
      </c>
      <c r="J22" s="254">
        <f t="shared" si="4"/>
        <v>15.206331490409836</v>
      </c>
      <c r="K22" s="249">
        <f>SUM(E22:J22)</f>
        <v>2202117.6766835209</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3295542.4710431267</v>
      </c>
      <c r="E24" s="253">
        <f t="shared" ref="E24:J24" si="5">E20-E22</f>
        <v>2296615.5097731743</v>
      </c>
      <c r="F24" s="254">
        <f t="shared" si="5"/>
        <v>84553.390275943471</v>
      </c>
      <c r="G24" s="254">
        <f t="shared" si="5"/>
        <v>913203.69699555833</v>
      </c>
      <c r="H24" s="254">
        <f t="shared" si="5"/>
        <v>0</v>
      </c>
      <c r="I24" s="254">
        <f t="shared" si="5"/>
        <v>1147.1172167460338</v>
      </c>
      <c r="J24" s="254">
        <f t="shared" si="5"/>
        <v>22.756781704272285</v>
      </c>
      <c r="K24" s="249">
        <f>SUM(E24:J24)</f>
        <v>3295542.4710431262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'WSS-31'!O680+'WSS-31'!O799</f>
        <v>-1349159.2744713752</v>
      </c>
      <c r="E26" s="253">
        <f t="shared" ref="E26:J26" si="6">$D$26*(E24/$K$24)</f>
        <v>-940209.4320224392</v>
      </c>
      <c r="F26" s="254">
        <f t="shared" si="6"/>
        <v>-34615.239124100517</v>
      </c>
      <c r="G26" s="254">
        <f t="shared" si="6"/>
        <v>-373855.66962307313</v>
      </c>
      <c r="H26" s="254">
        <f t="shared" si="6"/>
        <v>0</v>
      </c>
      <c r="I26" s="254">
        <f t="shared" si="6"/>
        <v>-469.61732263424062</v>
      </c>
      <c r="J26" s="254">
        <f t="shared" si="6"/>
        <v>-9.3163791282353898</v>
      </c>
      <c r="K26" s="249">
        <f>SUM(E26:J26)</f>
        <v>-1349159.2744713754</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'WSS-31'!O730</f>
        <v>23902778.241301723</v>
      </c>
      <c r="E28" s="253">
        <f>'WSS-31'!O180+'WSS-31'!O181+'WSS-31'!O182</f>
        <v>3256033.6595753268</v>
      </c>
      <c r="F28" s="254">
        <f>'WSS-31'!O183</f>
        <v>18675563.90360396</v>
      </c>
      <c r="G28" s="254">
        <f>'WSS-31'!O192</f>
        <v>1957698.1036466728</v>
      </c>
      <c r="H28" s="254">
        <f>'WSS-31'!O198+'WSS-31'!O202+'WSS-31'!O204+'WSS-31'!O209</f>
        <v>0</v>
      </c>
      <c r="I28" s="254">
        <f>'WSS-31'!O203+'WSS-31'!O205+'WSS-31'!O210+'WSS-31'!O214+'WSS-31'!O217</f>
        <v>9323.8513314205538</v>
      </c>
      <c r="J28" s="254">
        <f>'WSS-31'!O223+'WSS-31'!O226</f>
        <v>4158.7231443401788</v>
      </c>
      <c r="K28" s="249">
        <f>SUM(E28:J28)</f>
        <v>23902778.241301723</v>
      </c>
      <c r="L28" s="250" t="str">
        <f>IF(ABS(K28-D28)&lt;0.01,"ok","err")</f>
        <v>ok</v>
      </c>
      <c r="M28" s="26"/>
      <c r="N28" s="26"/>
    </row>
    <row r="29" spans="1:14" ht="15.75" x14ac:dyDescent="0.25">
      <c r="A29" s="282" t="s">
        <v>1803</v>
      </c>
      <c r="B29" s="244" t="s">
        <v>813</v>
      </c>
      <c r="C29" s="245"/>
      <c r="D29" s="253">
        <f>'WSS-31'!O731</f>
        <v>8245657.7878760733</v>
      </c>
      <c r="E29" s="253">
        <f>'WSS-31'!O300</f>
        <v>7055388.3599332664</v>
      </c>
      <c r="F29" s="254">
        <v>0</v>
      </c>
      <c r="G29" s="254">
        <f>'WSS-31'!O306</f>
        <v>1188990.0277144604</v>
      </c>
      <c r="H29" s="254">
        <f>'WSS-31'!O312+'WSS-31'!O316+'WSS-31'!O318+'WSS-31'!O323</f>
        <v>0</v>
      </c>
      <c r="I29" s="254">
        <f>'WSS-31'!O317+'WSS-31'!O319+'WSS-31'!O324+'WSS-31'!O328+'WSS-31'!O331</f>
        <v>1279.4002283467983</v>
      </c>
      <c r="J29" s="254">
        <v>0</v>
      </c>
      <c r="K29" s="249">
        <f>SUM(E29:J29)</f>
        <v>8245657.7878760733</v>
      </c>
      <c r="L29" s="250" t="str">
        <f>IF(ABS(K29-D29)&lt;0.01,"ok","err")</f>
        <v>ok</v>
      </c>
      <c r="M29" s="26"/>
      <c r="N29" s="26"/>
    </row>
    <row r="30" spans="1:14" ht="15.75" x14ac:dyDescent="0.25">
      <c r="A30" s="282" t="s">
        <v>1804</v>
      </c>
      <c r="B30" s="244" t="s">
        <v>408</v>
      </c>
      <c r="C30" s="245"/>
      <c r="D30" s="253">
        <f>'WSS-31'!O733+'WSS-31'!O734</f>
        <v>995372.66404986137</v>
      </c>
      <c r="E30" s="253">
        <f>'WSS-31'!O414+'WSS-31'!O471+'WSS-31'!O357</f>
        <v>755637.22560453101</v>
      </c>
      <c r="F30" s="254">
        <f>'WSS-31'!O529</f>
        <v>0</v>
      </c>
      <c r="G30" s="254">
        <f>'WSS-31'!O420+'WSS-31'!O477+'WSS-31'!O363</f>
        <v>239417.34287281788</v>
      </c>
      <c r="H30" s="254">
        <f>'WSS-31'!O426+'WSS-31'!O430+'WSS-31'!O432+'WSS-31'!O437+'WSS-31'!O483+'WSS-31'!O487+'WSS-31'!O489+'WSS-31'!O494+'WSS-31'!O369+'WSS-31'!O373+'WSS-31'!O375+'WSS-31'!O380</f>
        <v>0</v>
      </c>
      <c r="I30" s="254">
        <f>'WSS-31'!O431+'WSS-31'!O433+'WSS-31'!O438+'WSS-31'!O442+'WSS-31'!O445+'WSS-31'!O488+'WSS-31'!O490+'WSS-31'!O495+'WSS-31'!O499+'WSS-31'!O502+'WSS-31'!O374+'WSS-31'!O376+'WSS-31'!O381+'WSS-31'!O385+'WSS-31'!O388</f>
        <v>318.09557251240471</v>
      </c>
      <c r="J30" s="254">
        <v>0</v>
      </c>
      <c r="K30" s="249">
        <f>SUM(E30:J30)</f>
        <v>995372.66404986125</v>
      </c>
      <c r="L30" s="250" t="str">
        <f>IF(ABS(K30-D30)&lt;0.01,"ok","err")</f>
        <v>ok</v>
      </c>
      <c r="M30" s="26"/>
      <c r="N30" s="26"/>
    </row>
    <row r="31" spans="1:14" ht="15.75" x14ac:dyDescent="0.25">
      <c r="A31" s="282" t="s">
        <v>1805</v>
      </c>
      <c r="B31" s="244" t="s">
        <v>1841</v>
      </c>
      <c r="C31" s="245"/>
      <c r="D31" s="253">
        <f>'WSS-31'!O738</f>
        <v>455831.67678862234</v>
      </c>
      <c r="E31" s="253">
        <f>D31</f>
        <v>455831.67678862234</v>
      </c>
      <c r="F31" s="254"/>
      <c r="G31" s="254"/>
      <c r="H31" s="254"/>
      <c r="I31" s="254"/>
      <c r="J31" s="254"/>
      <c r="K31" s="249">
        <f>SUM(E31:J31)</f>
        <v>455831.67678862234</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'WSS-31'!O796+'WSS-31'!O797</f>
        <v>18133.06765699236</v>
      </c>
      <c r="E36" s="253">
        <f t="shared" ref="E36:J36" si="9">(E14/($D$14)*$D$36)</f>
        <v>12636.670528974651</v>
      </c>
      <c r="F36" s="254">
        <f t="shared" si="9"/>
        <v>465.23823011647011</v>
      </c>
      <c r="G36" s="254">
        <f t="shared" si="9"/>
        <v>5024.7218986665312</v>
      </c>
      <c r="H36" s="254">
        <f t="shared" si="9"/>
        <v>0</v>
      </c>
      <c r="I36" s="254">
        <f t="shared" si="9"/>
        <v>6.3117845649164419</v>
      </c>
      <c r="J36" s="254">
        <f t="shared" si="9"/>
        <v>0.12521466979254572</v>
      </c>
      <c r="K36" s="249">
        <f t="shared" si="8"/>
        <v>18133.067656992363</v>
      </c>
      <c r="L36" s="250" t="str">
        <f t="shared" si="7"/>
        <v>ok</v>
      </c>
      <c r="M36" s="26"/>
      <c r="N36" s="26"/>
    </row>
    <row r="37" spans="1:14" ht="15.75" x14ac:dyDescent="0.25">
      <c r="A37" s="284" t="s">
        <v>1827</v>
      </c>
      <c r="B37" s="244" t="s">
        <v>2262</v>
      </c>
      <c r="C37" s="300"/>
      <c r="D37" s="253">
        <f>'WSS-31'!O737</f>
        <v>-14215493.866000002</v>
      </c>
      <c r="E37" s="253">
        <f>D37</f>
        <v>-14215493.866000002</v>
      </c>
      <c r="F37" s="302">
        <v>0</v>
      </c>
      <c r="G37" s="302">
        <v>0</v>
      </c>
      <c r="H37" s="302">
        <v>0</v>
      </c>
      <c r="I37" s="302">
        <v>0</v>
      </c>
      <c r="J37" s="302">
        <v>0</v>
      </c>
      <c r="K37" s="249">
        <f t="shared" si="8"/>
        <v>-14215493.866000002</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-14197360.79834301</v>
      </c>
      <c r="E39" s="253">
        <f t="shared" si="10"/>
        <v>-14202857.195471028</v>
      </c>
      <c r="F39" s="254">
        <f t="shared" si="10"/>
        <v>465.23823011647011</v>
      </c>
      <c r="G39" s="254">
        <f t="shared" si="10"/>
        <v>5024.7218986665312</v>
      </c>
      <c r="H39" s="254">
        <f t="shared" si="10"/>
        <v>0</v>
      </c>
      <c r="I39" s="254">
        <f t="shared" si="10"/>
        <v>6.3117845649164419</v>
      </c>
      <c r="J39" s="254">
        <f t="shared" si="10"/>
        <v>0.12521466979254572</v>
      </c>
      <c r="K39" s="249">
        <f t="shared" si="8"/>
        <v>-14197360.79834301</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23550780.444928542</v>
      </c>
      <c r="E41" s="253">
        <f t="shared" ref="E41:J41" si="11">SUM(E28:E31)+E22+E26+E39+E24</f>
        <v>211063.51334464736</v>
      </c>
      <c r="F41" s="254">
        <f t="shared" si="11"/>
        <v>18782466.79708463</v>
      </c>
      <c r="G41" s="254">
        <f t="shared" si="11"/>
        <v>4540690.9642713089</v>
      </c>
      <c r="H41" s="254">
        <f t="shared" si="11"/>
        <v>0</v>
      </c>
      <c r="I41" s="254">
        <f t="shared" si="11"/>
        <v>12371.675134875928</v>
      </c>
      <c r="J41" s="254">
        <f t="shared" si="11"/>
        <v>4187.4950930764189</v>
      </c>
      <c r="K41" s="249">
        <f>SUM(E41:J41)</f>
        <v>23550780.444928534</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-'WSS-31'!O659-'WSS-31'!O665</f>
        <v>-34770.741400915635</v>
      </c>
      <c r="E43" s="253">
        <f>D43</f>
        <v>-34770.741400915635</v>
      </c>
      <c r="F43" s="254">
        <v>0</v>
      </c>
      <c r="G43" s="254">
        <v>0</v>
      </c>
      <c r="H43" s="254">
        <v>0</v>
      </c>
      <c r="I43" s="254">
        <v>0</v>
      </c>
      <c r="J43" s="254">
        <v>0</v>
      </c>
      <c r="K43" s="249">
        <f>SUM(E43:J43)</f>
        <v>-34770.741400915635</v>
      </c>
      <c r="L43" s="250" t="str">
        <f>IF(ABS(K43-D43)&lt;0.01,"ok","err")</f>
        <v>ok</v>
      </c>
      <c r="M43" s="26"/>
      <c r="N43" s="26"/>
    </row>
    <row r="44" spans="1:14" ht="15.75" x14ac:dyDescent="0.25">
      <c r="A44" s="282" t="s">
        <v>1831</v>
      </c>
      <c r="B44" s="244" t="s">
        <v>1833</v>
      </c>
      <c r="C44" s="245"/>
      <c r="D44" s="253">
        <f>-'WSS-31'!O652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75" x14ac:dyDescent="0.25">
      <c r="A45" s="282" t="s">
        <v>1835</v>
      </c>
      <c r="B45" s="244" t="s">
        <v>2466</v>
      </c>
      <c r="C45" s="245"/>
      <c r="D45" s="253">
        <f>-'WSS-31'!O658</f>
        <v>-900301.50326903234</v>
      </c>
      <c r="E45" s="253">
        <v>0</v>
      </c>
      <c r="F45" s="254">
        <v>0</v>
      </c>
      <c r="G45" s="254">
        <f>D45</f>
        <v>-900301.50326903234</v>
      </c>
      <c r="H45" s="254">
        <v>0</v>
      </c>
      <c r="I45" s="254">
        <v>0</v>
      </c>
      <c r="J45" s="254">
        <v>0</v>
      </c>
      <c r="K45" s="249">
        <f>SUM(E45:J45)</f>
        <v>-900301.50326903234</v>
      </c>
      <c r="L45" s="250" t="str">
        <f>IF(ABS(K45-D45)&lt;0.01,"ok","err")</f>
        <v>ok</v>
      </c>
      <c r="M45" s="26"/>
      <c r="N45" s="26"/>
    </row>
    <row r="46" spans="1:14" ht="15.75" x14ac:dyDescent="0.25">
      <c r="A46" s="282" t="s">
        <v>1836</v>
      </c>
      <c r="B46" s="244" t="s">
        <v>1834</v>
      </c>
      <c r="C46" s="245"/>
      <c r="D46" s="253">
        <f>-('WSS-31'!O654+'WSS-31'!O655+'WSS-31'!O656+'WSS-31'!O657+'WSS-31'!O660+'WSS-31'!O662+'WSS-31'!O663+'WSS-31'!O664)</f>
        <v>-59172.94253575871</v>
      </c>
      <c r="E46" s="253">
        <f t="shared" ref="E46:J46" si="12">(E14/($D$14)*$D$46)</f>
        <v>-41236.761104014869</v>
      </c>
      <c r="F46" s="254">
        <f t="shared" si="12"/>
        <v>-1518.1940296519113</v>
      </c>
      <c r="G46" s="254">
        <f t="shared" si="12"/>
        <v>-16396.981789968089</v>
      </c>
      <c r="H46" s="254">
        <f t="shared" si="12"/>
        <v>0</v>
      </c>
      <c r="I46" s="254">
        <f t="shared" si="12"/>
        <v>-20.597003905947915</v>
      </c>
      <c r="J46" s="254">
        <f t="shared" si="12"/>
        <v>-0.40860821789363222</v>
      </c>
      <c r="K46" s="249">
        <f>SUM(E46:J46)</f>
        <v>-59172.94253575871</v>
      </c>
      <c r="L46" s="250" t="str">
        <f>IF(ABS(K46-D46)&lt;0.01,"ok","err")</f>
        <v>ok</v>
      </c>
      <c r="M46" s="26"/>
      <c r="N46" s="26"/>
    </row>
    <row r="47" spans="1:14" ht="15.75" x14ac:dyDescent="0.25">
      <c r="A47" s="282" t="s">
        <v>1842</v>
      </c>
      <c r="B47" s="244" t="s">
        <v>1837</v>
      </c>
      <c r="C47" s="245"/>
      <c r="D47" s="253">
        <f>SUM(D43:D46)</f>
        <v>-1292257.1166765492</v>
      </c>
      <c r="E47" s="253">
        <f t="shared" ref="E47:J47" si="13">SUM(E43:E46)</f>
        <v>-76007.502504930511</v>
      </c>
      <c r="F47" s="254">
        <f t="shared" si="13"/>
        <v>-299530.12350049452</v>
      </c>
      <c r="G47" s="254">
        <f t="shared" si="13"/>
        <v>-916698.48505900044</v>
      </c>
      <c r="H47" s="254">
        <f t="shared" si="13"/>
        <v>0</v>
      </c>
      <c r="I47" s="254">
        <f t="shared" si="13"/>
        <v>-20.597003905947915</v>
      </c>
      <c r="J47" s="254">
        <f t="shared" si="13"/>
        <v>-0.40860821789363222</v>
      </c>
      <c r="K47" s="249">
        <f>SUM(E47:J47)</f>
        <v>-1292257.1166765494</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22258523.328251991</v>
      </c>
      <c r="E49" s="253">
        <f t="shared" ref="E49:J49" si="14">E41+E47</f>
        <v>135056.01083971685</v>
      </c>
      <c r="F49" s="254">
        <f t="shared" si="14"/>
        <v>18482936.673584133</v>
      </c>
      <c r="G49" s="254">
        <f t="shared" si="14"/>
        <v>3623992.4792123083</v>
      </c>
      <c r="H49" s="254">
        <f t="shared" si="14"/>
        <v>0</v>
      </c>
      <c r="I49" s="254">
        <f t="shared" si="14"/>
        <v>12351.07813096998</v>
      </c>
      <c r="J49" s="254">
        <f t="shared" si="14"/>
        <v>4187.0864848585252</v>
      </c>
      <c r="K49" s="249">
        <f>SUM(E49:J49)</f>
        <v>22258523.328251984</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1647006</v>
      </c>
      <c r="F51" s="252">
        <f>'Billing Det'!$C$24</f>
        <v>605890405</v>
      </c>
      <c r="G51" s="252">
        <v>2437966</v>
      </c>
      <c r="H51" s="265">
        <f>G51</f>
        <v>2437966</v>
      </c>
      <c r="I51" s="265">
        <f>'WSS-31'!O830</f>
        <v>12</v>
      </c>
      <c r="J51" s="265">
        <f>I51</f>
        <v>12</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449">
        <f t="shared" ref="E53:H53" si="15">E49/E51</f>
        <v>8.2000922182260932E-2</v>
      </c>
      <c r="F53" s="270">
        <f t="shared" si="15"/>
        <v>3.0505412399762517E-2</v>
      </c>
      <c r="G53" s="446">
        <f t="shared" si="15"/>
        <v>1.4864819604589681</v>
      </c>
      <c r="H53" s="270">
        <f t="shared" si="15"/>
        <v>0</v>
      </c>
      <c r="I53" s="271">
        <f>I49/I51/30.5</f>
        <v>33.746115111939829</v>
      </c>
      <c r="J53" s="271">
        <f>J49/J51/30.5</f>
        <v>11.440127007810178</v>
      </c>
      <c r="K53" s="272">
        <f>I53+J53</f>
        <v>45.186242119750005</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45.186242119750005</v>
      </c>
      <c r="L55" s="290"/>
      <c r="M55" s="26"/>
      <c r="N55" s="26"/>
    </row>
    <row r="56" spans="1:14" ht="15.75" x14ac:dyDescent="0.25">
      <c r="A56" s="26"/>
      <c r="B56" s="26"/>
      <c r="C56" s="26"/>
      <c r="D56" s="289"/>
      <c r="E56" s="26"/>
      <c r="F56" s="26"/>
      <c r="G56" s="26"/>
      <c r="H56" s="26"/>
      <c r="I56" s="26"/>
      <c r="J56" s="26" t="s">
        <v>2263</v>
      </c>
      <c r="K56" s="279">
        <f>E53+G53+H53</f>
        <v>1.5684828826412289</v>
      </c>
      <c r="L56" s="26"/>
      <c r="M56" s="26"/>
      <c r="N56" s="26"/>
    </row>
    <row r="57" spans="1:14" ht="15.75" x14ac:dyDescent="0.25">
      <c r="A57" s="26"/>
      <c r="B57" s="26"/>
      <c r="C57" s="26"/>
      <c r="D57" s="279"/>
      <c r="E57" s="26"/>
      <c r="F57" s="26"/>
      <c r="G57" s="26"/>
      <c r="H57" s="26"/>
      <c r="I57" s="26"/>
      <c r="J57" s="26" t="s">
        <v>2268</v>
      </c>
      <c r="K57" s="509">
        <f>F53</f>
        <v>3.0505412399762517E-2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6"/>
  <sheetViews>
    <sheetView topLeftCell="A7" zoomScale="75" zoomScaleNormal="75" workbookViewId="0">
      <selection activeCell="F53" sqref="F53"/>
    </sheetView>
  </sheetViews>
  <sheetFormatPr defaultRowHeight="15" x14ac:dyDescent="0.25"/>
  <cols>
    <col min="1" max="1" width="48.42578125" bestFit="1" customWidth="1"/>
    <col min="2" max="2" width="2.5703125" customWidth="1"/>
    <col min="3" max="4" width="19.5703125" customWidth="1"/>
    <col min="5" max="5" width="15.5703125" style="40" bestFit="1" customWidth="1"/>
    <col min="6" max="6" width="15.5703125" style="40" customWidth="1"/>
    <col min="7" max="7" width="15.5703125" style="117" bestFit="1" customWidth="1"/>
    <col min="8" max="8" width="12" customWidth="1"/>
    <col min="9" max="10" width="16" bestFit="1" customWidth="1"/>
    <col min="11" max="12" width="16" customWidth="1"/>
    <col min="13" max="13" width="12.5703125" customWidth="1"/>
    <col min="14" max="14" width="20.28515625" customWidth="1"/>
    <col min="15" max="15" width="11.85546875" customWidth="1"/>
    <col min="16" max="16" width="15.5703125" customWidth="1"/>
    <col min="17" max="17" width="13" customWidth="1"/>
    <col min="18" max="18" width="2.5703125" customWidth="1"/>
    <col min="19" max="19" width="12.5703125" customWidth="1"/>
    <col min="20" max="20" width="13.5703125" customWidth="1"/>
  </cols>
  <sheetData>
    <row r="1" spans="1:21" ht="18.75" x14ac:dyDescent="0.3">
      <c r="A1" s="4" t="s">
        <v>1361</v>
      </c>
    </row>
    <row r="2" spans="1:21" ht="15.75" x14ac:dyDescent="0.25">
      <c r="A2" s="26" t="s">
        <v>896</v>
      </c>
    </row>
    <row r="3" spans="1:21" ht="15.75" x14ac:dyDescent="0.25">
      <c r="A3" s="26" t="s">
        <v>2094</v>
      </c>
    </row>
    <row r="4" spans="1:21" ht="15.75" x14ac:dyDescent="0.25">
      <c r="A4" s="33"/>
    </row>
    <row r="5" spans="1:21" x14ac:dyDescent="0.25">
      <c r="C5" s="62" t="s">
        <v>2484</v>
      </c>
      <c r="D5" s="62" t="s">
        <v>2485</v>
      </c>
      <c r="E5" s="62" t="s">
        <v>2486</v>
      </c>
      <c r="F5" s="62" t="s">
        <v>2487</v>
      </c>
      <c r="G5" s="45"/>
    </row>
    <row r="6" spans="1:21" x14ac:dyDescent="0.25">
      <c r="C6" s="62" t="s">
        <v>2091</v>
      </c>
      <c r="D6" s="62" t="s">
        <v>2091</v>
      </c>
      <c r="E6" s="62" t="s">
        <v>2170</v>
      </c>
      <c r="F6" s="62" t="s">
        <v>2170</v>
      </c>
      <c r="G6" s="62" t="s">
        <v>62</v>
      </c>
      <c r="H6" s="116"/>
    </row>
    <row r="7" spans="1:21" x14ac:dyDescent="0.25">
      <c r="C7" s="46" t="s">
        <v>2092</v>
      </c>
      <c r="D7" s="62" t="s">
        <v>2092</v>
      </c>
      <c r="E7" s="62" t="s">
        <v>818</v>
      </c>
      <c r="F7" s="62" t="s">
        <v>818</v>
      </c>
      <c r="G7" s="62" t="s">
        <v>2091</v>
      </c>
      <c r="H7" s="61" t="s">
        <v>98</v>
      </c>
      <c r="I7" s="111"/>
      <c r="J7" s="111"/>
      <c r="K7" s="111"/>
      <c r="L7" s="42"/>
      <c r="M7" s="25"/>
      <c r="N7" s="118"/>
      <c r="O7" s="119"/>
      <c r="P7" s="119"/>
      <c r="Q7" s="119"/>
      <c r="R7" s="119"/>
      <c r="S7" s="119"/>
      <c r="T7" s="119"/>
      <c r="U7" s="45"/>
    </row>
    <row r="8" spans="1:21" ht="15.75" thickBot="1" x14ac:dyDescent="0.3">
      <c r="A8" s="19" t="s">
        <v>1363</v>
      </c>
      <c r="B8" s="19"/>
      <c r="C8" s="47" t="s">
        <v>507</v>
      </c>
      <c r="D8" s="47" t="s">
        <v>507</v>
      </c>
      <c r="E8" s="47" t="s">
        <v>506</v>
      </c>
      <c r="F8" s="47" t="s">
        <v>506</v>
      </c>
      <c r="G8" s="47" t="s">
        <v>507</v>
      </c>
      <c r="H8" s="73" t="s">
        <v>2093</v>
      </c>
      <c r="I8" s="111"/>
      <c r="J8" s="111"/>
      <c r="K8" s="111"/>
      <c r="L8" s="42"/>
      <c r="M8" s="25"/>
      <c r="N8" s="119"/>
      <c r="O8" s="119"/>
      <c r="P8" s="525"/>
      <c r="Q8" s="525"/>
      <c r="R8" s="119"/>
      <c r="S8" s="120"/>
      <c r="T8" s="119"/>
      <c r="U8" s="45"/>
    </row>
    <row r="9" spans="1:21" x14ac:dyDescent="0.25">
      <c r="I9" s="25"/>
      <c r="J9" s="25"/>
      <c r="K9" s="25"/>
      <c r="L9" s="25"/>
      <c r="M9" s="25"/>
      <c r="N9" s="119"/>
      <c r="O9" s="119"/>
      <c r="P9" s="52"/>
      <c r="Q9" s="52"/>
      <c r="R9" s="118"/>
      <c r="S9" s="52"/>
      <c r="T9" s="118"/>
      <c r="U9" s="45"/>
    </row>
    <row r="10" spans="1:21" x14ac:dyDescent="0.25">
      <c r="A10" s="7" t="s">
        <v>1483</v>
      </c>
      <c r="C10" s="133">
        <v>67.1884163</v>
      </c>
      <c r="D10" s="133">
        <v>146.1884163</v>
      </c>
      <c r="E10" s="134">
        <f>'Billing Det'!B8</f>
        <v>442342.08493150683</v>
      </c>
      <c r="F10" s="134"/>
      <c r="G10" s="133">
        <f>C10*E10</f>
        <v>29720264.149388038</v>
      </c>
      <c r="H10" s="54">
        <f>G10/$G$45</f>
        <v>0.6041348719835814</v>
      </c>
      <c r="I10" s="25"/>
      <c r="J10" s="25"/>
      <c r="K10" s="25"/>
      <c r="L10" s="113"/>
      <c r="M10" s="129"/>
      <c r="N10" s="119"/>
      <c r="O10" s="119"/>
      <c r="P10" s="52"/>
      <c r="Q10" s="52"/>
      <c r="R10" s="118"/>
      <c r="S10" s="121"/>
      <c r="T10" s="52"/>
      <c r="U10" s="45"/>
    </row>
    <row r="11" spans="1:21" x14ac:dyDescent="0.25">
      <c r="C11" s="133"/>
      <c r="D11" s="133"/>
      <c r="E11" s="134"/>
      <c r="F11" s="134"/>
      <c r="G11" s="133"/>
      <c r="H11" s="134"/>
      <c r="I11" s="25"/>
      <c r="J11" s="25"/>
      <c r="K11" s="25"/>
      <c r="L11" s="25"/>
      <c r="M11" s="25"/>
      <c r="N11" s="122"/>
      <c r="O11" s="119"/>
      <c r="P11" s="74"/>
      <c r="Q11" s="123"/>
      <c r="R11" s="119"/>
      <c r="S11" s="124"/>
      <c r="T11" s="125"/>
      <c r="U11" s="45"/>
    </row>
    <row r="12" spans="1:21" x14ac:dyDescent="0.25">
      <c r="A12" s="7" t="s">
        <v>2165</v>
      </c>
      <c r="C12" s="133">
        <v>76.72156767794101</v>
      </c>
      <c r="D12" s="133">
        <v>154.94281406695487</v>
      </c>
      <c r="E12" s="134">
        <f>23120463/365</f>
        <v>63343.734246575339</v>
      </c>
      <c r="F12" s="134"/>
      <c r="G12" s="133">
        <f>C12*E12</f>
        <v>4859830.59397214</v>
      </c>
      <c r="H12" s="54">
        <f>G12/$G$45</f>
        <v>9.8787585433075809E-2</v>
      </c>
      <c r="I12" s="25"/>
      <c r="J12" s="25"/>
      <c r="K12" s="25"/>
      <c r="L12" s="25"/>
      <c r="M12" s="25"/>
      <c r="N12" s="122"/>
      <c r="O12" s="119"/>
      <c r="P12" s="74"/>
      <c r="Q12" s="123"/>
      <c r="R12" s="119"/>
      <c r="S12" s="124"/>
      <c r="T12" s="125"/>
      <c r="U12" s="45"/>
    </row>
    <row r="13" spans="1:21" x14ac:dyDescent="0.25">
      <c r="A13" s="7"/>
      <c r="C13" s="133"/>
      <c r="D13" s="133"/>
      <c r="E13" s="134"/>
      <c r="F13" s="134"/>
      <c r="G13" s="133"/>
      <c r="H13" s="134"/>
      <c r="I13" s="25"/>
      <c r="J13" s="25"/>
      <c r="K13" s="25"/>
      <c r="L13" s="25"/>
      <c r="M13" s="25"/>
      <c r="N13" s="122"/>
      <c r="O13" s="119"/>
      <c r="P13" s="74"/>
      <c r="Q13" s="123"/>
      <c r="R13" s="119"/>
      <c r="S13" s="124"/>
      <c r="T13" s="125"/>
      <c r="U13" s="45"/>
    </row>
    <row r="14" spans="1:21" x14ac:dyDescent="0.25">
      <c r="A14" s="7" t="s">
        <v>2166</v>
      </c>
      <c r="C14" s="133">
        <v>366.92072264277101</v>
      </c>
      <c r="D14" s="133">
        <v>413.95382326279741</v>
      </c>
      <c r="E14" s="134">
        <f>7095842/365</f>
        <v>19440.663013698631</v>
      </c>
      <c r="F14" s="134"/>
      <c r="G14" s="133">
        <f>C14*E14</f>
        <v>7133182.1216408927</v>
      </c>
      <c r="H14" s="54">
        <f>G14/$G$45</f>
        <v>0.14499884813378505</v>
      </c>
      <c r="I14" s="25"/>
      <c r="J14" s="25"/>
      <c r="K14" s="25"/>
      <c r="L14" s="113"/>
      <c r="M14" s="129"/>
      <c r="N14" s="122"/>
      <c r="O14" s="119"/>
      <c r="P14" s="74"/>
      <c r="Q14" s="123"/>
      <c r="R14" s="119"/>
      <c r="S14" s="124"/>
      <c r="T14" s="125"/>
      <c r="U14" s="45"/>
    </row>
    <row r="15" spans="1:21" x14ac:dyDescent="0.25">
      <c r="C15" s="133"/>
      <c r="D15" s="133"/>
      <c r="E15" s="134"/>
      <c r="F15" s="134"/>
      <c r="G15" s="133"/>
      <c r="H15" s="134"/>
      <c r="I15" s="25"/>
      <c r="J15" s="25"/>
      <c r="K15" s="25"/>
      <c r="L15" s="25"/>
      <c r="M15" s="25"/>
      <c r="N15" s="122"/>
      <c r="O15" s="119"/>
      <c r="P15" s="74"/>
      <c r="Q15" s="123"/>
      <c r="R15" s="119"/>
      <c r="S15" s="124"/>
      <c r="T15" s="125"/>
      <c r="U15" s="45"/>
    </row>
    <row r="16" spans="1:21" x14ac:dyDescent="0.25">
      <c r="A16" s="7" t="s">
        <v>2167</v>
      </c>
      <c r="C16" s="133">
        <v>165.57581329091394</v>
      </c>
      <c r="D16" s="133">
        <v>233.49686592249287</v>
      </c>
      <c r="E16" s="134">
        <f>68064/365</f>
        <v>186.47671232876712</v>
      </c>
      <c r="F16" s="134"/>
      <c r="G16" s="133">
        <f>C16*E16</f>
        <v>30876.033303651417</v>
      </c>
      <c r="H16" s="54">
        <f>G16/$G$45</f>
        <v>6.2762862178821952E-4</v>
      </c>
      <c r="I16" s="25"/>
      <c r="J16" s="25"/>
      <c r="K16" s="25"/>
      <c r="L16" s="113"/>
      <c r="M16" s="129"/>
      <c r="N16" s="122"/>
      <c r="O16" s="119"/>
      <c r="P16" s="74"/>
      <c r="Q16" s="123"/>
      <c r="R16" s="119"/>
      <c r="S16" s="124"/>
      <c r="T16" s="125"/>
      <c r="U16" s="45"/>
    </row>
    <row r="17" spans="1:21" x14ac:dyDescent="0.25">
      <c r="A17" s="7"/>
      <c r="C17" s="117"/>
      <c r="D17" s="117"/>
      <c r="E17" s="134"/>
      <c r="F17" s="134"/>
      <c r="G17" s="133"/>
      <c r="H17" s="134"/>
      <c r="I17" s="25"/>
      <c r="J17" s="25"/>
      <c r="K17" s="25"/>
      <c r="L17" s="25"/>
      <c r="M17" s="25"/>
      <c r="N17" s="122"/>
      <c r="O17" s="119"/>
      <c r="P17" s="74"/>
      <c r="Q17" s="123"/>
      <c r="R17" s="119"/>
      <c r="S17" s="124"/>
      <c r="T17" s="125"/>
      <c r="U17" s="45"/>
    </row>
    <row r="18" spans="1:21" x14ac:dyDescent="0.25">
      <c r="A18" s="7" t="s">
        <v>2168</v>
      </c>
      <c r="C18" s="280">
        <v>901.37265127904539</v>
      </c>
      <c r="D18" s="280">
        <v>948.37265127904539</v>
      </c>
      <c r="E18" s="134">
        <f>86627/365</f>
        <v>237.33424657534246</v>
      </c>
      <c r="F18" s="134"/>
      <c r="G18" s="133">
        <f>C18*E18</f>
        <v>213926.59907493115</v>
      </c>
      <c r="H18" s="54">
        <f>G18/$G$45</f>
        <v>4.3485656081787422E-3</v>
      </c>
      <c r="I18" s="25"/>
      <c r="J18" s="25"/>
      <c r="K18" s="25"/>
      <c r="L18" s="25"/>
      <c r="M18" s="25"/>
      <c r="N18" s="122"/>
      <c r="O18" s="119"/>
      <c r="P18" s="74"/>
      <c r="Q18" s="123"/>
      <c r="R18" s="119"/>
      <c r="S18" s="124"/>
      <c r="T18" s="125"/>
      <c r="U18" s="45"/>
    </row>
    <row r="19" spans="1:21" x14ac:dyDescent="0.25">
      <c r="C19" s="117"/>
      <c r="D19" s="117"/>
      <c r="E19" s="134"/>
      <c r="F19" s="134"/>
      <c r="G19" s="133"/>
      <c r="H19" s="134"/>
      <c r="I19" s="25"/>
      <c r="J19" s="25"/>
      <c r="K19" s="25"/>
      <c r="L19" s="25"/>
      <c r="M19" s="25"/>
      <c r="N19" s="122"/>
      <c r="O19" s="119"/>
      <c r="P19" s="74"/>
      <c r="Q19" s="123"/>
      <c r="R19" s="119"/>
      <c r="S19" s="124"/>
      <c r="T19" s="125"/>
      <c r="U19" s="45"/>
    </row>
    <row r="20" spans="1:21" x14ac:dyDescent="0.25">
      <c r="A20" s="7" t="s">
        <v>2088</v>
      </c>
      <c r="C20" s="133">
        <v>844.40866328819675</v>
      </c>
      <c r="D20" s="133">
        <v>891.64080614533964</v>
      </c>
      <c r="E20" s="134">
        <f>'Billing Det'!B14</f>
        <v>4440.7013698630135</v>
      </c>
      <c r="F20" s="134"/>
      <c r="G20" s="133">
        <f>C20*E20</f>
        <v>3749766.7077880916</v>
      </c>
      <c r="H20" s="54">
        <f>G20/$G$45</f>
        <v>7.6222903625319888E-2</v>
      </c>
      <c r="I20" s="25"/>
      <c r="J20" s="25"/>
      <c r="K20" s="25"/>
      <c r="L20" s="113"/>
      <c r="M20" s="129"/>
      <c r="N20" s="122"/>
      <c r="O20" s="119"/>
      <c r="P20" s="74"/>
      <c r="Q20" s="123"/>
      <c r="R20" s="119"/>
      <c r="S20" s="124"/>
      <c r="T20" s="125"/>
      <c r="U20" s="45"/>
    </row>
    <row r="21" spans="1:21" x14ac:dyDescent="0.25">
      <c r="C21" s="135"/>
      <c r="D21" s="135"/>
      <c r="E21" s="134"/>
      <c r="F21" s="134"/>
      <c r="G21" s="135"/>
      <c r="H21" s="134"/>
      <c r="I21" s="25"/>
      <c r="J21" s="130"/>
      <c r="K21" s="130"/>
      <c r="L21" s="130"/>
      <c r="M21" s="25"/>
      <c r="N21" s="122"/>
      <c r="O21" s="119"/>
      <c r="P21" s="74"/>
      <c r="Q21" s="123"/>
      <c r="R21" s="119"/>
      <c r="S21" s="124"/>
      <c r="T21" s="125"/>
      <c r="U21" s="45"/>
    </row>
    <row r="22" spans="1:21" x14ac:dyDescent="0.25">
      <c r="A22" s="3" t="s">
        <v>2089</v>
      </c>
      <c r="C22" s="133">
        <v>3598.6104680040303</v>
      </c>
      <c r="D22" s="133">
        <v>3637.8346059350647</v>
      </c>
      <c r="E22" s="134">
        <f>'Billing Det'!B16</f>
        <v>203.77534246575343</v>
      </c>
      <c r="F22" s="134"/>
      <c r="G22" s="133">
        <f>C22*E22</f>
        <v>733308.08051836654</v>
      </c>
      <c r="H22" s="54">
        <f>G22/$G$45</f>
        <v>1.4906226308140374E-2</v>
      </c>
      <c r="I22" s="131"/>
      <c r="J22" s="25"/>
      <c r="K22" s="25"/>
      <c r="L22" s="113"/>
      <c r="M22" s="129"/>
      <c r="N22" s="118"/>
      <c r="O22" s="119"/>
      <c r="P22" s="74"/>
      <c r="Q22" s="123"/>
      <c r="R22" s="119"/>
      <c r="S22" s="124"/>
      <c r="T22" s="125"/>
      <c r="U22" s="45"/>
    </row>
    <row r="23" spans="1:21" x14ac:dyDescent="0.25">
      <c r="C23" s="117"/>
      <c r="D23" s="117"/>
      <c r="E23" s="134"/>
      <c r="F23" s="134"/>
      <c r="H23" s="134"/>
      <c r="I23" s="25"/>
      <c r="J23" s="25"/>
      <c r="K23" s="25"/>
      <c r="L23" s="25"/>
      <c r="M23" s="25"/>
      <c r="N23" s="118"/>
      <c r="O23" s="119"/>
      <c r="P23" s="74"/>
      <c r="Q23" s="123"/>
      <c r="R23" s="119"/>
      <c r="S23" s="124"/>
      <c r="T23" s="125"/>
      <c r="U23" s="45"/>
    </row>
    <row r="24" spans="1:21" x14ac:dyDescent="0.25">
      <c r="A24" s="7" t="s">
        <v>2090</v>
      </c>
      <c r="C24" s="133">
        <v>875.24971635725933</v>
      </c>
      <c r="D24" s="133">
        <v>1295.2497163572593</v>
      </c>
      <c r="E24" s="134">
        <f>'Billing Det'!B18</f>
        <v>766.28493150684926</v>
      </c>
      <c r="F24" s="134"/>
      <c r="G24" s="133">
        <f>C24*E24</f>
        <v>670690.66895021172</v>
      </c>
      <c r="H24" s="54">
        <f>G24/$G$45</f>
        <v>1.3633378875441854E-2</v>
      </c>
      <c r="I24" s="25"/>
      <c r="J24" s="25"/>
      <c r="K24" s="25"/>
      <c r="L24" s="113"/>
      <c r="M24" s="129"/>
      <c r="N24" s="122"/>
      <c r="O24" s="119"/>
      <c r="P24" s="74"/>
      <c r="Q24" s="123"/>
      <c r="R24" s="119"/>
      <c r="S24" s="124"/>
      <c r="T24" s="125"/>
      <c r="U24" s="45"/>
    </row>
    <row r="25" spans="1:21" x14ac:dyDescent="0.25">
      <c r="C25" s="117"/>
      <c r="D25" s="117"/>
      <c r="E25" s="134"/>
      <c r="F25" s="134"/>
      <c r="G25" s="133"/>
      <c r="H25" s="134"/>
      <c r="I25" s="25"/>
      <c r="J25" s="25"/>
      <c r="K25" s="25"/>
      <c r="L25" s="25"/>
      <c r="M25" s="25"/>
      <c r="N25" s="122"/>
      <c r="O25" s="119"/>
      <c r="P25" s="74"/>
      <c r="Q25" s="123"/>
      <c r="R25" s="119"/>
      <c r="S25" s="124"/>
      <c r="T25" s="125"/>
      <c r="U25" s="45"/>
    </row>
    <row r="26" spans="1:21" x14ac:dyDescent="0.25">
      <c r="A26" s="7" t="s">
        <v>2169</v>
      </c>
      <c r="C26" s="133">
        <v>5083.5477584888149</v>
      </c>
      <c r="D26" s="133">
        <v>5503.5477584888149</v>
      </c>
      <c r="E26" s="134">
        <f>'Billing Det'!B20</f>
        <v>255.53698630136986</v>
      </c>
      <c r="F26" s="134"/>
      <c r="G26" s="133">
        <f>C26*E26</f>
        <v>1299034.4739233158</v>
      </c>
      <c r="H26" s="54">
        <f>G26/$G$45</f>
        <v>2.6405957284268648E-2</v>
      </c>
      <c r="I26" s="25"/>
      <c r="J26" s="25"/>
      <c r="K26" s="25"/>
      <c r="L26" s="113"/>
      <c r="M26" s="129"/>
      <c r="N26" s="118"/>
      <c r="O26" s="119"/>
      <c r="P26" s="74"/>
      <c r="Q26" s="123"/>
      <c r="R26" s="119"/>
      <c r="S26" s="124"/>
      <c r="T26" s="125"/>
      <c r="U26" s="45"/>
    </row>
    <row r="27" spans="1:21" x14ac:dyDescent="0.25">
      <c r="C27" s="135"/>
      <c r="D27" s="135"/>
      <c r="E27" s="134"/>
      <c r="F27" s="134"/>
      <c r="G27" s="135"/>
      <c r="H27" s="134"/>
      <c r="I27" s="25"/>
      <c r="J27" s="25"/>
      <c r="K27" s="25"/>
      <c r="L27" s="25"/>
      <c r="M27" s="25"/>
      <c r="N27" s="118"/>
      <c r="O27" s="119"/>
      <c r="P27" s="74"/>
      <c r="Q27" s="123"/>
      <c r="R27" s="119"/>
      <c r="S27" s="124"/>
      <c r="T27" s="125"/>
      <c r="U27" s="45"/>
    </row>
    <row r="28" spans="1:21" x14ac:dyDescent="0.25">
      <c r="A28" s="7" t="s">
        <v>1795</v>
      </c>
      <c r="C28" s="133">
        <v>32202.600741446153</v>
      </c>
      <c r="D28" s="133">
        <v>32249.600741446153</v>
      </c>
      <c r="E28" s="134">
        <f>'Billing Det'!B22</f>
        <v>20</v>
      </c>
      <c r="F28" s="134"/>
      <c r="G28" s="133">
        <f>C28*E28</f>
        <v>644052.01482892304</v>
      </c>
      <c r="H28" s="54">
        <f>G28/$G$45</f>
        <v>1.3091885037551081E-2</v>
      </c>
      <c r="I28" s="25"/>
      <c r="J28" s="25"/>
      <c r="K28" s="25"/>
      <c r="L28" s="113"/>
      <c r="M28" s="129"/>
      <c r="N28" s="122"/>
      <c r="O28" s="119"/>
      <c r="P28" s="74"/>
      <c r="Q28" s="123"/>
      <c r="R28" s="119"/>
      <c r="S28" s="124"/>
      <c r="T28" s="125"/>
      <c r="U28" s="45"/>
    </row>
    <row r="29" spans="1:21" x14ac:dyDescent="0.25">
      <c r="A29" s="7"/>
      <c r="C29" s="117"/>
      <c r="D29" s="117"/>
      <c r="E29" s="134"/>
      <c r="F29" s="134"/>
      <c r="H29" s="134"/>
      <c r="I29" s="25"/>
      <c r="J29" s="25"/>
      <c r="K29" s="25"/>
      <c r="L29" s="25"/>
      <c r="M29" s="25"/>
      <c r="N29" s="118"/>
      <c r="O29" s="119"/>
      <c r="P29" s="74"/>
      <c r="Q29" s="123"/>
      <c r="R29" s="119"/>
      <c r="S29" s="124"/>
      <c r="T29" s="125"/>
      <c r="U29" s="45"/>
    </row>
    <row r="30" spans="1:21" x14ac:dyDescent="0.25">
      <c r="A30" s="7" t="s">
        <v>2087</v>
      </c>
      <c r="C30" s="133">
        <v>39757.048914100007</v>
      </c>
      <c r="D30" s="133">
        <v>39804.048914100007</v>
      </c>
      <c r="E30" s="134">
        <f>'Billing Det'!B24</f>
        <v>1</v>
      </c>
      <c r="F30" s="134"/>
      <c r="G30" s="133">
        <f>C30*E30</f>
        <v>39757.048914100007</v>
      </c>
      <c r="H30" s="54">
        <f>G30/$G$45</f>
        <v>8.0815633183594542E-4</v>
      </c>
      <c r="I30" s="25"/>
      <c r="J30" s="25"/>
      <c r="K30" s="25"/>
      <c r="L30" s="113"/>
      <c r="M30" s="25"/>
      <c r="N30" s="122"/>
      <c r="O30" s="119"/>
      <c r="P30" s="74"/>
      <c r="Q30" s="123"/>
      <c r="R30" s="119"/>
      <c r="S30" s="124"/>
      <c r="T30" s="125"/>
      <c r="U30" s="45"/>
    </row>
    <row r="31" spans="1:21" x14ac:dyDescent="0.25">
      <c r="A31" s="7"/>
      <c r="C31" s="133"/>
      <c r="D31" s="133"/>
      <c r="E31" s="134"/>
      <c r="F31" s="134"/>
      <c r="G31" s="133"/>
      <c r="H31" s="134"/>
      <c r="I31" s="25"/>
      <c r="J31" s="25"/>
      <c r="K31" s="25"/>
      <c r="L31" s="113"/>
      <c r="M31" s="25"/>
      <c r="N31" s="122"/>
      <c r="O31" s="119"/>
      <c r="P31" s="74"/>
      <c r="Q31" s="123"/>
      <c r="R31" s="119"/>
      <c r="S31" s="124"/>
      <c r="T31" s="125"/>
      <c r="U31" s="45"/>
    </row>
    <row r="32" spans="1:21" x14ac:dyDescent="0.25">
      <c r="A32" s="7" t="s">
        <v>2103</v>
      </c>
      <c r="C32" s="133">
        <v>0</v>
      </c>
      <c r="D32" s="133">
        <v>0</v>
      </c>
      <c r="E32" s="134">
        <f>'Billing Det'!B26</f>
        <v>173293</v>
      </c>
      <c r="F32" s="134"/>
      <c r="G32" s="133">
        <f>C32*E32</f>
        <v>0</v>
      </c>
      <c r="H32" s="54">
        <f>G32/$G$45</f>
        <v>0</v>
      </c>
      <c r="I32" s="25"/>
      <c r="J32" s="25"/>
      <c r="K32" s="25"/>
      <c r="L32" s="113"/>
      <c r="M32" s="25"/>
      <c r="N32" s="122"/>
      <c r="O32" s="119"/>
      <c r="P32" s="74"/>
      <c r="Q32" s="123"/>
      <c r="R32" s="119"/>
      <c r="S32" s="124"/>
      <c r="T32" s="125"/>
      <c r="U32" s="45"/>
    </row>
    <row r="33" spans="1:21" x14ac:dyDescent="0.25">
      <c r="A33" s="7"/>
      <c r="C33" s="133"/>
      <c r="D33" s="133"/>
      <c r="E33" s="134"/>
      <c r="F33" s="134"/>
      <c r="G33" s="133"/>
      <c r="H33" s="134"/>
      <c r="I33" s="25"/>
      <c r="J33" s="25"/>
      <c r="K33" s="25"/>
      <c r="L33" s="113"/>
      <c r="M33" s="25"/>
      <c r="N33" s="122"/>
      <c r="O33" s="119"/>
      <c r="P33" s="74"/>
      <c r="Q33" s="123"/>
      <c r="R33" s="119"/>
      <c r="S33" s="124"/>
      <c r="T33" s="125"/>
      <c r="U33" s="45"/>
    </row>
    <row r="34" spans="1:21" x14ac:dyDescent="0.25">
      <c r="A34" s="7" t="s">
        <v>2104</v>
      </c>
      <c r="C34" s="133">
        <f>C10</f>
        <v>67.1884163</v>
      </c>
      <c r="D34" s="133">
        <f>D10</f>
        <v>146.1884163</v>
      </c>
      <c r="E34" s="134">
        <f>'Billing Det'!B28</f>
        <v>108</v>
      </c>
      <c r="F34" s="134"/>
      <c r="G34" s="133">
        <f>C34*E34</f>
        <v>7256.3489603999997</v>
      </c>
      <c r="H34" s="54">
        <f>G34/$G$45</f>
        <v>1.4750250631099165E-4</v>
      </c>
      <c r="I34" s="25"/>
      <c r="J34" s="25"/>
      <c r="K34" s="25"/>
      <c r="L34" s="113"/>
      <c r="M34" s="25"/>
      <c r="N34" s="122"/>
      <c r="O34" s="119"/>
      <c r="P34" s="74"/>
      <c r="Q34" s="123"/>
      <c r="R34" s="119"/>
      <c r="S34" s="124"/>
      <c r="T34" s="125"/>
      <c r="U34" s="45"/>
    </row>
    <row r="35" spans="1:21" x14ac:dyDescent="0.25">
      <c r="A35" s="7"/>
      <c r="C35" s="133"/>
      <c r="D35" s="133"/>
      <c r="E35" s="134"/>
      <c r="F35" s="134"/>
      <c r="G35" s="133"/>
      <c r="H35" s="54"/>
      <c r="I35" s="25"/>
      <c r="J35" s="25"/>
      <c r="K35" s="25"/>
      <c r="L35" s="113"/>
      <c r="M35" s="25"/>
      <c r="N35" s="122"/>
      <c r="O35" s="119"/>
      <c r="P35" s="74"/>
      <c r="Q35" s="123"/>
      <c r="R35" s="119"/>
      <c r="S35" s="124"/>
      <c r="T35" s="125"/>
      <c r="U35" s="45"/>
    </row>
    <row r="36" spans="1:21" x14ac:dyDescent="0.25">
      <c r="A36" s="7" t="s">
        <v>2105</v>
      </c>
      <c r="C36" s="133">
        <f>C10</f>
        <v>67.1884163</v>
      </c>
      <c r="D36" s="133">
        <f>D10</f>
        <v>146.1884163</v>
      </c>
      <c r="E36" s="134">
        <f>'Billing Det'!B30</f>
        <v>1331</v>
      </c>
      <c r="F36" s="134"/>
      <c r="G36" s="133">
        <f>C36*E36</f>
        <v>89427.782095300005</v>
      </c>
      <c r="H36" s="54">
        <f>G36/$G$45</f>
        <v>1.8178318138882398E-3</v>
      </c>
      <c r="I36" s="25"/>
      <c r="J36" s="25"/>
      <c r="K36" s="25"/>
      <c r="L36" s="113"/>
      <c r="M36" s="25"/>
      <c r="N36" s="122"/>
      <c r="O36" s="119"/>
      <c r="P36" s="74"/>
      <c r="Q36" s="123"/>
      <c r="R36" s="119"/>
      <c r="S36" s="124"/>
      <c r="T36" s="125"/>
      <c r="U36" s="45"/>
    </row>
    <row r="37" spans="1:21" x14ac:dyDescent="0.25">
      <c r="A37" s="7"/>
      <c r="C37" s="133"/>
      <c r="D37" s="133"/>
      <c r="E37" s="134"/>
      <c r="F37" s="134"/>
      <c r="G37" s="133"/>
      <c r="H37" s="54"/>
      <c r="I37" s="25"/>
      <c r="J37" s="25"/>
      <c r="K37" s="25"/>
      <c r="L37" s="113"/>
      <c r="M37" s="25"/>
      <c r="N37" s="122"/>
      <c r="O37" s="119"/>
      <c r="P37" s="74"/>
      <c r="Q37" s="123"/>
      <c r="R37" s="119"/>
      <c r="S37" s="124"/>
      <c r="T37" s="125"/>
      <c r="U37" s="45"/>
    </row>
    <row r="38" spans="1:21" x14ac:dyDescent="0.25">
      <c r="A38" s="7" t="str">
        <f>'Billing Det'!A32</f>
        <v>Outdoor Sports Lighting Rate OSL</v>
      </c>
      <c r="C38" s="133">
        <f>C20</f>
        <v>844.40866328819675</v>
      </c>
      <c r="D38" s="133">
        <f>D20</f>
        <v>891.64080614533964</v>
      </c>
      <c r="E38" s="134">
        <f>'Billing Det'!B32</f>
        <v>4</v>
      </c>
      <c r="F38" s="134"/>
      <c r="G38" s="133">
        <f>C38*E38</f>
        <v>3377.634653152787</v>
      </c>
      <c r="H38" s="54">
        <f>G38/$G$45</f>
        <v>6.8658436833973554E-5</v>
      </c>
      <c r="I38" s="25"/>
      <c r="J38" s="25"/>
      <c r="K38" s="25"/>
      <c r="L38" s="113"/>
      <c r="M38" s="25"/>
      <c r="N38" s="122"/>
      <c r="O38" s="119"/>
      <c r="P38" s="74"/>
      <c r="Q38" s="123"/>
      <c r="R38" s="119"/>
      <c r="S38" s="124"/>
      <c r="T38" s="125"/>
      <c r="U38" s="45"/>
    </row>
    <row r="39" spans="1:21" x14ac:dyDescent="0.25">
      <c r="A39" s="7"/>
      <c r="C39" s="133"/>
      <c r="D39" s="133"/>
      <c r="E39" s="134"/>
      <c r="F39" s="134"/>
      <c r="G39" s="133"/>
      <c r="H39" s="54"/>
      <c r="I39" s="25"/>
      <c r="J39" s="25"/>
      <c r="K39" s="25"/>
      <c r="L39" s="113"/>
      <c r="M39" s="25"/>
      <c r="N39" s="122"/>
      <c r="O39" s="119"/>
      <c r="P39" s="74"/>
      <c r="Q39" s="123"/>
      <c r="R39" s="119"/>
      <c r="S39" s="124"/>
      <c r="T39" s="125"/>
      <c r="U39" s="45"/>
    </row>
    <row r="40" spans="1:21" x14ac:dyDescent="0.25">
      <c r="A40" s="7" t="s">
        <v>2344</v>
      </c>
      <c r="C40" s="133">
        <v>0</v>
      </c>
      <c r="D40" s="133">
        <v>0</v>
      </c>
      <c r="E40" s="134">
        <f>'Billing Det'!B34</f>
        <v>10</v>
      </c>
      <c r="F40" s="134"/>
      <c r="G40" s="133">
        <f>C40*E40</f>
        <v>0</v>
      </c>
      <c r="H40" s="54">
        <f>G40/$G$45</f>
        <v>0</v>
      </c>
      <c r="I40" s="25"/>
      <c r="J40" s="25"/>
      <c r="K40" s="25"/>
      <c r="L40" s="113"/>
      <c r="M40" s="25"/>
      <c r="N40" s="122"/>
      <c r="O40" s="119"/>
      <c r="P40" s="74"/>
      <c r="Q40" s="123"/>
      <c r="R40" s="119"/>
      <c r="S40" s="124"/>
      <c r="T40" s="125"/>
      <c r="U40" s="45"/>
    </row>
    <row r="41" spans="1:21" x14ac:dyDescent="0.25">
      <c r="A41" s="394"/>
      <c r="C41" s="133"/>
      <c r="D41" s="133"/>
      <c r="E41" s="134"/>
      <c r="F41" s="134"/>
      <c r="G41" s="133"/>
      <c r="H41" s="54"/>
      <c r="I41" s="25"/>
      <c r="J41" s="25"/>
      <c r="K41" s="25"/>
      <c r="L41" s="113"/>
      <c r="M41" s="25"/>
      <c r="N41" s="122"/>
      <c r="O41" s="119"/>
      <c r="P41" s="74"/>
      <c r="Q41" s="123"/>
      <c r="R41" s="119"/>
      <c r="S41" s="124"/>
      <c r="T41" s="125"/>
      <c r="U41" s="45"/>
    </row>
    <row r="42" spans="1:21" x14ac:dyDescent="0.25">
      <c r="A42" s="7" t="s">
        <v>2345</v>
      </c>
      <c r="C42" s="133">
        <v>0</v>
      </c>
      <c r="D42" s="133">
        <v>0</v>
      </c>
      <c r="E42" s="134">
        <f>'Billing Det'!B36</f>
        <v>0</v>
      </c>
      <c r="F42" s="134"/>
      <c r="G42" s="133">
        <f>C42*E42</f>
        <v>0</v>
      </c>
      <c r="H42" s="54">
        <f>G42/$G$45</f>
        <v>0</v>
      </c>
      <c r="I42" s="25"/>
      <c r="J42" s="25"/>
      <c r="K42" s="25"/>
      <c r="L42" s="113"/>
      <c r="M42" s="25"/>
      <c r="N42" s="122"/>
      <c r="O42" s="119"/>
      <c r="P42" s="74"/>
      <c r="Q42" s="123"/>
      <c r="R42" s="119"/>
      <c r="S42" s="124"/>
      <c r="T42" s="125"/>
      <c r="U42" s="45"/>
    </row>
    <row r="43" spans="1:21" x14ac:dyDescent="0.25">
      <c r="A43" s="7"/>
      <c r="C43" s="133"/>
      <c r="D43" s="133"/>
      <c r="E43" s="134"/>
      <c r="F43" s="134"/>
      <c r="G43" s="133"/>
      <c r="H43" s="54"/>
      <c r="I43" s="25"/>
      <c r="J43" s="25"/>
      <c r="K43" s="25"/>
      <c r="L43" s="113"/>
      <c r="M43" s="25"/>
      <c r="N43" s="122"/>
      <c r="O43" s="119"/>
      <c r="P43" s="74"/>
      <c r="Q43" s="123"/>
      <c r="R43" s="119"/>
      <c r="S43" s="124"/>
      <c r="T43" s="125"/>
      <c r="U43" s="45"/>
    </row>
    <row r="44" spans="1:21" x14ac:dyDescent="0.25">
      <c r="A44" s="464" t="s">
        <v>2546</v>
      </c>
      <c r="B44" s="137"/>
      <c r="C44" s="138">
        <v>0</v>
      </c>
      <c r="D44" s="138">
        <v>0</v>
      </c>
      <c r="E44" s="139">
        <f>'Billing Det'!B38</f>
        <v>0</v>
      </c>
      <c r="F44" s="139"/>
      <c r="G44" s="138">
        <f>C44*E44</f>
        <v>0</v>
      </c>
      <c r="H44" s="175">
        <f>G44/$G$45</f>
        <v>0</v>
      </c>
      <c r="I44" s="25"/>
      <c r="J44" s="25"/>
      <c r="K44" s="25"/>
      <c r="L44" s="113"/>
      <c r="M44" s="25"/>
      <c r="N44" s="122"/>
      <c r="O44" s="119"/>
      <c r="P44" s="74"/>
      <c r="Q44" s="123"/>
      <c r="R44" s="119"/>
      <c r="S44" s="124"/>
      <c r="T44" s="125"/>
      <c r="U44" s="45"/>
    </row>
    <row r="45" spans="1:21" x14ac:dyDescent="0.25">
      <c r="A45" s="3" t="s">
        <v>62</v>
      </c>
      <c r="C45" s="133"/>
      <c r="D45" s="133"/>
      <c r="E45" s="140">
        <f>SUM(E4:E44)</f>
        <v>705983.59178082191</v>
      </c>
      <c r="F45" s="140"/>
      <c r="G45" s="91">
        <f>SUM(G4:G44)</f>
        <v>49194750.258011505</v>
      </c>
      <c r="H45" s="54">
        <f>SUM(H10:H44)</f>
        <v>1.0000000000000004</v>
      </c>
      <c r="I45" s="5"/>
      <c r="J45" s="5"/>
      <c r="K45" s="5"/>
      <c r="L45" s="132"/>
      <c r="M45" s="25"/>
      <c r="N45" s="118"/>
      <c r="O45" s="119"/>
      <c r="P45" s="74"/>
      <c r="Q45" s="123"/>
      <c r="R45" s="119"/>
      <c r="S45" s="124"/>
      <c r="T45" s="125"/>
      <c r="U45" s="45"/>
    </row>
    <row r="46" spans="1:21" x14ac:dyDescent="0.25">
      <c r="H46" s="173"/>
      <c r="N46" s="122"/>
      <c r="O46" s="119"/>
      <c r="P46" s="74"/>
      <c r="Q46" s="123"/>
      <c r="R46" s="119"/>
      <c r="S46" s="124"/>
      <c r="T46" s="125"/>
      <c r="U46" s="45"/>
    </row>
    <row r="47" spans="1:21" x14ac:dyDescent="0.25">
      <c r="H47" s="174"/>
      <c r="N47" s="122"/>
      <c r="O47" s="119"/>
      <c r="P47" s="74"/>
      <c r="Q47" s="123"/>
      <c r="R47" s="119"/>
      <c r="S47" s="124"/>
      <c r="T47" s="125"/>
      <c r="U47" s="45"/>
    </row>
    <row r="48" spans="1:21" x14ac:dyDescent="0.25">
      <c r="C48" s="110"/>
      <c r="D48" s="110"/>
      <c r="G48" s="133"/>
      <c r="H48" s="2"/>
      <c r="N48" s="122"/>
      <c r="O48" s="119"/>
      <c r="P48" s="74"/>
      <c r="Q48" s="123"/>
      <c r="R48" s="119"/>
      <c r="S48" s="124"/>
      <c r="T48" s="125"/>
      <c r="U48" s="45"/>
    </row>
    <row r="49" spans="1:21" x14ac:dyDescent="0.25">
      <c r="C49" s="53" t="s">
        <v>2095</v>
      </c>
      <c r="D49" s="53"/>
      <c r="E49" s="53"/>
      <c r="F49" s="53"/>
      <c r="G49" s="60">
        <f>'WSS-29'!F41</f>
        <v>74150151</v>
      </c>
      <c r="N49" s="122"/>
      <c r="O49" s="119"/>
      <c r="P49" s="74"/>
      <c r="Q49" s="123"/>
      <c r="R49" s="119"/>
      <c r="S49" s="124"/>
      <c r="T49" s="125"/>
      <c r="U49" s="45"/>
    </row>
    <row r="50" spans="1:21" x14ac:dyDescent="0.25">
      <c r="C50" s="110"/>
      <c r="D50" s="110"/>
      <c r="G50" s="133"/>
      <c r="H50" s="2"/>
      <c r="N50" s="119"/>
      <c r="O50" s="119"/>
      <c r="P50" s="74"/>
      <c r="Q50" s="126"/>
      <c r="R50" s="119"/>
      <c r="S50" s="124"/>
      <c r="T50" s="126"/>
      <c r="U50" s="45"/>
    </row>
    <row r="51" spans="1:21" x14ac:dyDescent="0.25">
      <c r="C51" s="110"/>
      <c r="D51" s="110"/>
      <c r="G51" s="136"/>
      <c r="H51" s="2"/>
      <c r="N51" s="119"/>
      <c r="O51" s="119"/>
      <c r="P51" s="119"/>
      <c r="Q51" s="119"/>
      <c r="R51" s="119"/>
      <c r="S51" s="127"/>
      <c r="T51" s="119"/>
      <c r="U51" s="45"/>
    </row>
    <row r="52" spans="1:21" x14ac:dyDescent="0.25">
      <c r="A52" s="7"/>
      <c r="C52" s="110"/>
      <c r="D52" s="110"/>
      <c r="G52" s="133"/>
      <c r="H52" s="2"/>
      <c r="N52" s="119"/>
      <c r="O52" s="119"/>
      <c r="P52" s="119"/>
      <c r="Q52" s="119"/>
      <c r="R52" s="119"/>
      <c r="S52" s="120"/>
      <c r="T52" s="119"/>
      <c r="U52" s="45"/>
    </row>
    <row r="53" spans="1:21" x14ac:dyDescent="0.25">
      <c r="C53" s="110"/>
      <c r="D53" s="110"/>
      <c r="H53" s="2"/>
      <c r="N53" s="119"/>
      <c r="O53" s="119"/>
      <c r="P53" s="119"/>
      <c r="Q53" s="119"/>
      <c r="R53" s="119"/>
      <c r="S53" s="74"/>
      <c r="T53" s="119"/>
      <c r="U53" s="45"/>
    </row>
    <row r="54" spans="1:21" x14ac:dyDescent="0.25">
      <c r="A54" s="7"/>
      <c r="C54" s="110"/>
      <c r="D54" s="110"/>
      <c r="G54" s="133"/>
      <c r="H54" s="2"/>
      <c r="N54" s="128"/>
      <c r="O54" s="128"/>
      <c r="P54" s="128"/>
      <c r="Q54" s="128"/>
      <c r="R54" s="128"/>
      <c r="S54" s="128"/>
      <c r="T54" s="128"/>
    </row>
    <row r="55" spans="1:21" x14ac:dyDescent="0.25">
      <c r="A55" s="7"/>
      <c r="C55" s="114"/>
      <c r="D55" s="114"/>
      <c r="H55" s="2"/>
      <c r="N55" s="128"/>
      <c r="O55" s="128"/>
      <c r="P55" s="128"/>
      <c r="Q55" s="128"/>
      <c r="R55" s="128"/>
      <c r="S55" s="128"/>
      <c r="T55" s="128"/>
    </row>
    <row r="56" spans="1:21" x14ac:dyDescent="0.25">
      <c r="A56" s="7"/>
      <c r="E56" s="43"/>
      <c r="F56" s="43"/>
      <c r="G56" s="133"/>
      <c r="H56" s="2"/>
      <c r="N56" s="128"/>
      <c r="O56" s="128"/>
      <c r="P56" s="128"/>
      <c r="Q56" s="128"/>
      <c r="R56" s="128"/>
      <c r="S56" s="128"/>
      <c r="T56" s="128"/>
    </row>
    <row r="57" spans="1:21" x14ac:dyDescent="0.25">
      <c r="A57" s="7"/>
      <c r="C57" s="114"/>
      <c r="D57" s="114"/>
      <c r="H57" s="2"/>
    </row>
    <row r="58" spans="1:21" x14ac:dyDescent="0.25">
      <c r="A58" s="7"/>
      <c r="C58" s="110"/>
      <c r="D58" s="110"/>
      <c r="E58" s="43"/>
      <c r="F58" s="43"/>
      <c r="G58" s="133"/>
      <c r="H58" s="2"/>
    </row>
    <row r="59" spans="1:21" x14ac:dyDescent="0.25">
      <c r="A59" s="112"/>
      <c r="B59" s="25"/>
      <c r="C59" s="115"/>
      <c r="D59" s="115"/>
      <c r="H59" s="2"/>
    </row>
    <row r="60" spans="1:21" x14ac:dyDescent="0.25">
      <c r="C60" s="114"/>
      <c r="D60" s="114"/>
      <c r="E60" s="113"/>
      <c r="F60" s="113"/>
      <c r="G60" s="133"/>
      <c r="H60" s="2"/>
    </row>
    <row r="61" spans="1:21" x14ac:dyDescent="0.25">
      <c r="C61" s="114"/>
      <c r="D61" s="114"/>
      <c r="E61" s="43"/>
      <c r="F61" s="43"/>
      <c r="H61" s="2"/>
    </row>
    <row r="62" spans="1:21" x14ac:dyDescent="0.25">
      <c r="C62" s="114"/>
      <c r="D62" s="114"/>
      <c r="G62" s="133"/>
      <c r="H62" s="2"/>
    </row>
    <row r="63" spans="1:21" x14ac:dyDescent="0.25">
      <c r="C63" s="114"/>
      <c r="D63" s="114"/>
      <c r="H63" s="2"/>
    </row>
    <row r="64" spans="1:21" x14ac:dyDescent="0.25">
      <c r="C64" s="114"/>
      <c r="D64" s="114"/>
      <c r="G64" s="133"/>
      <c r="H64" s="2"/>
    </row>
    <row r="65" spans="3:8" x14ac:dyDescent="0.25">
      <c r="C65" s="114"/>
      <c r="D65" s="114"/>
      <c r="H65" s="2"/>
    </row>
    <row r="66" spans="3:8" x14ac:dyDescent="0.25">
      <c r="C66" s="114"/>
      <c r="D66" s="114"/>
      <c r="G66" s="133"/>
      <c r="H66" s="2"/>
    </row>
    <row r="67" spans="3:8" x14ac:dyDescent="0.25">
      <c r="C67" s="114"/>
      <c r="D67" s="114"/>
      <c r="H67" s="2"/>
    </row>
    <row r="68" spans="3:8" x14ac:dyDescent="0.25">
      <c r="G68" s="133">
        <f>SUM(G10:G67)</f>
        <v>172539651.51602301</v>
      </c>
      <c r="H68" s="2">
        <f>SUM(H10:H67)</f>
        <v>2.0000000000000009</v>
      </c>
    </row>
    <row r="69" spans="3:8" x14ac:dyDescent="0.25">
      <c r="C69" s="1"/>
      <c r="D69" s="1"/>
    </row>
    <row r="81" spans="5:13" x14ac:dyDescent="0.25">
      <c r="E81" s="45"/>
      <c r="F81" s="45"/>
      <c r="G81" s="53"/>
      <c r="H81" s="45"/>
      <c r="I81" s="45"/>
      <c r="J81" s="45"/>
      <c r="K81" s="45"/>
      <c r="L81" s="45"/>
      <c r="M81" s="53"/>
    </row>
    <row r="110" spans="14:21" x14ac:dyDescent="0.25">
      <c r="N110" s="45"/>
      <c r="O110" s="45"/>
      <c r="P110" s="45"/>
      <c r="Q110" s="45"/>
      <c r="R110" s="45"/>
      <c r="S110" s="53"/>
      <c r="T110" s="45"/>
      <c r="U110" s="45"/>
    </row>
    <row r="111" spans="14:21" x14ac:dyDescent="0.25">
      <c r="P111" s="45"/>
    </row>
    <row r="112" spans="14:21" x14ac:dyDescent="0.25">
      <c r="P112" s="45"/>
    </row>
    <row r="113" spans="16:16" x14ac:dyDescent="0.25">
      <c r="P113" s="45"/>
    </row>
    <row r="114" spans="16:16" x14ac:dyDescent="0.25">
      <c r="P114" s="45"/>
    </row>
    <row r="115" spans="16:16" x14ac:dyDescent="0.25">
      <c r="P115" s="45"/>
    </row>
    <row r="116" spans="16:16" x14ac:dyDescent="0.25">
      <c r="P116"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5"/>
  <sheetViews>
    <sheetView topLeftCell="A7" zoomScale="75" zoomScaleNormal="75" workbookViewId="0">
      <selection activeCell="E41" sqref="E41"/>
    </sheetView>
  </sheetViews>
  <sheetFormatPr defaultColWidth="9.140625" defaultRowHeight="12.75" x14ac:dyDescent="0.2"/>
  <cols>
    <col min="1" max="1" width="53.42578125" style="45" customWidth="1"/>
    <col min="2" max="2" width="2.5703125" style="45" customWidth="1"/>
    <col min="3" max="3" width="19.5703125" style="45" customWidth="1"/>
    <col min="4" max="4" width="18.5703125" style="45" customWidth="1"/>
    <col min="5" max="5" width="17.28515625" style="45" bestFit="1" customWidth="1"/>
    <col min="6" max="6" width="10.28515625" style="53" customWidth="1"/>
    <col min="7" max="8" width="15.140625" style="45" customWidth="1"/>
    <col min="9" max="9" width="32.140625" style="45" hidden="1" customWidth="1"/>
    <col min="10" max="10" width="21.28515625" style="39" hidden="1" customWidth="1"/>
    <col min="11" max="13" width="13.140625" style="64" hidden="1" customWidth="1"/>
    <col min="14" max="14" width="16.28515625" style="45" customWidth="1"/>
    <col min="15" max="15" width="4.42578125" style="45" customWidth="1"/>
    <col min="16" max="16" width="16.140625" style="45" customWidth="1"/>
    <col min="17" max="17" width="13.5703125" style="45" customWidth="1"/>
    <col min="18" max="18" width="3.28515625" style="45" customWidth="1"/>
    <col min="19" max="19" width="19.42578125" style="45" customWidth="1"/>
    <col min="20" max="20" width="13.42578125" style="45" customWidth="1"/>
    <col min="21" max="21" width="9.140625" style="45"/>
    <col min="22" max="22" width="20.5703125" style="45" customWidth="1"/>
    <col min="23" max="16384" width="9.140625" style="45"/>
  </cols>
  <sheetData>
    <row r="1" spans="1:22" ht="18.75" x14ac:dyDescent="0.3">
      <c r="A1" s="4" t="s">
        <v>1361</v>
      </c>
      <c r="B1"/>
      <c r="C1"/>
      <c r="D1" s="40"/>
      <c r="E1" s="117"/>
      <c r="F1"/>
    </row>
    <row r="2" spans="1:22" ht="15.75" x14ac:dyDescent="0.25">
      <c r="A2" s="26" t="s">
        <v>1362</v>
      </c>
      <c r="B2"/>
      <c r="C2"/>
      <c r="D2" s="40"/>
      <c r="E2" s="117"/>
      <c r="F2"/>
    </row>
    <row r="3" spans="1:22" ht="15.75" x14ac:dyDescent="0.25">
      <c r="A3" s="26" t="s">
        <v>2096</v>
      </c>
      <c r="B3"/>
      <c r="C3"/>
      <c r="D3" s="40"/>
      <c r="E3" s="117"/>
      <c r="F3"/>
    </row>
    <row r="4" spans="1:22" ht="15.75" x14ac:dyDescent="0.25">
      <c r="A4" s="33"/>
      <c r="B4"/>
      <c r="C4"/>
      <c r="D4" s="40"/>
      <c r="E4" s="117"/>
      <c r="F4"/>
      <c r="N4" s="118"/>
      <c r="O4" s="119"/>
      <c r="P4" s="119"/>
      <c r="Q4" s="119"/>
      <c r="R4" s="119"/>
      <c r="S4" s="119"/>
      <c r="T4" s="119"/>
    </row>
    <row r="5" spans="1:22" ht="15" x14ac:dyDescent="0.25">
      <c r="A5"/>
      <c r="B5"/>
      <c r="C5"/>
      <c r="D5" s="41"/>
      <c r="E5" s="117"/>
      <c r="F5"/>
      <c r="N5" s="119"/>
      <c r="O5" s="119"/>
      <c r="P5" s="119"/>
      <c r="Q5" s="119"/>
      <c r="R5" s="119"/>
      <c r="S5" s="119"/>
      <c r="T5" s="119"/>
    </row>
    <row r="6" spans="1:22" ht="15" x14ac:dyDescent="0.25">
      <c r="A6"/>
      <c r="B6"/>
      <c r="C6" s="62" t="s">
        <v>2097</v>
      </c>
      <c r="D6" s="62" t="s">
        <v>2170</v>
      </c>
      <c r="E6" s="61" t="s">
        <v>62</v>
      </c>
      <c r="F6" s="116"/>
      <c r="J6" s="44" t="s">
        <v>653</v>
      </c>
      <c r="N6" s="52"/>
      <c r="O6" s="120"/>
      <c r="P6" s="525"/>
      <c r="Q6" s="525"/>
      <c r="R6" s="119"/>
      <c r="S6" s="120"/>
      <c r="T6" s="119"/>
    </row>
    <row r="7" spans="1:22" ht="15" x14ac:dyDescent="0.25">
      <c r="A7"/>
      <c r="B7"/>
      <c r="C7" s="46" t="s">
        <v>2092</v>
      </c>
      <c r="D7" s="46" t="s">
        <v>818</v>
      </c>
      <c r="E7" s="61" t="s">
        <v>2097</v>
      </c>
      <c r="F7" s="61" t="s">
        <v>384</v>
      </c>
      <c r="J7" s="70" t="s">
        <v>654</v>
      </c>
      <c r="K7" s="65" t="s">
        <v>388</v>
      </c>
      <c r="L7" s="65"/>
      <c r="M7" s="65"/>
      <c r="N7" s="52"/>
      <c r="O7" s="119"/>
      <c r="P7" s="52"/>
      <c r="Q7" s="52"/>
      <c r="R7" s="119"/>
      <c r="S7" s="52"/>
      <c r="T7" s="118"/>
    </row>
    <row r="8" spans="1:22" ht="15.75" thickBot="1" x14ac:dyDescent="0.3">
      <c r="A8" s="19" t="s">
        <v>1363</v>
      </c>
      <c r="B8" s="19"/>
      <c r="C8" s="47" t="s">
        <v>507</v>
      </c>
      <c r="D8" s="47" t="s">
        <v>506</v>
      </c>
      <c r="E8" s="73" t="s">
        <v>507</v>
      </c>
      <c r="F8" s="73" t="s">
        <v>2093</v>
      </c>
      <c r="J8" s="66" t="s">
        <v>655</v>
      </c>
      <c r="K8" s="67" t="s">
        <v>841</v>
      </c>
      <c r="L8" s="65"/>
      <c r="M8" s="65"/>
      <c r="N8" s="52"/>
      <c r="O8" s="119"/>
      <c r="P8" s="52"/>
      <c r="Q8" s="52"/>
      <c r="R8" s="119"/>
      <c r="S8" s="121"/>
      <c r="T8" s="119"/>
    </row>
    <row r="9" spans="1:22" ht="15" x14ac:dyDescent="0.25">
      <c r="A9"/>
      <c r="B9"/>
      <c r="C9"/>
      <c r="D9" s="40"/>
      <c r="E9" s="117"/>
      <c r="F9"/>
      <c r="J9" s="68"/>
      <c r="N9" s="52"/>
      <c r="O9" s="142"/>
      <c r="P9" s="119"/>
      <c r="Q9" s="119"/>
      <c r="R9" s="119"/>
      <c r="S9" s="142"/>
      <c r="T9" s="119"/>
    </row>
    <row r="10" spans="1:22" ht="15" x14ac:dyDescent="0.25">
      <c r="A10" s="7" t="s">
        <v>1483</v>
      </c>
      <c r="B10"/>
      <c r="C10" s="147">
        <v>788.28</v>
      </c>
      <c r="D10" s="134">
        <f>Meters!E10</f>
        <v>442342.08493150683</v>
      </c>
      <c r="E10" s="133">
        <f>C10*D10</f>
        <v>348689418.70980817</v>
      </c>
      <c r="F10" s="54">
        <f>E10/$E$41</f>
        <v>0.79086356543712</v>
      </c>
      <c r="G10" s="63"/>
      <c r="H10" s="63"/>
      <c r="I10" s="7" t="s">
        <v>203</v>
      </c>
      <c r="J10" s="50">
        <v>225746</v>
      </c>
      <c r="K10" s="69">
        <f>J10/$J$68</f>
        <v>0.94543002646832175</v>
      </c>
      <c r="L10" s="69"/>
      <c r="M10" s="69"/>
      <c r="N10" s="52"/>
      <c r="O10" s="124"/>
      <c r="P10" s="143"/>
      <c r="Q10" s="144"/>
      <c r="R10" s="118"/>
      <c r="S10" s="145"/>
      <c r="T10" s="146"/>
      <c r="V10" s="63"/>
    </row>
    <row r="11" spans="1:22" ht="15" x14ac:dyDescent="0.25">
      <c r="A11"/>
      <c r="B11"/>
      <c r="C11" s="133"/>
      <c r="D11" s="134"/>
      <c r="E11" s="133"/>
      <c r="F11" s="134"/>
      <c r="G11" s="63"/>
      <c r="H11" s="63"/>
      <c r="I11" s="7"/>
      <c r="J11" s="50"/>
      <c r="N11" s="52"/>
      <c r="O11" s="124"/>
      <c r="P11" s="143"/>
      <c r="Q11" s="144"/>
      <c r="R11" s="118"/>
      <c r="S11" s="145"/>
      <c r="T11" s="146"/>
    </row>
    <row r="12" spans="1:22" ht="15" x14ac:dyDescent="0.25">
      <c r="A12" s="393" t="s">
        <v>2488</v>
      </c>
      <c r="B12"/>
      <c r="C12" s="452">
        <v>1237.5</v>
      </c>
      <c r="D12" s="134">
        <f>Meters!E12</f>
        <v>63343.734246575339</v>
      </c>
      <c r="E12" s="133">
        <f>C12*D12</f>
        <v>78387871.130136982</v>
      </c>
      <c r="F12" s="54">
        <f>E12/$E$41</f>
        <v>0.17779177664292514</v>
      </c>
      <c r="G12" s="63"/>
      <c r="H12" s="63"/>
      <c r="I12" s="7"/>
      <c r="J12" s="50"/>
      <c r="N12" s="52"/>
      <c r="O12" s="124"/>
      <c r="P12" s="143"/>
      <c r="Q12" s="144"/>
      <c r="R12" s="118"/>
      <c r="S12" s="145"/>
      <c r="T12" s="146"/>
    </row>
    <row r="13" spans="1:22" ht="15" x14ac:dyDescent="0.25">
      <c r="A13" s="7"/>
      <c r="B13"/>
      <c r="C13" s="133"/>
      <c r="D13" s="134"/>
      <c r="E13" s="133"/>
      <c r="F13" s="134"/>
      <c r="G13" s="63"/>
      <c r="H13" s="63"/>
      <c r="I13" s="7"/>
      <c r="J13" s="50"/>
      <c r="N13" s="52"/>
      <c r="O13" s="124"/>
      <c r="P13" s="143"/>
      <c r="Q13" s="144"/>
      <c r="R13" s="118"/>
      <c r="S13" s="145"/>
      <c r="T13" s="146"/>
    </row>
    <row r="14" spans="1:22" ht="15" x14ac:dyDescent="0.25">
      <c r="A14" s="393" t="s">
        <v>2185</v>
      </c>
      <c r="B14"/>
      <c r="C14" s="148">
        <f>C20</f>
        <v>3803.33</v>
      </c>
      <c r="D14" s="134">
        <f>Meters!E16</f>
        <v>186.47671232876712</v>
      </c>
      <c r="E14" s="133">
        <f>C14*D14</f>
        <v>709232.47430136986</v>
      </c>
      <c r="F14" s="54">
        <f>E14/$E$41</f>
        <v>1.6086124019053705E-3</v>
      </c>
      <c r="G14" s="63"/>
      <c r="H14" s="63"/>
      <c r="I14" s="7"/>
      <c r="J14" s="50"/>
      <c r="N14" s="52"/>
      <c r="O14" s="124"/>
      <c r="P14" s="74"/>
      <c r="Q14" s="123"/>
      <c r="R14" s="119"/>
      <c r="S14" s="124"/>
      <c r="T14" s="125"/>
    </row>
    <row r="15" spans="1:22" ht="15" x14ac:dyDescent="0.25">
      <c r="A15" s="7"/>
      <c r="B15"/>
      <c r="C15" s="148"/>
      <c r="D15" s="134"/>
      <c r="E15" s="133"/>
      <c r="F15" s="134"/>
      <c r="G15" s="63"/>
      <c r="H15" s="63"/>
      <c r="I15" s="7"/>
      <c r="J15" s="50"/>
      <c r="N15" s="52"/>
      <c r="O15" s="124"/>
      <c r="P15" s="74"/>
      <c r="Q15" s="123"/>
      <c r="R15" s="119"/>
      <c r="S15" s="124"/>
      <c r="T15" s="125"/>
    </row>
    <row r="16" spans="1:22" ht="15" x14ac:dyDescent="0.25">
      <c r="A16" s="7" t="s">
        <v>2088</v>
      </c>
      <c r="B16"/>
      <c r="C16" s="148">
        <v>2293.9899999999998</v>
      </c>
      <c r="D16" s="134">
        <f>Meters!E20</f>
        <v>4440.7013698630135</v>
      </c>
      <c r="E16" s="133">
        <f>C16*D16</f>
        <v>10186924.535452053</v>
      </c>
      <c r="F16" s="54">
        <f>E16/$E$41</f>
        <v>2.3104995525119073E-2</v>
      </c>
      <c r="G16" s="63"/>
      <c r="H16" s="63"/>
      <c r="I16" s="7" t="s">
        <v>202</v>
      </c>
      <c r="J16" s="50">
        <v>0</v>
      </c>
      <c r="K16" s="69">
        <f>J16/$J$68</f>
        <v>0</v>
      </c>
      <c r="L16" s="69"/>
      <c r="M16" s="69"/>
      <c r="N16" s="52"/>
      <c r="O16" s="124"/>
      <c r="P16" s="74"/>
      <c r="Q16" s="123"/>
      <c r="R16" s="119"/>
      <c r="S16" s="124"/>
      <c r="T16" s="125"/>
    </row>
    <row r="17" spans="1:20" ht="15" x14ac:dyDescent="0.25">
      <c r="A17"/>
      <c r="B17"/>
      <c r="C17" s="148"/>
      <c r="D17" s="134"/>
      <c r="E17" s="135"/>
      <c r="F17" s="134"/>
      <c r="G17" s="63"/>
      <c r="H17" s="63"/>
      <c r="I17" s="7"/>
      <c r="J17" s="50"/>
      <c r="N17" s="52"/>
      <c r="O17" s="124"/>
      <c r="P17" s="74"/>
      <c r="Q17" s="123"/>
      <c r="R17" s="119"/>
      <c r="S17" s="124"/>
      <c r="T17" s="125"/>
    </row>
    <row r="18" spans="1:20" ht="15" x14ac:dyDescent="0.25">
      <c r="A18" s="3" t="s">
        <v>2089</v>
      </c>
      <c r="B18"/>
      <c r="C18" s="148">
        <v>0</v>
      </c>
      <c r="D18" s="134">
        <f>Meters!E22</f>
        <v>203.77534246575343</v>
      </c>
      <c r="E18" s="133">
        <f>C18*D18</f>
        <v>0</v>
      </c>
      <c r="F18" s="54">
        <f>E18/$E$41</f>
        <v>0</v>
      </c>
      <c r="G18" s="63"/>
      <c r="H18" s="63"/>
      <c r="I18" s="7" t="s">
        <v>200</v>
      </c>
      <c r="J18" s="71">
        <v>12893</v>
      </c>
      <c r="K18" s="69">
        <f>J18/$J$68</f>
        <v>5.3996214024860122E-2</v>
      </c>
      <c r="L18" s="69"/>
      <c r="M18" s="69"/>
      <c r="N18" s="52"/>
      <c r="O18" s="124"/>
      <c r="P18" s="74"/>
      <c r="Q18" s="123"/>
      <c r="R18" s="119"/>
      <c r="S18" s="124"/>
      <c r="T18" s="125"/>
    </row>
    <row r="19" spans="1:20" ht="15" x14ac:dyDescent="0.25">
      <c r="A19"/>
      <c r="B19"/>
      <c r="C19" s="148"/>
      <c r="D19" s="134"/>
      <c r="E19" s="117"/>
      <c r="F19" s="134"/>
      <c r="G19" s="63"/>
      <c r="H19" s="63"/>
      <c r="I19" s="7"/>
      <c r="J19" s="50"/>
      <c r="N19" s="52"/>
      <c r="O19" s="124"/>
      <c r="P19" s="143"/>
      <c r="Q19" s="144"/>
      <c r="R19" s="118"/>
      <c r="S19" s="145"/>
      <c r="T19" s="146"/>
    </row>
    <row r="20" spans="1:20" ht="15" x14ac:dyDescent="0.25">
      <c r="A20" s="7" t="s">
        <v>2090</v>
      </c>
      <c r="B20"/>
      <c r="C20" s="148">
        <v>3803.33</v>
      </c>
      <c r="D20" s="134">
        <f>Meters!E24</f>
        <v>766.28493150684926</v>
      </c>
      <c r="E20" s="133">
        <f>C20*D20</f>
        <v>2914434.4685479449</v>
      </c>
      <c r="F20" s="54">
        <f>E20/$E$41</f>
        <v>6.6102379692424872E-3</v>
      </c>
      <c r="G20" s="63"/>
      <c r="H20" s="63"/>
      <c r="I20" s="7" t="s">
        <v>201</v>
      </c>
      <c r="J20" s="50">
        <v>0</v>
      </c>
      <c r="K20" s="69">
        <f>J20/$J$68</f>
        <v>0</v>
      </c>
      <c r="L20" s="69"/>
      <c r="M20" s="69"/>
      <c r="N20" s="52"/>
      <c r="O20" s="124"/>
      <c r="P20" s="74"/>
      <c r="Q20" s="123"/>
      <c r="R20" s="119"/>
      <c r="S20" s="124"/>
      <c r="T20" s="125"/>
    </row>
    <row r="21" spans="1:20" ht="15" x14ac:dyDescent="0.25">
      <c r="A21"/>
      <c r="B21"/>
      <c r="C21" s="148"/>
      <c r="D21" s="134"/>
      <c r="E21" s="135"/>
      <c r="F21" s="134"/>
      <c r="G21" s="63"/>
      <c r="H21" s="63"/>
      <c r="I21" s="7"/>
      <c r="J21" s="50"/>
      <c r="N21" s="52"/>
      <c r="O21" s="124"/>
      <c r="P21" s="74"/>
      <c r="Q21" s="123"/>
      <c r="R21" s="119"/>
      <c r="S21" s="124"/>
      <c r="T21" s="125"/>
    </row>
    <row r="22" spans="1:20" ht="15" x14ac:dyDescent="0.25">
      <c r="A22" s="7" t="s">
        <v>2169</v>
      </c>
      <c r="B22"/>
      <c r="C22" s="148">
        <v>0</v>
      </c>
      <c r="D22" s="134">
        <f>Meters!E26</f>
        <v>255.53698630136986</v>
      </c>
      <c r="E22" s="133">
        <f>C22*D22</f>
        <v>0</v>
      </c>
      <c r="F22" s="54">
        <f>E22/$E$41</f>
        <v>0</v>
      </c>
      <c r="G22" s="63"/>
      <c r="H22" s="63"/>
      <c r="I22" s="7" t="s">
        <v>205</v>
      </c>
      <c r="J22" s="50">
        <v>0</v>
      </c>
      <c r="K22" s="69">
        <f>J22/$J$68</f>
        <v>0</v>
      </c>
      <c r="L22" s="69"/>
      <c r="M22" s="69"/>
      <c r="N22" s="52"/>
      <c r="O22" s="124"/>
      <c r="P22" s="74"/>
      <c r="Q22" s="123"/>
      <c r="R22" s="119"/>
      <c r="S22" s="124"/>
      <c r="T22" s="125"/>
    </row>
    <row r="23" spans="1:20" ht="15" x14ac:dyDescent="0.25">
      <c r="A23"/>
      <c r="B23"/>
      <c r="C23" s="148"/>
      <c r="D23" s="134"/>
      <c r="E23" s="135"/>
      <c r="F23" s="134"/>
      <c r="G23" s="63"/>
      <c r="H23" s="63"/>
      <c r="I23"/>
      <c r="J23" s="72"/>
      <c r="N23" s="52"/>
      <c r="O23" s="124"/>
      <c r="P23" s="74"/>
      <c r="Q23" s="123"/>
      <c r="R23" s="119"/>
      <c r="S23" s="124"/>
      <c r="T23" s="125"/>
    </row>
    <row r="24" spans="1:20" ht="15" x14ac:dyDescent="0.25">
      <c r="A24" s="7" t="s">
        <v>1795</v>
      </c>
      <c r="B24"/>
      <c r="C24" s="148">
        <v>0</v>
      </c>
      <c r="D24" s="134">
        <f>Meters!E28</f>
        <v>20</v>
      </c>
      <c r="E24" s="133">
        <f>C24*D24</f>
        <v>0</v>
      </c>
      <c r="F24" s="54">
        <f>E24/$E$41</f>
        <v>0</v>
      </c>
      <c r="G24" s="63"/>
      <c r="H24" s="63"/>
      <c r="I24" s="7" t="s">
        <v>198</v>
      </c>
      <c r="J24" s="50">
        <v>41</v>
      </c>
      <c r="K24" s="69">
        <f>J24/$J$68</f>
        <v>1.7170904948571046E-4</v>
      </c>
      <c r="L24" s="69"/>
      <c r="M24" s="69"/>
      <c r="N24" s="52"/>
      <c r="O24" s="124"/>
      <c r="P24" s="143"/>
      <c r="Q24" s="144"/>
      <c r="R24" s="118"/>
      <c r="S24" s="145"/>
      <c r="T24" s="146"/>
    </row>
    <row r="25" spans="1:20" ht="15" x14ac:dyDescent="0.25">
      <c r="A25" s="7"/>
      <c r="B25"/>
      <c r="C25" s="148"/>
      <c r="D25" s="134"/>
      <c r="E25" s="117"/>
      <c r="F25" s="134"/>
      <c r="G25" s="63"/>
      <c r="H25" s="63"/>
      <c r="I25" s="7"/>
      <c r="J25" s="50"/>
      <c r="N25" s="52"/>
      <c r="O25" s="124"/>
      <c r="P25" s="74"/>
      <c r="Q25" s="123"/>
      <c r="R25" s="119"/>
      <c r="S25" s="124"/>
      <c r="T25" s="125"/>
    </row>
    <row r="26" spans="1:20" ht="15" x14ac:dyDescent="0.25">
      <c r="A26" s="7" t="s">
        <v>2087</v>
      </c>
      <c r="B26"/>
      <c r="C26" s="148">
        <v>0</v>
      </c>
      <c r="D26" s="134">
        <f>Meters!E30</f>
        <v>1</v>
      </c>
      <c r="E26" s="133">
        <f>C26*D26</f>
        <v>0</v>
      </c>
      <c r="F26" s="54">
        <f>E26/$E$41</f>
        <v>0</v>
      </c>
      <c r="G26" s="63"/>
      <c r="H26" s="63"/>
      <c r="I26" s="7" t="s">
        <v>199</v>
      </c>
      <c r="J26" s="50">
        <v>0</v>
      </c>
      <c r="K26" s="69">
        <f>J26/$J$68</f>
        <v>0</v>
      </c>
      <c r="L26" s="69"/>
      <c r="M26" s="69"/>
      <c r="N26" s="52"/>
      <c r="O26" s="124"/>
      <c r="P26" s="143"/>
      <c r="Q26" s="144"/>
      <c r="R26" s="118"/>
      <c r="S26" s="145"/>
      <c r="T26" s="146"/>
    </row>
    <row r="27" spans="1:20" ht="15" x14ac:dyDescent="0.25">
      <c r="A27" s="7"/>
      <c r="B27"/>
      <c r="C27" s="148"/>
      <c r="D27" s="134"/>
      <c r="E27" s="133"/>
      <c r="F27" s="134"/>
      <c r="G27" s="63"/>
      <c r="H27" s="63"/>
      <c r="I27" s="7"/>
      <c r="J27" s="50"/>
      <c r="N27" s="52"/>
      <c r="O27" s="124"/>
      <c r="P27" s="74"/>
      <c r="Q27" s="123"/>
      <c r="R27" s="119"/>
      <c r="S27" s="124"/>
      <c r="T27" s="125"/>
    </row>
    <row r="28" spans="1:20" ht="15" x14ac:dyDescent="0.25">
      <c r="A28" s="7" t="s">
        <v>2103</v>
      </c>
      <c r="B28"/>
      <c r="C28" s="148">
        <v>0</v>
      </c>
      <c r="D28" s="134">
        <f>Meters!E32</f>
        <v>173293</v>
      </c>
      <c r="E28" s="133">
        <f>C28*D28</f>
        <v>0</v>
      </c>
      <c r="F28" s="54">
        <f>E28/$E$41</f>
        <v>0</v>
      </c>
      <c r="G28" s="63"/>
      <c r="H28" s="63"/>
      <c r="I28" s="3" t="s">
        <v>208</v>
      </c>
      <c r="J28" s="50">
        <v>0</v>
      </c>
      <c r="K28" s="69">
        <f>J28/$J$68</f>
        <v>0</v>
      </c>
      <c r="L28" s="69"/>
      <c r="M28" s="69"/>
      <c r="N28" s="52"/>
      <c r="O28" s="124"/>
      <c r="P28" s="74"/>
      <c r="Q28" s="123"/>
      <c r="R28" s="119"/>
      <c r="S28" s="124"/>
      <c r="T28" s="125"/>
    </row>
    <row r="29" spans="1:20" ht="15" x14ac:dyDescent="0.25">
      <c r="A29" s="7"/>
      <c r="B29"/>
      <c r="C29" s="148"/>
      <c r="D29" s="134"/>
      <c r="E29" s="133"/>
      <c r="F29" s="54"/>
      <c r="G29" s="63"/>
      <c r="H29" s="63"/>
      <c r="I29" s="3"/>
      <c r="J29" s="50"/>
      <c r="K29" s="69"/>
      <c r="L29" s="69"/>
      <c r="M29" s="69"/>
      <c r="N29" s="52"/>
      <c r="O29" s="124"/>
      <c r="P29" s="74"/>
      <c r="Q29" s="123"/>
      <c r="R29" s="119"/>
      <c r="S29" s="124"/>
      <c r="T29" s="125"/>
    </row>
    <row r="30" spans="1:20" ht="15" x14ac:dyDescent="0.25">
      <c r="A30" s="7" t="s">
        <v>2104</v>
      </c>
      <c r="B30"/>
      <c r="C30" s="148">
        <v>0</v>
      </c>
      <c r="D30" s="134">
        <f>Meters!E34</f>
        <v>108</v>
      </c>
      <c r="E30" s="133">
        <f>C30*D30</f>
        <v>0</v>
      </c>
      <c r="F30" s="54">
        <f>E30/$E$41</f>
        <v>0</v>
      </c>
      <c r="G30" s="63"/>
      <c r="H30" s="63"/>
      <c r="I30" s="3"/>
      <c r="J30" s="50"/>
      <c r="K30" s="69"/>
      <c r="L30" s="69"/>
      <c r="M30" s="69"/>
      <c r="N30" s="52"/>
      <c r="O30" s="124"/>
      <c r="P30" s="74"/>
      <c r="Q30" s="123"/>
      <c r="R30" s="119"/>
      <c r="S30" s="124"/>
      <c r="T30" s="125"/>
    </row>
    <row r="31" spans="1:20" ht="15" x14ac:dyDescent="0.25">
      <c r="A31" s="7"/>
      <c r="B31"/>
      <c r="C31" s="148"/>
      <c r="D31" s="134"/>
      <c r="E31" s="133"/>
      <c r="F31" s="54"/>
      <c r="G31" s="63"/>
      <c r="H31" s="63"/>
      <c r="I31" s="3"/>
      <c r="J31" s="50"/>
      <c r="K31" s="69"/>
      <c r="L31" s="69"/>
      <c r="M31" s="69"/>
      <c r="N31" s="52"/>
      <c r="O31" s="124"/>
      <c r="P31" s="74"/>
      <c r="Q31" s="123"/>
      <c r="R31" s="119"/>
      <c r="S31" s="124"/>
      <c r="T31" s="125"/>
    </row>
    <row r="32" spans="1:20" ht="15" x14ac:dyDescent="0.25">
      <c r="A32" s="7" t="s">
        <v>2105</v>
      </c>
      <c r="B32"/>
      <c r="C32" s="148">
        <v>0</v>
      </c>
      <c r="D32" s="134">
        <f>Meters!E36</f>
        <v>1331</v>
      </c>
      <c r="E32" s="133">
        <f>C32*D32</f>
        <v>0</v>
      </c>
      <c r="F32" s="54">
        <f>E32/$E$41</f>
        <v>0</v>
      </c>
      <c r="G32" s="63"/>
      <c r="H32" s="63"/>
      <c r="I32" s="3"/>
      <c r="J32" s="50"/>
      <c r="K32" s="69"/>
      <c r="L32" s="69"/>
      <c r="M32" s="69"/>
      <c r="N32" s="52"/>
      <c r="O32" s="124"/>
      <c r="P32" s="74"/>
      <c r="Q32" s="123"/>
      <c r="R32" s="119"/>
      <c r="S32" s="124"/>
      <c r="T32" s="125"/>
    </row>
    <row r="33" spans="1:20" ht="15" x14ac:dyDescent="0.25">
      <c r="A33" s="7"/>
      <c r="B33"/>
      <c r="C33" s="148"/>
      <c r="D33" s="134"/>
      <c r="E33" s="133"/>
      <c r="F33" s="54"/>
      <c r="G33" s="63"/>
      <c r="H33" s="63"/>
      <c r="I33" s="3"/>
      <c r="J33" s="50"/>
      <c r="K33" s="69"/>
      <c r="L33" s="69"/>
      <c r="M33" s="69"/>
      <c r="N33" s="52"/>
      <c r="O33" s="124"/>
      <c r="P33" s="74"/>
      <c r="Q33" s="123"/>
      <c r="R33" s="119"/>
      <c r="S33" s="124"/>
      <c r="T33" s="125"/>
    </row>
    <row r="34" spans="1:20" ht="15" x14ac:dyDescent="0.25">
      <c r="A34" s="7" t="str">
        <f>Meters!A38</f>
        <v>Outdoor Sports Lighting Rate OSL</v>
      </c>
      <c r="B34"/>
      <c r="C34" s="148">
        <f>C16</f>
        <v>2293.9899999999998</v>
      </c>
      <c r="D34" s="134">
        <f>Meters!E38</f>
        <v>4</v>
      </c>
      <c r="E34" s="133">
        <f>C34*D34</f>
        <v>9175.9599999999991</v>
      </c>
      <c r="F34" s="54">
        <f>E34/$E$41</f>
        <v>2.0812023687899386E-5</v>
      </c>
      <c r="G34" s="63"/>
      <c r="H34" s="63"/>
      <c r="I34" s="3"/>
      <c r="J34" s="50"/>
      <c r="K34" s="69"/>
      <c r="L34" s="69"/>
      <c r="M34" s="69"/>
      <c r="N34" s="52"/>
      <c r="O34" s="124"/>
      <c r="P34" s="74"/>
      <c r="Q34" s="123"/>
      <c r="R34" s="119"/>
      <c r="S34" s="124"/>
      <c r="T34" s="125"/>
    </row>
    <row r="35" spans="1:20" ht="15" x14ac:dyDescent="0.25">
      <c r="A35" s="7"/>
      <c r="B35"/>
      <c r="C35" s="148"/>
      <c r="D35" s="134"/>
      <c r="E35" s="133"/>
      <c r="F35" s="54"/>
      <c r="G35" s="63"/>
      <c r="H35" s="63"/>
      <c r="I35" s="3"/>
      <c r="J35" s="50"/>
      <c r="K35" s="69"/>
      <c r="L35" s="69"/>
      <c r="M35" s="69"/>
      <c r="N35" s="52"/>
      <c r="O35" s="124"/>
      <c r="P35" s="74"/>
      <c r="Q35" s="123"/>
      <c r="R35" s="119"/>
      <c r="S35" s="124"/>
      <c r="T35" s="125"/>
    </row>
    <row r="36" spans="1:20" ht="15" x14ac:dyDescent="0.25">
      <c r="A36" s="7" t="str">
        <f>Meters!A40</f>
        <v>Electric Vehicle Charging Rate EV</v>
      </c>
      <c r="B36"/>
      <c r="C36" s="148">
        <v>0</v>
      </c>
      <c r="D36" s="134">
        <f>Meters!E40</f>
        <v>10</v>
      </c>
      <c r="E36" s="133">
        <f>C36*D36</f>
        <v>0</v>
      </c>
      <c r="F36" s="54">
        <f>E36/$E$41</f>
        <v>0</v>
      </c>
      <c r="G36" s="63"/>
      <c r="H36" s="63"/>
      <c r="I36" s="3"/>
      <c r="J36" s="50"/>
      <c r="K36" s="69"/>
      <c r="L36" s="69"/>
      <c r="M36" s="69"/>
      <c r="N36" s="52"/>
      <c r="O36" s="124"/>
      <c r="P36" s="74"/>
      <c r="Q36" s="123"/>
      <c r="R36" s="119"/>
      <c r="S36" s="124"/>
      <c r="T36" s="125"/>
    </row>
    <row r="37" spans="1:20" ht="15" x14ac:dyDescent="0.25">
      <c r="A37" s="7"/>
      <c r="B37"/>
      <c r="C37" s="148"/>
      <c r="D37" s="134"/>
      <c r="E37" s="133"/>
      <c r="F37" s="54"/>
      <c r="G37" s="63"/>
      <c r="H37" s="63"/>
      <c r="I37" s="3"/>
      <c r="J37" s="50"/>
      <c r="K37" s="69"/>
      <c r="L37" s="69"/>
      <c r="M37" s="69"/>
      <c r="N37" s="52"/>
      <c r="O37" s="124"/>
      <c r="P37" s="74"/>
      <c r="Q37" s="123"/>
      <c r="R37" s="119"/>
      <c r="S37" s="124"/>
      <c r="T37" s="125"/>
    </row>
    <row r="38" spans="1:20" ht="15" x14ac:dyDescent="0.25">
      <c r="A38" s="7" t="str">
        <f>Meters!A42</f>
        <v>Solar Share Rate SSP</v>
      </c>
      <c r="B38"/>
      <c r="C38" s="148">
        <v>0</v>
      </c>
      <c r="D38" s="134">
        <f>Meters!E42</f>
        <v>0</v>
      </c>
      <c r="E38" s="133">
        <f>C38*D38</f>
        <v>0</v>
      </c>
      <c r="F38" s="54">
        <f>E38/$E$41</f>
        <v>0</v>
      </c>
      <c r="G38" s="63"/>
      <c r="H38" s="63"/>
      <c r="I38" s="3"/>
      <c r="J38" s="50"/>
      <c r="K38" s="69"/>
      <c r="L38" s="69"/>
      <c r="M38" s="69"/>
      <c r="N38" s="52"/>
      <c r="O38" s="124"/>
      <c r="P38" s="74"/>
      <c r="Q38" s="123"/>
      <c r="R38" s="119"/>
      <c r="S38" s="124"/>
      <c r="T38" s="125"/>
    </row>
    <row r="39" spans="1:20" ht="15" x14ac:dyDescent="0.25">
      <c r="A39" s="7"/>
      <c r="B39"/>
      <c r="C39" s="148"/>
      <c r="D39" s="134"/>
      <c r="E39" s="133"/>
      <c r="F39" s="54"/>
      <c r="G39" s="63"/>
      <c r="H39" s="63"/>
      <c r="I39" s="3"/>
      <c r="J39" s="50"/>
      <c r="K39" s="69"/>
      <c r="L39" s="69"/>
      <c r="M39" s="69"/>
      <c r="N39" s="52"/>
      <c r="O39" s="124"/>
      <c r="P39" s="74"/>
      <c r="Q39" s="123"/>
      <c r="R39" s="119"/>
      <c r="S39" s="124"/>
      <c r="T39" s="125"/>
    </row>
    <row r="40" spans="1:20" ht="15" x14ac:dyDescent="0.25">
      <c r="A40" s="20" t="str">
        <f>Meters!A44</f>
        <v>Business Solar Rate BS</v>
      </c>
      <c r="B40" s="137"/>
      <c r="C40" s="149">
        <v>0</v>
      </c>
      <c r="D40" s="139">
        <f>Meters!E44</f>
        <v>0</v>
      </c>
      <c r="E40" s="138">
        <f>C40*D40</f>
        <v>0</v>
      </c>
      <c r="F40" s="175">
        <f>E40/$E$41</f>
        <v>0</v>
      </c>
      <c r="G40" s="63"/>
      <c r="H40" s="63"/>
      <c r="I40" s="3"/>
      <c r="J40" s="50"/>
      <c r="K40" s="69"/>
      <c r="L40" s="69"/>
      <c r="M40" s="69"/>
      <c r="N40" s="52"/>
      <c r="O40" s="124"/>
      <c r="P40" s="74"/>
      <c r="Q40" s="123"/>
      <c r="R40" s="119"/>
      <c r="S40" s="124"/>
      <c r="T40" s="125"/>
    </row>
    <row r="41" spans="1:20" ht="15" x14ac:dyDescent="0.25">
      <c r="A41" s="3" t="s">
        <v>62</v>
      </c>
      <c r="B41"/>
      <c r="C41" s="133"/>
      <c r="D41" s="140">
        <f>SUM(D4:D40)</f>
        <v>686305.59452054789</v>
      </c>
      <c r="E41" s="91">
        <f>SUM(E4:E40)</f>
        <v>440897057.27824652</v>
      </c>
      <c r="F41" s="54">
        <f>SUM(F10:F40)</f>
        <v>0.99999999999999989</v>
      </c>
      <c r="I41" s="3" t="s">
        <v>209</v>
      </c>
      <c r="J41" s="50">
        <v>0</v>
      </c>
      <c r="K41" s="69">
        <f>J41/$J$68</f>
        <v>0</v>
      </c>
      <c r="L41" s="69"/>
      <c r="M41" s="69"/>
      <c r="N41" s="52"/>
      <c r="O41" s="124"/>
      <c r="P41" s="74"/>
      <c r="Q41" s="123"/>
      <c r="R41" s="119"/>
      <c r="S41" s="124"/>
      <c r="T41" s="125"/>
    </row>
    <row r="42" spans="1:20" ht="14.25" x14ac:dyDescent="0.2">
      <c r="A42" s="48"/>
      <c r="D42" s="56"/>
      <c r="I42" s="7"/>
      <c r="J42" s="50"/>
      <c r="N42" s="52"/>
      <c r="O42" s="124"/>
      <c r="P42" s="74"/>
      <c r="Q42" s="123"/>
      <c r="R42" s="119"/>
      <c r="S42" s="124"/>
      <c r="T42" s="125"/>
    </row>
    <row r="43" spans="1:20" ht="14.25" x14ac:dyDescent="0.2">
      <c r="A43" s="118"/>
      <c r="B43" s="119"/>
      <c r="C43" s="74"/>
      <c r="D43" s="123"/>
      <c r="E43" s="74"/>
      <c r="F43" s="74"/>
      <c r="I43" s="3" t="s">
        <v>206</v>
      </c>
      <c r="J43" s="50">
        <v>0</v>
      </c>
      <c r="K43" s="69">
        <f>J43/$J$68</f>
        <v>0</v>
      </c>
      <c r="L43" s="69"/>
      <c r="M43" s="69"/>
      <c r="N43" s="52"/>
      <c r="O43" s="124"/>
      <c r="P43" s="74"/>
      <c r="Q43" s="123"/>
      <c r="R43" s="119"/>
      <c r="S43" s="124"/>
      <c r="T43" s="123"/>
    </row>
    <row r="44" spans="1:20" ht="14.25" x14ac:dyDescent="0.2">
      <c r="A44" s="122"/>
      <c r="B44" s="119"/>
      <c r="C44" s="74"/>
      <c r="D44" s="123"/>
      <c r="E44" s="74"/>
      <c r="F44" s="74"/>
      <c r="I44" s="7"/>
      <c r="J44" s="50"/>
      <c r="N44" s="57"/>
      <c r="O44" s="127"/>
      <c r="P44" s="119"/>
      <c r="Q44" s="119"/>
      <c r="R44" s="119"/>
      <c r="S44" s="127"/>
      <c r="T44" s="119"/>
    </row>
    <row r="45" spans="1:20" ht="14.25" x14ac:dyDescent="0.2">
      <c r="A45" s="118"/>
      <c r="B45" s="119"/>
      <c r="C45" s="53" t="s">
        <v>2095</v>
      </c>
      <c r="D45" s="53"/>
      <c r="E45" s="60">
        <f>'WSS-29'!F40</f>
        <v>124944572</v>
      </c>
      <c r="F45" s="74"/>
      <c r="I45" s="3" t="s">
        <v>207</v>
      </c>
      <c r="J45" s="50">
        <v>0</v>
      </c>
      <c r="K45" s="69">
        <f>J45/$J$68</f>
        <v>0</v>
      </c>
      <c r="L45" s="69"/>
      <c r="M45" s="69"/>
      <c r="N45" s="57"/>
      <c r="O45" s="120"/>
      <c r="P45" s="119"/>
      <c r="Q45" s="119"/>
      <c r="R45" s="119"/>
      <c r="S45" s="120"/>
      <c r="T45" s="119"/>
    </row>
    <row r="46" spans="1:20" ht="14.25" x14ac:dyDescent="0.2">
      <c r="A46" s="122"/>
      <c r="B46" s="119"/>
      <c r="C46" s="119"/>
      <c r="D46" s="123"/>
      <c r="E46" s="119"/>
      <c r="F46" s="119"/>
      <c r="I46" s="7"/>
      <c r="J46" s="50"/>
      <c r="N46" s="57"/>
      <c r="O46" s="74"/>
      <c r="P46" s="119"/>
      <c r="Q46" s="119"/>
      <c r="R46" s="119"/>
      <c r="S46" s="74"/>
      <c r="T46" s="119"/>
    </row>
    <row r="47" spans="1:20" ht="14.25" x14ac:dyDescent="0.2">
      <c r="A47" s="118"/>
      <c r="B47" s="119"/>
      <c r="C47" s="74"/>
      <c r="D47" s="123"/>
      <c r="E47" s="74"/>
      <c r="F47" s="74"/>
      <c r="I47" s="7" t="s">
        <v>651</v>
      </c>
      <c r="J47" s="50">
        <v>0</v>
      </c>
      <c r="K47" s="69">
        <f>J47/$J$68</f>
        <v>0</v>
      </c>
      <c r="L47" s="69"/>
      <c r="M47" s="69"/>
      <c r="N47" s="119"/>
      <c r="O47" s="119"/>
      <c r="P47" s="119"/>
      <c r="Q47" s="119"/>
      <c r="R47" s="119"/>
      <c r="S47" s="119"/>
      <c r="T47" s="119"/>
    </row>
    <row r="48" spans="1:20" ht="14.25" x14ac:dyDescent="0.2">
      <c r="A48" s="122"/>
      <c r="B48" s="119"/>
      <c r="C48" s="119"/>
      <c r="D48" s="123"/>
      <c r="E48" s="119"/>
      <c r="F48" s="119"/>
      <c r="I48" s="7"/>
      <c r="J48" s="50"/>
    </row>
    <row r="49" spans="1:19" ht="14.25" x14ac:dyDescent="0.2">
      <c r="A49" s="118"/>
      <c r="B49" s="119"/>
      <c r="C49" s="74"/>
      <c r="D49" s="123"/>
      <c r="E49" s="74"/>
      <c r="F49" s="74"/>
      <c r="I49" s="7" t="s">
        <v>371</v>
      </c>
      <c r="J49" s="50">
        <v>0</v>
      </c>
      <c r="K49" s="69">
        <f>J49/$J$68</f>
        <v>0</v>
      </c>
      <c r="L49" s="69"/>
      <c r="M49" s="69"/>
      <c r="N49" s="53"/>
      <c r="O49" s="53"/>
      <c r="S49" s="53"/>
    </row>
    <row r="50" spans="1:19" ht="14.25" x14ac:dyDescent="0.2">
      <c r="A50" s="122"/>
      <c r="B50" s="119"/>
      <c r="C50" s="119"/>
      <c r="D50" s="123"/>
      <c r="E50" s="119"/>
      <c r="F50" s="119"/>
      <c r="I50" s="7"/>
      <c r="J50" s="50"/>
    </row>
    <row r="51" spans="1:19" ht="14.25" x14ac:dyDescent="0.2">
      <c r="A51" s="122"/>
      <c r="B51" s="119"/>
      <c r="C51" s="74"/>
      <c r="D51" s="123"/>
      <c r="E51" s="74"/>
      <c r="F51" s="74"/>
      <c r="I51" s="7" t="s">
        <v>652</v>
      </c>
      <c r="J51" s="50">
        <v>0</v>
      </c>
      <c r="K51" s="69">
        <f>J51/$J$68</f>
        <v>0</v>
      </c>
      <c r="L51" s="69"/>
      <c r="M51" s="69"/>
    </row>
    <row r="52" spans="1:19" x14ac:dyDescent="0.2">
      <c r="A52" s="122"/>
      <c r="B52" s="119"/>
      <c r="C52" s="119"/>
      <c r="D52" s="123"/>
      <c r="E52" s="119"/>
      <c r="F52" s="119"/>
      <c r="H52" s="53"/>
      <c r="I52" s="53"/>
      <c r="J52" s="53"/>
      <c r="K52" s="53"/>
      <c r="L52" s="53"/>
      <c r="M52" s="53"/>
      <c r="N52" s="53"/>
      <c r="O52" s="53"/>
      <c r="P52" s="53"/>
      <c r="Q52" s="53"/>
      <c r="R52" s="53"/>
      <c r="S52" s="53"/>
    </row>
    <row r="53" spans="1:19" x14ac:dyDescent="0.2">
      <c r="A53" s="118"/>
      <c r="B53" s="119"/>
      <c r="C53" s="74"/>
      <c r="D53" s="123"/>
      <c r="E53" s="74"/>
      <c r="F53" s="74"/>
      <c r="H53" s="53"/>
      <c r="I53" s="53"/>
      <c r="J53" s="53"/>
      <c r="K53" s="53"/>
      <c r="L53" s="53"/>
      <c r="M53" s="53"/>
      <c r="N53" s="53"/>
      <c r="O53" s="53"/>
      <c r="P53" s="53"/>
      <c r="Q53" s="53"/>
      <c r="R53" s="53"/>
      <c r="S53" s="53"/>
    </row>
    <row r="54" spans="1:19" ht="14.25" x14ac:dyDescent="0.2">
      <c r="A54" s="122"/>
      <c r="B54" s="119"/>
      <c r="C54" s="119"/>
      <c r="D54" s="123"/>
      <c r="E54" s="119"/>
      <c r="F54" s="119"/>
      <c r="I54" s="7"/>
      <c r="J54" s="50"/>
    </row>
    <row r="55" spans="1:19" ht="14.25" x14ac:dyDescent="0.2">
      <c r="A55" s="122"/>
      <c r="B55" s="119"/>
      <c r="C55" s="74"/>
      <c r="D55" s="123"/>
      <c r="E55" s="74"/>
      <c r="F55" s="74"/>
      <c r="I55" s="7" t="s">
        <v>819</v>
      </c>
      <c r="J55" s="50">
        <v>0</v>
      </c>
      <c r="K55" s="69">
        <f>J55/$J$68</f>
        <v>0</v>
      </c>
      <c r="L55" s="69"/>
      <c r="M55" s="69"/>
    </row>
    <row r="56" spans="1:19" ht="15" x14ac:dyDescent="0.25">
      <c r="A56" s="122"/>
      <c r="B56" s="119"/>
      <c r="C56" s="119"/>
      <c r="D56" s="123"/>
      <c r="E56" s="119"/>
      <c r="F56" s="119"/>
      <c r="I56"/>
      <c r="J56" s="50"/>
    </row>
    <row r="57" spans="1:19" ht="14.25" x14ac:dyDescent="0.2">
      <c r="A57" s="122"/>
      <c r="B57" s="119"/>
      <c r="C57" s="74"/>
      <c r="D57" s="123"/>
      <c r="E57" s="74"/>
      <c r="F57" s="74"/>
      <c r="I57" s="3" t="s">
        <v>820</v>
      </c>
      <c r="J57" s="50">
        <v>96</v>
      </c>
      <c r="K57" s="69">
        <f>J57/$J$68</f>
        <v>4.0205045733239519E-4</v>
      </c>
      <c r="L57" s="69"/>
      <c r="M57" s="69"/>
    </row>
    <row r="58" spans="1:19" ht="15" x14ac:dyDescent="0.25">
      <c r="A58" s="122"/>
      <c r="B58" s="119"/>
      <c r="C58" s="119"/>
      <c r="D58" s="123"/>
      <c r="E58" s="119"/>
      <c r="F58" s="119"/>
      <c r="I58"/>
      <c r="J58" s="50"/>
    </row>
    <row r="59" spans="1:19" ht="14.25" x14ac:dyDescent="0.2">
      <c r="A59" s="122"/>
      <c r="B59" s="119"/>
      <c r="C59" s="74"/>
      <c r="D59" s="123"/>
      <c r="E59" s="74"/>
      <c r="F59" s="74"/>
      <c r="I59" s="3" t="s">
        <v>266</v>
      </c>
      <c r="J59" s="50">
        <v>0</v>
      </c>
      <c r="K59" s="69">
        <f>J59/$J$68</f>
        <v>0</v>
      </c>
      <c r="L59" s="69"/>
      <c r="M59" s="69"/>
    </row>
    <row r="60" spans="1:19" ht="14.25" x14ac:dyDescent="0.2">
      <c r="A60" s="122"/>
      <c r="B60" s="119"/>
      <c r="C60" s="119"/>
      <c r="D60" s="123"/>
      <c r="E60" s="119"/>
      <c r="F60" s="119"/>
      <c r="I60" s="7"/>
      <c r="J60" s="50"/>
    </row>
    <row r="61" spans="1:19" ht="14.25" x14ac:dyDescent="0.2">
      <c r="A61" s="122"/>
      <c r="B61" s="119"/>
      <c r="C61" s="74"/>
      <c r="D61" s="123"/>
      <c r="E61" s="74"/>
      <c r="F61" s="74"/>
      <c r="I61" s="7" t="s">
        <v>385</v>
      </c>
      <c r="J61" s="50">
        <v>0</v>
      </c>
      <c r="K61" s="69">
        <f>J61/$J$68</f>
        <v>0</v>
      </c>
      <c r="L61" s="69"/>
      <c r="M61" s="69"/>
    </row>
    <row r="62" spans="1:19" ht="14.25" x14ac:dyDescent="0.2">
      <c r="A62" s="119"/>
      <c r="B62" s="119"/>
      <c r="C62" s="74"/>
      <c r="D62" s="141"/>
      <c r="E62" s="74"/>
      <c r="F62" s="74"/>
      <c r="G62" s="63"/>
      <c r="H62" s="63"/>
      <c r="I62" s="7"/>
      <c r="J62" s="50"/>
    </row>
    <row r="63" spans="1:19" ht="14.25" x14ac:dyDescent="0.2">
      <c r="A63" s="119"/>
      <c r="B63" s="119"/>
      <c r="C63" s="119"/>
      <c r="D63" s="119"/>
      <c r="E63" s="119"/>
      <c r="F63" s="119"/>
      <c r="I63" s="7" t="s">
        <v>372</v>
      </c>
      <c r="J63" s="50">
        <v>0</v>
      </c>
      <c r="K63" s="69">
        <f>J63/$J$68</f>
        <v>0</v>
      </c>
      <c r="L63" s="69"/>
      <c r="M63" s="69"/>
    </row>
    <row r="64" spans="1:19" ht="14.25" x14ac:dyDescent="0.2">
      <c r="C64" s="49"/>
      <c r="E64" s="49"/>
      <c r="F64" s="60"/>
      <c r="I64" s="7"/>
      <c r="J64" s="50"/>
    </row>
    <row r="65" spans="9:14" ht="14.25" x14ac:dyDescent="0.2">
      <c r="I65" s="7" t="s">
        <v>822</v>
      </c>
      <c r="J65" s="50">
        <v>0</v>
      </c>
      <c r="K65" s="69">
        <f>J65/$J$68</f>
        <v>0</v>
      </c>
      <c r="L65" s="69"/>
      <c r="M65" s="69"/>
    </row>
    <row r="66" spans="9:14" ht="14.25" x14ac:dyDescent="0.2">
      <c r="I66" s="7"/>
      <c r="J66" s="72"/>
    </row>
    <row r="67" spans="9:14" ht="14.25" x14ac:dyDescent="0.2">
      <c r="I67" s="20" t="s">
        <v>821</v>
      </c>
      <c r="J67" s="51">
        <v>0</v>
      </c>
      <c r="K67" s="69">
        <f>J67/$J$68</f>
        <v>0</v>
      </c>
      <c r="L67" s="69"/>
      <c r="M67" s="69"/>
    </row>
    <row r="68" spans="9:14" x14ac:dyDescent="0.2">
      <c r="J68" s="50">
        <f>SUM(J10:J67)</f>
        <v>238776</v>
      </c>
      <c r="K68" s="69">
        <f>SUM(K10:K67)</f>
        <v>1</v>
      </c>
      <c r="L68" s="69"/>
      <c r="M68" s="69"/>
    </row>
    <row r="70" spans="9:14" x14ac:dyDescent="0.2">
      <c r="N70" s="59"/>
    </row>
    <row r="71" spans="9:14" x14ac:dyDescent="0.2">
      <c r="N71" s="53"/>
    </row>
    <row r="72" spans="9:14" x14ac:dyDescent="0.2">
      <c r="N72" s="53"/>
    </row>
    <row r="73" spans="9:14" x14ac:dyDescent="0.2">
      <c r="N73" s="53"/>
    </row>
    <row r="74" spans="9:14" x14ac:dyDescent="0.2">
      <c r="N74" s="53"/>
    </row>
    <row r="75" spans="9:14" x14ac:dyDescent="0.2">
      <c r="N75" s="54"/>
    </row>
    <row r="76" spans="9:14" x14ac:dyDescent="0.2">
      <c r="N76" s="55"/>
    </row>
    <row r="77" spans="9:14" x14ac:dyDescent="0.2">
      <c r="N77" s="55"/>
    </row>
    <row r="78" spans="9:14" x14ac:dyDescent="0.2">
      <c r="N78" s="55"/>
    </row>
    <row r="79" spans="9:14" x14ac:dyDescent="0.2">
      <c r="N79" s="55"/>
    </row>
    <row r="80" spans="9:14" x14ac:dyDescent="0.2">
      <c r="N80" s="55"/>
    </row>
    <row r="81" spans="14:14" x14ac:dyDescent="0.2">
      <c r="N81" s="55"/>
    </row>
    <row r="82" spans="14:14" x14ac:dyDescent="0.2">
      <c r="N82" s="55"/>
    </row>
    <row r="83" spans="14:14" x14ac:dyDescent="0.2">
      <c r="N83" s="55"/>
    </row>
    <row r="84" spans="14:14" x14ac:dyDescent="0.2">
      <c r="N84" s="55"/>
    </row>
    <row r="85" spans="14:14" x14ac:dyDescent="0.2">
      <c r="N85" s="55"/>
    </row>
    <row r="86" spans="14:14" x14ac:dyDescent="0.2">
      <c r="N86" s="55"/>
    </row>
    <row r="87" spans="14:14" x14ac:dyDescent="0.2">
      <c r="N87" s="55"/>
    </row>
    <row r="88" spans="14:14" x14ac:dyDescent="0.2">
      <c r="N88" s="55"/>
    </row>
    <row r="89" spans="14:14" x14ac:dyDescent="0.2">
      <c r="N89" s="55"/>
    </row>
    <row r="90" spans="14:14" x14ac:dyDescent="0.2">
      <c r="N90" s="55"/>
    </row>
    <row r="91" spans="14:14" x14ac:dyDescent="0.2">
      <c r="N91" s="55"/>
    </row>
    <row r="92" spans="14:14" x14ac:dyDescent="0.2">
      <c r="N92" s="55"/>
    </row>
    <row r="93" spans="14:14" x14ac:dyDescent="0.2">
      <c r="N93" s="55"/>
    </row>
    <row r="94" spans="14:14" x14ac:dyDescent="0.2">
      <c r="N94" s="55"/>
    </row>
    <row r="95" spans="14:14" x14ac:dyDescent="0.2">
      <c r="N95" s="55"/>
    </row>
    <row r="96" spans="14:14" x14ac:dyDescent="0.2">
      <c r="N96" s="55"/>
    </row>
    <row r="97" spans="14:14" x14ac:dyDescent="0.2">
      <c r="N97" s="55"/>
    </row>
    <row r="98" spans="14:14" x14ac:dyDescent="0.2">
      <c r="N98" s="55"/>
    </row>
    <row r="99" spans="14:14" x14ac:dyDescent="0.2">
      <c r="N99" s="55"/>
    </row>
    <row r="100" spans="14:14" x14ac:dyDescent="0.2">
      <c r="N100" s="55"/>
    </row>
    <row r="101" spans="14:14" x14ac:dyDescent="0.2">
      <c r="N101" s="55"/>
    </row>
    <row r="102" spans="14:14" x14ac:dyDescent="0.2">
      <c r="N102" s="55"/>
    </row>
    <row r="103" spans="14:14" x14ac:dyDescent="0.2">
      <c r="N103" s="58"/>
    </row>
    <row r="104" spans="14:14" x14ac:dyDescent="0.2">
      <c r="N104" s="59"/>
    </row>
    <row r="105" spans="14:14" x14ac:dyDescent="0.2">
      <c r="N105" s="60"/>
    </row>
    <row r="106" spans="14:14" x14ac:dyDescent="0.2">
      <c r="N106" s="53"/>
    </row>
    <row r="107" spans="14:14" x14ac:dyDescent="0.2">
      <c r="N107" s="53"/>
    </row>
    <row r="108" spans="14:14" x14ac:dyDescent="0.2">
      <c r="N108" s="53"/>
    </row>
    <row r="109" spans="14:14" x14ac:dyDescent="0.2">
      <c r="N109" s="53"/>
    </row>
    <row r="110" spans="14:14" x14ac:dyDescent="0.2">
      <c r="N110" s="53"/>
    </row>
    <row r="111" spans="14:14" x14ac:dyDescent="0.2">
      <c r="N111" s="53"/>
    </row>
    <row r="112" spans="14:14" x14ac:dyDescent="0.2">
      <c r="N112" s="53"/>
    </row>
    <row r="113" spans="14:14" x14ac:dyDescent="0.2">
      <c r="N113" s="53"/>
    </row>
    <row r="114" spans="14:14" x14ac:dyDescent="0.2">
      <c r="N114" s="53"/>
    </row>
    <row r="115" spans="14:14" x14ac:dyDescent="0.2">
      <c r="N115" s="53"/>
    </row>
    <row r="116" spans="14:14" x14ac:dyDescent="0.2">
      <c r="N116" s="53"/>
    </row>
    <row r="117" spans="14:14" x14ac:dyDescent="0.2">
      <c r="N117" s="53"/>
    </row>
    <row r="118" spans="14:14" x14ac:dyDescent="0.2">
      <c r="N118" s="53"/>
    </row>
    <row r="119" spans="14:14" x14ac:dyDescent="0.2">
      <c r="N119" s="53"/>
    </row>
    <row r="120" spans="14:14" x14ac:dyDescent="0.2">
      <c r="N120" s="53"/>
    </row>
    <row r="121" spans="14:14" x14ac:dyDescent="0.2">
      <c r="N121" s="53"/>
    </row>
    <row r="122" spans="14:14" x14ac:dyDescent="0.2">
      <c r="N122" s="53"/>
    </row>
    <row r="123" spans="14:14" x14ac:dyDescent="0.2">
      <c r="N123" s="53"/>
    </row>
    <row r="124" spans="14:14" x14ac:dyDescent="0.2">
      <c r="N124" s="53"/>
    </row>
    <row r="125" spans="14:14" x14ac:dyDescent="0.2">
      <c r="N125" s="53"/>
    </row>
    <row r="126" spans="14:14" x14ac:dyDescent="0.2">
      <c r="N126" s="53"/>
    </row>
    <row r="127" spans="14:14" x14ac:dyDescent="0.2">
      <c r="N127" s="53"/>
    </row>
    <row r="128" spans="14:14" x14ac:dyDescent="0.2">
      <c r="N128" s="53"/>
    </row>
    <row r="129" spans="14:14" x14ac:dyDescent="0.2">
      <c r="N129" s="53"/>
    </row>
    <row r="130" spans="14:14" x14ac:dyDescent="0.2">
      <c r="N130" s="53"/>
    </row>
    <row r="131" spans="14:14" x14ac:dyDescent="0.2">
      <c r="N131" s="53"/>
    </row>
    <row r="132" spans="14:14" x14ac:dyDescent="0.2">
      <c r="N132" s="53"/>
    </row>
    <row r="133" spans="14:14" x14ac:dyDescent="0.2">
      <c r="N133" s="53"/>
    </row>
    <row r="134" spans="14:14" x14ac:dyDescent="0.2">
      <c r="N134" s="53"/>
    </row>
    <row r="135" spans="14:14" x14ac:dyDescent="0.2">
      <c r="N135" s="53"/>
    </row>
    <row r="136" spans="14:14" x14ac:dyDescent="0.2">
      <c r="N136" s="53"/>
    </row>
    <row r="137" spans="14:14" x14ac:dyDescent="0.2">
      <c r="N137" s="53"/>
    </row>
    <row r="138" spans="14:14" x14ac:dyDescent="0.2">
      <c r="N138" s="53"/>
    </row>
    <row r="139" spans="14:14" x14ac:dyDescent="0.2">
      <c r="N139" s="53"/>
    </row>
    <row r="140" spans="14:14" x14ac:dyDescent="0.2">
      <c r="N140" s="53"/>
    </row>
    <row r="141" spans="14:14" x14ac:dyDescent="0.2">
      <c r="N141" s="53"/>
    </row>
    <row r="142" spans="14:14" x14ac:dyDescent="0.2">
      <c r="N142" s="53"/>
    </row>
    <row r="143" spans="14:14" x14ac:dyDescent="0.2">
      <c r="N143" s="53"/>
    </row>
    <row r="144" spans="14:14" x14ac:dyDescent="0.2">
      <c r="N144" s="53"/>
    </row>
    <row r="145" spans="14:14" x14ac:dyDescent="0.2">
      <c r="N145" s="53"/>
    </row>
    <row r="146" spans="14:14" x14ac:dyDescent="0.2">
      <c r="N146" s="53"/>
    </row>
    <row r="147" spans="14:14" x14ac:dyDescent="0.2">
      <c r="N147" s="53"/>
    </row>
    <row r="148" spans="14:14" x14ac:dyDescent="0.2">
      <c r="N148" s="53"/>
    </row>
    <row r="149" spans="14:14" x14ac:dyDescent="0.2">
      <c r="N149" s="53"/>
    </row>
    <row r="150" spans="14:14" x14ac:dyDescent="0.2">
      <c r="N150" s="53"/>
    </row>
    <row r="151" spans="14:14" x14ac:dyDescent="0.2">
      <c r="N151" s="53"/>
    </row>
    <row r="152" spans="14:14" x14ac:dyDescent="0.2">
      <c r="N152" s="53"/>
    </row>
    <row r="153" spans="14:14" x14ac:dyDescent="0.2">
      <c r="N153" s="53"/>
    </row>
    <row r="154" spans="14:14" x14ac:dyDescent="0.2">
      <c r="N154" s="53"/>
    </row>
    <row r="155" spans="14:14" x14ac:dyDescent="0.2">
      <c r="N155" s="53"/>
    </row>
    <row r="156" spans="14:14" x14ac:dyDescent="0.2">
      <c r="N156" s="53"/>
    </row>
    <row r="157" spans="14:14" x14ac:dyDescent="0.2">
      <c r="N157" s="53"/>
    </row>
    <row r="158" spans="14:14" x14ac:dyDescent="0.2">
      <c r="N158" s="53"/>
    </row>
    <row r="159" spans="14:14" x14ac:dyDescent="0.2">
      <c r="N159" s="53"/>
    </row>
    <row r="160" spans="14:14" x14ac:dyDescent="0.2">
      <c r="N160" s="53"/>
    </row>
    <row r="161" spans="14:14" x14ac:dyDescent="0.2">
      <c r="N161" s="53"/>
    </row>
    <row r="162" spans="14:14" x14ac:dyDescent="0.2">
      <c r="N162" s="53"/>
    </row>
    <row r="163" spans="14:14" x14ac:dyDescent="0.2">
      <c r="N163" s="53"/>
    </row>
    <row r="164" spans="14:14" x14ac:dyDescent="0.2">
      <c r="N164" s="53"/>
    </row>
    <row r="165" spans="14:14" x14ac:dyDescent="0.2">
      <c r="N165" s="53"/>
    </row>
    <row r="166" spans="14:14" x14ac:dyDescent="0.2">
      <c r="N166" s="53"/>
    </row>
    <row r="167" spans="14:14" x14ac:dyDescent="0.2">
      <c r="N167" s="53"/>
    </row>
    <row r="168" spans="14:14" x14ac:dyDescent="0.2">
      <c r="N168" s="53"/>
    </row>
    <row r="169" spans="14:14" x14ac:dyDescent="0.2">
      <c r="N169" s="53"/>
    </row>
    <row r="170" spans="14:14" x14ac:dyDescent="0.2">
      <c r="N170" s="53"/>
    </row>
    <row r="171" spans="14:14" x14ac:dyDescent="0.2">
      <c r="N171" s="53"/>
    </row>
    <row r="172" spans="14:14" x14ac:dyDescent="0.2">
      <c r="N172" s="53"/>
    </row>
    <row r="173" spans="14:14" x14ac:dyDescent="0.2">
      <c r="N173" s="53"/>
    </row>
    <row r="174" spans="14:14" x14ac:dyDescent="0.2">
      <c r="N174" s="53"/>
    </row>
    <row r="175" spans="14:14" x14ac:dyDescent="0.2">
      <c r="N175" s="53"/>
    </row>
    <row r="176" spans="14:14" x14ac:dyDescent="0.2">
      <c r="N176" s="53"/>
    </row>
    <row r="177" spans="14:14" x14ac:dyDescent="0.2">
      <c r="N177" s="53"/>
    </row>
    <row r="178" spans="14:14" x14ac:dyDescent="0.2">
      <c r="N178" s="53"/>
    </row>
    <row r="179" spans="14:14" x14ac:dyDescent="0.2">
      <c r="N179" s="53"/>
    </row>
    <row r="180" spans="14:14" x14ac:dyDescent="0.2">
      <c r="N180" s="53"/>
    </row>
    <row r="181" spans="14:14" x14ac:dyDescent="0.2">
      <c r="N181" s="53"/>
    </row>
    <row r="182" spans="14:14" x14ac:dyDescent="0.2">
      <c r="N182" s="53"/>
    </row>
    <row r="183" spans="14:14" x14ac:dyDescent="0.2">
      <c r="N183" s="53"/>
    </row>
    <row r="184" spans="14:14" x14ac:dyDescent="0.2">
      <c r="N184" s="53"/>
    </row>
    <row r="185" spans="14:14" x14ac:dyDescent="0.2">
      <c r="N185" s="53"/>
    </row>
    <row r="186" spans="14:14" x14ac:dyDescent="0.2">
      <c r="N186" s="53"/>
    </row>
    <row r="187" spans="14:14" x14ac:dyDescent="0.2">
      <c r="N187" s="53"/>
    </row>
    <row r="188" spans="14:14" x14ac:dyDescent="0.2">
      <c r="N188" s="53"/>
    </row>
    <row r="189" spans="14:14" x14ac:dyDescent="0.2">
      <c r="N189" s="53"/>
    </row>
    <row r="190" spans="14:14" x14ac:dyDescent="0.2">
      <c r="N190" s="53"/>
    </row>
    <row r="191" spans="14:14" x14ac:dyDescent="0.2">
      <c r="N191" s="53"/>
    </row>
    <row r="192" spans="14:14" x14ac:dyDescent="0.2">
      <c r="N192" s="53"/>
    </row>
    <row r="193" spans="14:14" x14ac:dyDescent="0.2">
      <c r="N193" s="53"/>
    </row>
    <row r="194" spans="14:14" x14ac:dyDescent="0.2">
      <c r="N194" s="53"/>
    </row>
    <row r="195" spans="14:14" x14ac:dyDescent="0.2">
      <c r="N195" s="53"/>
    </row>
    <row r="196" spans="14:14" x14ac:dyDescent="0.2">
      <c r="N196" s="53"/>
    </row>
    <row r="197" spans="14:14" x14ac:dyDescent="0.2">
      <c r="N197" s="53"/>
    </row>
    <row r="198" spans="14:14" x14ac:dyDescent="0.2">
      <c r="N198" s="53"/>
    </row>
    <row r="199" spans="14:14" x14ac:dyDescent="0.2">
      <c r="N199" s="53"/>
    </row>
    <row r="200" spans="14:14" x14ac:dyDescent="0.2">
      <c r="N200" s="53"/>
    </row>
    <row r="201" spans="14:14" x14ac:dyDescent="0.2">
      <c r="N201" s="53"/>
    </row>
    <row r="202" spans="14:14" x14ac:dyDescent="0.2">
      <c r="N202" s="53"/>
    </row>
    <row r="203" spans="14:14" x14ac:dyDescent="0.2">
      <c r="N203" s="53"/>
    </row>
    <row r="204" spans="14:14" x14ac:dyDescent="0.2">
      <c r="N204" s="53"/>
    </row>
    <row r="205" spans="14:14" x14ac:dyDescent="0.2">
      <c r="N205" s="53"/>
    </row>
    <row r="206" spans="14:14" x14ac:dyDescent="0.2">
      <c r="N206" s="53"/>
    </row>
    <row r="207" spans="14:14" x14ac:dyDescent="0.2">
      <c r="N207" s="53"/>
    </row>
    <row r="208" spans="14:14" x14ac:dyDescent="0.2">
      <c r="N208" s="53"/>
    </row>
    <row r="209" spans="14:14" x14ac:dyDescent="0.2">
      <c r="N209" s="53"/>
    </row>
    <row r="210" spans="14:14" x14ac:dyDescent="0.2">
      <c r="N210" s="53"/>
    </row>
    <row r="211" spans="14:14" x14ac:dyDescent="0.2">
      <c r="N211" s="53"/>
    </row>
    <row r="212" spans="14:14" x14ac:dyDescent="0.2">
      <c r="N212" s="53"/>
    </row>
    <row r="213" spans="14:14" x14ac:dyDescent="0.2">
      <c r="N213" s="53"/>
    </row>
    <row r="214" spans="14:14" x14ac:dyDescent="0.2">
      <c r="N214" s="53"/>
    </row>
    <row r="215" spans="14:14" x14ac:dyDescent="0.2">
      <c r="N215" s="53"/>
    </row>
    <row r="216" spans="14:14" x14ac:dyDescent="0.2">
      <c r="N216" s="53"/>
    </row>
    <row r="217" spans="14:14" x14ac:dyDescent="0.2">
      <c r="N217" s="53"/>
    </row>
    <row r="218" spans="14:14" x14ac:dyDescent="0.2">
      <c r="N218" s="53"/>
    </row>
    <row r="219" spans="14:14" x14ac:dyDescent="0.2">
      <c r="N219" s="53"/>
    </row>
    <row r="220" spans="14:14" x14ac:dyDescent="0.2">
      <c r="N220" s="53"/>
    </row>
    <row r="221" spans="14:14" x14ac:dyDescent="0.2">
      <c r="N221" s="53"/>
    </row>
    <row r="222" spans="14:14" x14ac:dyDescent="0.2">
      <c r="N222" s="53"/>
    </row>
    <row r="223" spans="14:14" x14ac:dyDescent="0.2">
      <c r="N223" s="53"/>
    </row>
    <row r="224" spans="14:14" x14ac:dyDescent="0.2">
      <c r="N224" s="53"/>
    </row>
    <row r="225" spans="14:14" x14ac:dyDescent="0.2">
      <c r="N225" s="53"/>
    </row>
    <row r="226" spans="14:14" x14ac:dyDescent="0.2">
      <c r="N226" s="53"/>
    </row>
    <row r="227" spans="14:14" x14ac:dyDescent="0.2">
      <c r="N227" s="53"/>
    </row>
    <row r="228" spans="14:14" x14ac:dyDescent="0.2">
      <c r="N228" s="53"/>
    </row>
    <row r="229" spans="14:14" x14ac:dyDescent="0.2">
      <c r="N229" s="53"/>
    </row>
    <row r="230" spans="14:14" x14ac:dyDescent="0.2">
      <c r="N230" s="53"/>
    </row>
    <row r="231" spans="14:14" x14ac:dyDescent="0.2">
      <c r="N231" s="53"/>
    </row>
    <row r="232" spans="14:14" x14ac:dyDescent="0.2">
      <c r="N232" s="53"/>
    </row>
    <row r="233" spans="14:14" x14ac:dyDescent="0.2">
      <c r="N233" s="53"/>
    </row>
    <row r="234" spans="14:14" x14ac:dyDescent="0.2">
      <c r="N234" s="53"/>
    </row>
    <row r="235" spans="14:14" x14ac:dyDescent="0.2">
      <c r="N235" s="53"/>
    </row>
    <row r="236" spans="14:14" x14ac:dyDescent="0.2">
      <c r="N236" s="53"/>
    </row>
    <row r="237" spans="14:14" x14ac:dyDescent="0.2">
      <c r="N237" s="53"/>
    </row>
    <row r="238" spans="14:14" x14ac:dyDescent="0.2">
      <c r="N238" s="53"/>
    </row>
    <row r="239" spans="14:14" x14ac:dyDescent="0.2">
      <c r="N239" s="53"/>
    </row>
    <row r="240" spans="14:14" x14ac:dyDescent="0.2">
      <c r="N240" s="53"/>
    </row>
    <row r="241" spans="14:14" x14ac:dyDescent="0.2">
      <c r="N241" s="53"/>
    </row>
    <row r="242" spans="14:14" x14ac:dyDescent="0.2">
      <c r="N242" s="53"/>
    </row>
    <row r="243" spans="14:14" x14ac:dyDescent="0.2">
      <c r="N243" s="53"/>
    </row>
    <row r="244" spans="14:14" x14ac:dyDescent="0.2">
      <c r="N244" s="53"/>
    </row>
    <row r="245" spans="14:14" x14ac:dyDescent="0.2">
      <c r="N245" s="53"/>
    </row>
    <row r="246" spans="14:14" x14ac:dyDescent="0.2">
      <c r="N246" s="53"/>
    </row>
    <row r="247" spans="14:14" x14ac:dyDescent="0.2">
      <c r="N247" s="53"/>
    </row>
    <row r="248" spans="14:14" x14ac:dyDescent="0.2">
      <c r="N248" s="53"/>
    </row>
    <row r="249" spans="14:14" x14ac:dyDescent="0.2">
      <c r="N249" s="53"/>
    </row>
    <row r="250" spans="14:14" x14ac:dyDescent="0.2">
      <c r="N250" s="53"/>
    </row>
    <row r="251" spans="14:14" x14ac:dyDescent="0.2">
      <c r="N251" s="53"/>
    </row>
    <row r="252" spans="14:14" x14ac:dyDescent="0.2">
      <c r="N252" s="53"/>
    </row>
    <row r="253" spans="14:14" x14ac:dyDescent="0.2">
      <c r="N253" s="53"/>
    </row>
    <row r="254" spans="14:14" x14ac:dyDescent="0.2">
      <c r="N254" s="53"/>
    </row>
    <row r="255" spans="14:14" x14ac:dyDescent="0.2">
      <c r="N255" s="53"/>
    </row>
    <row r="256" spans="14:14" x14ac:dyDescent="0.2">
      <c r="N256" s="53"/>
    </row>
    <row r="257" spans="14:14" x14ac:dyDescent="0.2">
      <c r="N257" s="53"/>
    </row>
    <row r="258" spans="14:14" x14ac:dyDescent="0.2">
      <c r="N258" s="53"/>
    </row>
    <row r="259" spans="14:14" x14ac:dyDescent="0.2">
      <c r="N259" s="53"/>
    </row>
    <row r="260" spans="14:14" x14ac:dyDescent="0.2">
      <c r="N260" s="53"/>
    </row>
    <row r="261" spans="14:14" x14ac:dyDescent="0.2">
      <c r="N261" s="53"/>
    </row>
    <row r="262" spans="14:14" x14ac:dyDescent="0.2">
      <c r="N262" s="53"/>
    </row>
    <row r="263" spans="14:14" x14ac:dyDescent="0.2">
      <c r="N263" s="53"/>
    </row>
    <row r="264" spans="14:14" x14ac:dyDescent="0.2">
      <c r="N264" s="53"/>
    </row>
    <row r="265" spans="14:14" x14ac:dyDescent="0.2">
      <c r="N265" s="53"/>
    </row>
    <row r="266" spans="14:14" x14ac:dyDescent="0.2">
      <c r="N266" s="53"/>
    </row>
    <row r="267" spans="14:14" x14ac:dyDescent="0.2">
      <c r="N267" s="53"/>
    </row>
    <row r="268" spans="14:14" x14ac:dyDescent="0.2">
      <c r="N268" s="53"/>
    </row>
    <row r="269" spans="14:14" x14ac:dyDescent="0.2">
      <c r="N269" s="53"/>
    </row>
    <row r="270" spans="14:14" x14ac:dyDescent="0.2">
      <c r="N270" s="53"/>
    </row>
    <row r="271" spans="14:14" x14ac:dyDescent="0.2">
      <c r="N271" s="53"/>
    </row>
    <row r="272" spans="14:14" x14ac:dyDescent="0.2">
      <c r="N272" s="53"/>
    </row>
    <row r="273" spans="14:14" x14ac:dyDescent="0.2">
      <c r="N273" s="53"/>
    </row>
    <row r="274" spans="14:14" x14ac:dyDescent="0.2">
      <c r="N274" s="53"/>
    </row>
    <row r="275" spans="14:14" x14ac:dyDescent="0.2">
      <c r="N275" s="53"/>
    </row>
    <row r="276" spans="14:14" x14ac:dyDescent="0.2">
      <c r="N276" s="53"/>
    </row>
    <row r="277" spans="14:14" x14ac:dyDescent="0.2">
      <c r="N277" s="53"/>
    </row>
    <row r="278" spans="14:14" x14ac:dyDescent="0.2">
      <c r="N278" s="53"/>
    </row>
    <row r="279" spans="14:14" x14ac:dyDescent="0.2">
      <c r="N279" s="53"/>
    </row>
    <row r="280" spans="14:14" x14ac:dyDescent="0.2">
      <c r="N280" s="53"/>
    </row>
    <row r="281" spans="14:14" x14ac:dyDescent="0.2">
      <c r="N281" s="53"/>
    </row>
    <row r="282" spans="14:14" x14ac:dyDescent="0.2">
      <c r="N282" s="53"/>
    </row>
    <row r="283" spans="14:14" x14ac:dyDescent="0.2">
      <c r="N283" s="53"/>
    </row>
    <row r="284" spans="14:14" x14ac:dyDescent="0.2">
      <c r="N284" s="53"/>
    </row>
    <row r="285" spans="14:14" x14ac:dyDescent="0.2">
      <c r="N285" s="53"/>
    </row>
    <row r="286" spans="14:14" x14ac:dyDescent="0.2">
      <c r="N286" s="53"/>
    </row>
    <row r="287" spans="14:14" x14ac:dyDescent="0.2">
      <c r="N287" s="53"/>
    </row>
    <row r="288" spans="14:14" x14ac:dyDescent="0.2">
      <c r="N288" s="53"/>
    </row>
    <row r="289" spans="14:14" x14ac:dyDescent="0.2">
      <c r="N289" s="53"/>
    </row>
    <row r="290" spans="14:14" x14ac:dyDescent="0.2">
      <c r="N290" s="53"/>
    </row>
    <row r="291" spans="14:14" x14ac:dyDescent="0.2">
      <c r="N291" s="53"/>
    </row>
    <row r="292" spans="14:14" x14ac:dyDescent="0.2">
      <c r="N292" s="53"/>
    </row>
    <row r="293" spans="14:14" x14ac:dyDescent="0.2">
      <c r="N293" s="53"/>
    </row>
    <row r="294" spans="14:14" x14ac:dyDescent="0.2">
      <c r="N294" s="53"/>
    </row>
    <row r="295" spans="14:14" x14ac:dyDescent="0.2">
      <c r="N295" s="53"/>
    </row>
    <row r="296" spans="14:14" x14ac:dyDescent="0.2">
      <c r="N296" s="53"/>
    </row>
    <row r="297" spans="14:14" x14ac:dyDescent="0.2">
      <c r="N297" s="53"/>
    </row>
    <row r="298" spans="14:14" x14ac:dyDescent="0.2">
      <c r="N298" s="53"/>
    </row>
    <row r="299" spans="14:14" x14ac:dyDescent="0.2">
      <c r="N299" s="53"/>
    </row>
    <row r="300" spans="14:14" x14ac:dyDescent="0.2">
      <c r="N300" s="53"/>
    </row>
    <row r="301" spans="14:14" x14ac:dyDescent="0.2">
      <c r="N301" s="53"/>
    </row>
    <row r="302" spans="14:14" x14ac:dyDescent="0.2">
      <c r="N302" s="53"/>
    </row>
    <row r="303" spans="14:14" x14ac:dyDescent="0.2">
      <c r="N303" s="53"/>
    </row>
    <row r="304" spans="14:14" x14ac:dyDescent="0.2">
      <c r="N304" s="53"/>
    </row>
    <row r="305" spans="14:14" x14ac:dyDescent="0.2">
      <c r="N305" s="53"/>
    </row>
    <row r="306" spans="14:14" x14ac:dyDescent="0.2">
      <c r="N306" s="53"/>
    </row>
    <row r="307" spans="14:14" x14ac:dyDescent="0.2">
      <c r="N307" s="53"/>
    </row>
    <row r="308" spans="14:14" x14ac:dyDescent="0.2">
      <c r="N308" s="53"/>
    </row>
    <row r="309" spans="14:14" x14ac:dyDescent="0.2">
      <c r="N309" s="53"/>
    </row>
    <row r="310" spans="14:14" x14ac:dyDescent="0.2">
      <c r="N310" s="53"/>
    </row>
    <row r="311" spans="14:14" x14ac:dyDescent="0.2">
      <c r="N311" s="53"/>
    </row>
    <row r="312" spans="14:14" x14ac:dyDescent="0.2">
      <c r="N312" s="53"/>
    </row>
    <row r="313" spans="14:14" x14ac:dyDescent="0.2">
      <c r="N313" s="53"/>
    </row>
    <row r="314" spans="14:14" x14ac:dyDescent="0.2">
      <c r="N314" s="53"/>
    </row>
    <row r="315" spans="14:14" x14ac:dyDescent="0.2">
      <c r="N315" s="53"/>
    </row>
    <row r="316" spans="14:14" x14ac:dyDescent="0.2">
      <c r="N316" s="53"/>
    </row>
    <row r="317" spans="14:14" x14ac:dyDescent="0.2">
      <c r="N317" s="53"/>
    </row>
    <row r="318" spans="14:14" x14ac:dyDescent="0.2">
      <c r="N318" s="53"/>
    </row>
    <row r="319" spans="14:14" x14ac:dyDescent="0.2">
      <c r="N319" s="53"/>
    </row>
    <row r="320" spans="14:14" x14ac:dyDescent="0.2">
      <c r="N320" s="53"/>
    </row>
    <row r="321" spans="14:14" x14ac:dyDescent="0.2">
      <c r="N321" s="53"/>
    </row>
    <row r="322" spans="14:14" x14ac:dyDescent="0.2">
      <c r="N322" s="53"/>
    </row>
    <row r="323" spans="14:14" x14ac:dyDescent="0.2">
      <c r="N323" s="53"/>
    </row>
    <row r="324" spans="14:14" x14ac:dyDescent="0.2">
      <c r="N324" s="53"/>
    </row>
    <row r="325" spans="14:14" x14ac:dyDescent="0.2">
      <c r="N325"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tabSelected="1" zoomScaleNormal="100" zoomScaleSheetLayoutView="70" workbookViewId="0"/>
  </sheetViews>
  <sheetFormatPr defaultColWidth="9.140625" defaultRowHeight="15" x14ac:dyDescent="0.25"/>
  <cols>
    <col min="1" max="1" width="7.5703125" style="86" customWidth="1"/>
    <col min="2" max="2" width="55.85546875" style="86" customWidth="1"/>
    <col min="3" max="3" width="12.85546875" style="86" customWidth="1"/>
    <col min="4" max="4" width="14.85546875" style="86" customWidth="1"/>
    <col min="5" max="5" width="2.5703125" style="86" customWidth="1"/>
    <col min="6" max="6" width="17.5703125" style="86" customWidth="1"/>
    <col min="7" max="7" width="2.140625" style="86" customWidth="1"/>
    <col min="8" max="8" width="18.5703125" style="86" customWidth="1"/>
    <col min="9" max="10" width="18.28515625" style="86" hidden="1" customWidth="1"/>
    <col min="11" max="11" width="18.5703125" style="86" customWidth="1"/>
    <col min="12" max="13" width="18.5703125" style="86" hidden="1" customWidth="1"/>
    <col min="14" max="14" width="2.5703125" style="86" customWidth="1"/>
    <col min="15" max="15" width="18.5703125" style="86" bestFit="1" customWidth="1"/>
    <col min="16" max="17" width="18.5703125" style="86" hidden="1" customWidth="1"/>
    <col min="18" max="18" width="2.5703125" style="86" customWidth="1"/>
    <col min="19" max="20" width="17.5703125" style="86" customWidth="1"/>
    <col min="21" max="21" width="16.28515625" style="86" customWidth="1"/>
    <col min="22" max="22" width="16.28515625" style="86" bestFit="1" customWidth="1"/>
    <col min="23" max="23" width="16.28515625" style="86" customWidth="1"/>
    <col min="24" max="24" width="16.5703125" style="86" customWidth="1"/>
    <col min="25" max="25" width="16.5703125" style="84" customWidth="1"/>
    <col min="26" max="27" width="16.85546875" style="86" customWidth="1"/>
    <col min="28" max="30" width="17.5703125" style="86" customWidth="1"/>
    <col min="31" max="31" width="1.85546875" style="86" customWidth="1"/>
    <col min="32" max="32" width="17.85546875" style="86" customWidth="1"/>
    <col min="33" max="33" width="1.85546875" style="86" customWidth="1"/>
    <col min="34" max="34" width="15" style="86" customWidth="1"/>
    <col min="35" max="35" width="1.85546875" style="86" customWidth="1"/>
    <col min="36" max="36" width="18.28515625" style="86" bestFit="1" customWidth="1"/>
    <col min="37" max="37" width="18.28515625" style="86" customWidth="1"/>
    <col min="38" max="38" width="14.5703125" style="86" customWidth="1"/>
    <col min="39" max="39" width="14.140625" style="86" customWidth="1"/>
    <col min="40" max="16384" width="9.140625" style="86"/>
  </cols>
  <sheetData>
    <row r="1" spans="1:38" ht="15.75" thickBot="1" x14ac:dyDescent="0.3">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3">
      <c r="A2" s="23"/>
      <c r="B2" s="23"/>
      <c r="C2" s="35"/>
      <c r="D2" s="7" t="s">
        <v>61</v>
      </c>
      <c r="E2" s="35"/>
      <c r="F2" s="35" t="s">
        <v>62</v>
      </c>
      <c r="G2" s="35"/>
      <c r="H2" s="512" t="s">
        <v>1625</v>
      </c>
      <c r="I2" s="513"/>
      <c r="J2" s="514"/>
      <c r="K2" s="306" t="s">
        <v>1626</v>
      </c>
      <c r="L2" s="304"/>
      <c r="M2" s="305"/>
      <c r="N2" s="75"/>
      <c r="O2" s="77" t="s">
        <v>934</v>
      </c>
      <c r="P2" s="287"/>
      <c r="Q2" s="287"/>
      <c r="R2" s="76"/>
      <c r="S2" s="77" t="s">
        <v>1628</v>
      </c>
      <c r="T2" s="77" t="s">
        <v>1629</v>
      </c>
      <c r="U2" s="515" t="s">
        <v>130</v>
      </c>
      <c r="V2" s="516"/>
      <c r="W2" s="517"/>
      <c r="X2" s="510" t="s">
        <v>129</v>
      </c>
      <c r="Y2" s="511"/>
      <c r="Z2" s="510" t="s">
        <v>131</v>
      </c>
      <c r="AA2" s="511"/>
      <c r="AB2" s="77" t="s">
        <v>128</v>
      </c>
      <c r="AC2" s="77" t="s">
        <v>127</v>
      </c>
      <c r="AD2" s="77" t="s">
        <v>1632</v>
      </c>
      <c r="AE2" s="78"/>
      <c r="AF2" s="77" t="s">
        <v>292</v>
      </c>
      <c r="AG2" s="27"/>
      <c r="AH2" s="77" t="s">
        <v>1631</v>
      </c>
      <c r="AI2" s="27"/>
      <c r="AJ2" s="77" t="s">
        <v>1630</v>
      </c>
      <c r="AK2" s="23"/>
      <c r="AL2" s="23"/>
    </row>
    <row r="3" spans="1:38" ht="15.75" thickBot="1" x14ac:dyDescent="0.3">
      <c r="A3" s="28" t="s">
        <v>99</v>
      </c>
      <c r="B3" s="28"/>
      <c r="C3" s="30" t="s">
        <v>100</v>
      </c>
      <c r="D3" s="30" t="s">
        <v>101</v>
      </c>
      <c r="E3" s="21"/>
      <c r="F3" s="21" t="s">
        <v>102</v>
      </c>
      <c r="G3" s="79"/>
      <c r="H3" s="170" t="s">
        <v>2269</v>
      </c>
      <c r="I3" s="170" t="s">
        <v>2184</v>
      </c>
      <c r="J3" s="170" t="s">
        <v>2184</v>
      </c>
      <c r="K3" s="170" t="s">
        <v>104</v>
      </c>
      <c r="L3" s="170" t="s">
        <v>2184</v>
      </c>
      <c r="M3" s="170" t="s">
        <v>2184</v>
      </c>
      <c r="N3" s="21"/>
      <c r="O3" s="170" t="s">
        <v>103</v>
      </c>
      <c r="P3" s="21"/>
      <c r="Q3" s="21"/>
      <c r="R3" s="21"/>
      <c r="S3" s="21" t="s">
        <v>1627</v>
      </c>
      <c r="T3" s="21" t="s">
        <v>1484</v>
      </c>
      <c r="U3" s="21" t="s">
        <v>1627</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2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2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25">
      <c r="AL6" s="87"/>
    </row>
    <row r="7" spans="1:38" x14ac:dyDescent="0.25">
      <c r="A7" s="22" t="s">
        <v>442</v>
      </c>
      <c r="AL7" s="87"/>
    </row>
    <row r="8" spans="1:38" x14ac:dyDescent="0.2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2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25">
      <c r="A10" s="88">
        <v>303</v>
      </c>
      <c r="B10" s="86" t="s">
        <v>1577</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25">
      <c r="AL11" s="87"/>
    </row>
    <row r="12" spans="1:38" x14ac:dyDescent="0.2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2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25">
      <c r="A14" s="22" t="s">
        <v>1473</v>
      </c>
      <c r="Y14" s="86"/>
      <c r="AL14" s="87"/>
    </row>
    <row r="15" spans="1:38" x14ac:dyDescent="0.2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25">
      <c r="B16" s="86" t="s">
        <v>1474</v>
      </c>
      <c r="C16" s="86" t="s">
        <v>1475</v>
      </c>
      <c r="D16" s="86" t="s">
        <v>707</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25">
      <c r="AL17" s="87"/>
    </row>
    <row r="18" spans="1:38" x14ac:dyDescent="0.25">
      <c r="A18" s="22" t="s">
        <v>1578</v>
      </c>
      <c r="Y18" s="86"/>
      <c r="AL18" s="87"/>
    </row>
    <row r="19" spans="1:38" x14ac:dyDescent="0.2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25">
      <c r="B20" s="86" t="s">
        <v>1579</v>
      </c>
      <c r="C20" s="86" t="s">
        <v>1580</v>
      </c>
      <c r="D20" s="86" t="s">
        <v>707</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25">
      <c r="AL21" s="87"/>
    </row>
    <row r="22" spans="1:38" x14ac:dyDescent="0.25">
      <c r="A22" s="22" t="s">
        <v>1476</v>
      </c>
      <c r="Y22" s="86"/>
      <c r="AL22" s="87"/>
    </row>
    <row r="23" spans="1:38" x14ac:dyDescent="0.2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25">
      <c r="B24" s="86" t="s">
        <v>1477</v>
      </c>
      <c r="C24" s="86" t="s">
        <v>1478</v>
      </c>
      <c r="D24" s="45" t="s">
        <v>707</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25">
      <c r="D25" s="313"/>
      <c r="E25" s="45"/>
      <c r="AL25" s="87"/>
    </row>
    <row r="26" spans="1:38" x14ac:dyDescent="0.25">
      <c r="B26" s="23" t="s">
        <v>1479</v>
      </c>
      <c r="C26" s="86" t="s">
        <v>1480</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25">
      <c r="D27" s="45"/>
      <c r="E27" s="45"/>
      <c r="AL27" s="87"/>
    </row>
    <row r="28" spans="1:38" x14ac:dyDescent="0.25">
      <c r="A28" s="22" t="s">
        <v>439</v>
      </c>
      <c r="D28" s="370"/>
      <c r="E28" s="71"/>
      <c r="Y28" s="86"/>
      <c r="AL28" s="87"/>
    </row>
    <row r="29" spans="1:38" x14ac:dyDescent="0.25">
      <c r="A29" s="92"/>
      <c r="B29" s="86" t="s">
        <v>1581</v>
      </c>
      <c r="C29" s="86" t="s">
        <v>440</v>
      </c>
      <c r="D29" s="347"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25">
      <c r="A30" s="92"/>
      <c r="B30" s="86" t="s">
        <v>1582</v>
      </c>
      <c r="C30" s="86" t="s">
        <v>1296</v>
      </c>
      <c r="D30" s="347"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25">
      <c r="D31" s="347"/>
      <c r="E31" s="50"/>
      <c r="Y31" s="86"/>
      <c r="AK31" s="90"/>
      <c r="AL31" s="87"/>
    </row>
    <row r="32" spans="1:38" x14ac:dyDescent="0.25">
      <c r="B32" s="86" t="s">
        <v>443</v>
      </c>
      <c r="C32" s="86" t="s">
        <v>469</v>
      </c>
      <c r="D32" s="347"/>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25">
      <c r="D33" s="347"/>
      <c r="E33" s="50"/>
      <c r="Y33" s="86"/>
      <c r="AL33" s="87"/>
    </row>
    <row r="34" spans="1:38" x14ac:dyDescent="0.25">
      <c r="A34" s="22" t="s">
        <v>112</v>
      </c>
      <c r="D34" s="50"/>
      <c r="E34" s="50"/>
      <c r="Y34" s="86"/>
      <c r="AL34" s="87"/>
    </row>
    <row r="35" spans="1:38" x14ac:dyDescent="0.25">
      <c r="A35" s="92"/>
      <c r="B35" s="93" t="s">
        <v>1583</v>
      </c>
      <c r="C35" s="86" t="s">
        <v>113</v>
      </c>
      <c r="D35" s="347"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25">
      <c r="A36" s="92"/>
      <c r="B36" s="93" t="s">
        <v>1584</v>
      </c>
      <c r="C36" s="86" t="s">
        <v>116</v>
      </c>
      <c r="D36" s="347"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25">
      <c r="A37" s="92"/>
      <c r="B37" s="93" t="s">
        <v>1585</v>
      </c>
      <c r="C37" s="86" t="s">
        <v>119</v>
      </c>
      <c r="D37" s="347"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25">
      <c r="A38" s="92"/>
      <c r="B38" s="93" t="s">
        <v>1586</v>
      </c>
      <c r="C38" s="86" t="s">
        <v>120</v>
      </c>
      <c r="D38" s="347"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25">
      <c r="A39" s="92"/>
      <c r="B39" s="93" t="s">
        <v>1587</v>
      </c>
      <c r="C39" s="86" t="s">
        <v>1621</v>
      </c>
      <c r="D39" s="347"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25">
      <c r="A40" s="92"/>
      <c r="B40" s="93" t="s">
        <v>1588</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25">
      <c r="A41" s="92"/>
      <c r="B41" s="93" t="s">
        <v>1589</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25">
      <c r="A42" s="92"/>
      <c r="B42" s="93" t="s">
        <v>1590</v>
      </c>
      <c r="C42" s="86" t="s">
        <v>168</v>
      </c>
      <c r="D42" s="370"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25">
      <c r="A43" s="92"/>
      <c r="B43" s="93" t="s">
        <v>1591</v>
      </c>
      <c r="C43" s="86" t="s">
        <v>169</v>
      </c>
      <c r="D43" s="370"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25">
      <c r="D44" s="370"/>
      <c r="E44" s="71"/>
      <c r="Y44" s="86"/>
      <c r="AK44" s="90"/>
      <c r="AL44" s="87"/>
    </row>
    <row r="45" spans="1:38" x14ac:dyDescent="0.25">
      <c r="B45" s="86" t="s">
        <v>171</v>
      </c>
      <c r="C45" s="86" t="s">
        <v>109</v>
      </c>
      <c r="D45" s="370"/>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25">
      <c r="D46" s="370"/>
      <c r="E46" s="71"/>
      <c r="Y46" s="86"/>
      <c r="AL46" s="87"/>
    </row>
    <row r="47" spans="1:38" x14ac:dyDescent="0.25">
      <c r="B47" s="23" t="s">
        <v>192</v>
      </c>
      <c r="C47" s="86" t="s">
        <v>471</v>
      </c>
      <c r="D47" s="370"/>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25">
      <c r="D48" s="370"/>
      <c r="E48" s="71"/>
      <c r="Y48" s="86"/>
      <c r="AL48" s="87"/>
    </row>
    <row r="49" spans="1:38" x14ac:dyDescent="0.25">
      <c r="D49" s="370"/>
      <c r="E49" s="71"/>
      <c r="Y49" s="86"/>
      <c r="AL49" s="87"/>
    </row>
    <row r="50" spans="1:38" x14ac:dyDescent="0.25">
      <c r="D50" s="370"/>
      <c r="E50" s="71"/>
      <c r="Y50" s="86"/>
      <c r="AL50" s="87"/>
    </row>
    <row r="51" spans="1:38" x14ac:dyDescent="0.25">
      <c r="D51" s="370"/>
      <c r="E51" s="71"/>
      <c r="Y51" s="86"/>
      <c r="AL51" s="87"/>
    </row>
    <row r="52" spans="1:38" x14ac:dyDescent="0.25">
      <c r="D52" s="370"/>
      <c r="E52" s="71"/>
      <c r="Y52" s="86"/>
      <c r="AL52" s="87"/>
    </row>
    <row r="53" spans="1:38" x14ac:dyDescent="0.25">
      <c r="A53" s="22" t="s">
        <v>448</v>
      </c>
      <c r="D53" s="370"/>
      <c r="E53" s="71"/>
      <c r="Y53" s="86"/>
      <c r="AL53" s="87"/>
    </row>
    <row r="54" spans="1:38" x14ac:dyDescent="0.25">
      <c r="D54" s="370"/>
      <c r="E54" s="71"/>
      <c r="Y54" s="86"/>
      <c r="AL54" s="87"/>
    </row>
    <row r="55" spans="1:38" x14ac:dyDescent="0.25">
      <c r="A55" s="22" t="s">
        <v>172</v>
      </c>
      <c r="D55" s="370"/>
      <c r="E55" s="71"/>
      <c r="Y55" s="86"/>
      <c r="AL55" s="87"/>
    </row>
    <row r="56" spans="1:38" x14ac:dyDescent="0.25">
      <c r="D56" s="370"/>
      <c r="E56" s="71"/>
      <c r="Y56" s="86"/>
      <c r="AK56" s="90"/>
      <c r="AL56" s="87"/>
    </row>
    <row r="57" spans="1:38" x14ac:dyDescent="0.25">
      <c r="B57" s="86" t="s">
        <v>173</v>
      </c>
      <c r="C57" s="86" t="s">
        <v>174</v>
      </c>
      <c r="D57" s="370"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25">
      <c r="D58" s="370"/>
      <c r="E58" s="71"/>
      <c r="P58" s="90"/>
      <c r="Q58" s="90"/>
      <c r="Y58" s="86"/>
      <c r="AK58" s="90"/>
      <c r="AL58" s="87"/>
    </row>
    <row r="59" spans="1:38" x14ac:dyDescent="0.25">
      <c r="B59" s="86" t="s">
        <v>1481</v>
      </c>
      <c r="C59" s="86" t="s">
        <v>1482</v>
      </c>
      <c r="D59" s="370"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25">
      <c r="A60" s="88">
        <v>105</v>
      </c>
      <c r="B60" s="86" t="s">
        <v>2219</v>
      </c>
      <c r="C60" s="86" t="s">
        <v>503</v>
      </c>
      <c r="D60" s="370" t="s">
        <v>1480</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25">
      <c r="A61" s="88">
        <v>105</v>
      </c>
      <c r="B61" s="86" t="s">
        <v>2220</v>
      </c>
      <c r="C61" s="86" t="s">
        <v>503</v>
      </c>
      <c r="D61" s="370"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25">
      <c r="A62" s="88">
        <v>105</v>
      </c>
      <c r="B62" s="86" t="s">
        <v>2322</v>
      </c>
      <c r="C62" s="86" t="s">
        <v>503</v>
      </c>
      <c r="D62" s="370"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25">
      <c r="D63" s="370"/>
      <c r="E63" s="71"/>
      <c r="P63" s="90"/>
      <c r="Q63" s="90"/>
      <c r="Y63" s="86"/>
      <c r="AK63" s="90"/>
      <c r="AL63" s="87"/>
    </row>
    <row r="64" spans="1:38" x14ac:dyDescent="0.25">
      <c r="A64" s="88"/>
      <c r="B64" s="86" t="s">
        <v>1297</v>
      </c>
      <c r="D64" s="370"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25">
      <c r="D65" s="370"/>
      <c r="E65" s="71"/>
      <c r="Y65" s="86"/>
      <c r="AK65" s="90"/>
      <c r="AL65" s="87"/>
    </row>
    <row r="66" spans="1:39" x14ac:dyDescent="0.25">
      <c r="B66" s="86" t="s">
        <v>175</v>
      </c>
      <c r="C66" s="86" t="s">
        <v>176</v>
      </c>
      <c r="D66" s="370"/>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25">
      <c r="D67" s="370"/>
      <c r="E67" s="71"/>
      <c r="AL67" s="87"/>
    </row>
    <row r="68" spans="1:39" x14ac:dyDescent="0.25">
      <c r="A68" s="22"/>
      <c r="D68" s="370"/>
      <c r="E68" s="71"/>
      <c r="AL68" s="87"/>
    </row>
    <row r="69" spans="1:39" x14ac:dyDescent="0.25">
      <c r="A69" s="22" t="s">
        <v>177</v>
      </c>
      <c r="D69" s="370"/>
      <c r="E69" s="71"/>
      <c r="AL69" s="87"/>
    </row>
    <row r="70" spans="1:39" x14ac:dyDescent="0.25">
      <c r="A70" s="22"/>
      <c r="D70" s="370"/>
      <c r="E70" s="71"/>
      <c r="AL70" s="87"/>
    </row>
    <row r="71" spans="1:39" x14ac:dyDescent="0.25">
      <c r="B71" s="86" t="s">
        <v>1599</v>
      </c>
      <c r="C71" s="86" t="s">
        <v>1037</v>
      </c>
      <c r="D71" s="370" t="s">
        <v>707</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25">
      <c r="B72" s="86" t="s">
        <v>1298</v>
      </c>
      <c r="C72" s="86" t="s">
        <v>1038</v>
      </c>
      <c r="D72" s="370"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25">
      <c r="B73" s="86" t="s">
        <v>1303</v>
      </c>
      <c r="C73" s="86" t="s">
        <v>488</v>
      </c>
      <c r="D73" s="370"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25">
      <c r="B74" s="86" t="s">
        <v>1302</v>
      </c>
      <c r="C74" s="86" t="s">
        <v>489</v>
      </c>
      <c r="D74" s="370"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25">
      <c r="B75" s="86" t="s">
        <v>1304</v>
      </c>
      <c r="C75" s="86" t="s">
        <v>490</v>
      </c>
      <c r="D75" s="370"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25">
      <c r="D76" s="370"/>
      <c r="E76" s="71"/>
      <c r="F76" s="90"/>
      <c r="AK76" s="90"/>
      <c r="AL76" s="87"/>
    </row>
    <row r="77" spans="1:39" x14ac:dyDescent="0.25">
      <c r="A77" s="82" t="s">
        <v>178</v>
      </c>
      <c r="C77" s="86" t="s">
        <v>179</v>
      </c>
      <c r="D77" s="370"/>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25">
      <c r="A78" s="82"/>
      <c r="D78" s="370"/>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25">
      <c r="A79" s="23" t="s">
        <v>449</v>
      </c>
      <c r="D79" s="370"/>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25">
      <c r="A80" s="23"/>
      <c r="D80" s="370"/>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2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2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2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25">
      <c r="A84" s="23"/>
      <c r="D84" s="374"/>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25">
      <c r="A85" s="23"/>
      <c r="D85" s="370"/>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25">
      <c r="A86" s="23"/>
      <c r="D86" s="370"/>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2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2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25">
      <c r="D89" s="50"/>
      <c r="E89" s="50"/>
      <c r="AL89" s="87"/>
    </row>
    <row r="90" spans="1:38" x14ac:dyDescent="0.25">
      <c r="A90" s="22" t="s">
        <v>181</v>
      </c>
      <c r="D90" s="50"/>
      <c r="E90" s="50"/>
      <c r="AL90" s="87"/>
    </row>
    <row r="91" spans="1:38" x14ac:dyDescent="0.25">
      <c r="D91" s="50"/>
      <c r="E91" s="50"/>
      <c r="AL91" s="87"/>
    </row>
    <row r="92" spans="1:38" x14ac:dyDescent="0.25">
      <c r="A92" s="22" t="s">
        <v>182</v>
      </c>
      <c r="D92" s="370"/>
      <c r="E92" s="71"/>
      <c r="AL92" s="87"/>
    </row>
    <row r="93" spans="1:38" x14ac:dyDescent="0.25">
      <c r="A93" s="86" t="s">
        <v>108</v>
      </c>
      <c r="D93" s="370"/>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25">
      <c r="A94" s="86" t="s">
        <v>177</v>
      </c>
      <c r="D94" s="370"/>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25">
      <c r="D95" s="370"/>
      <c r="E95" s="71"/>
      <c r="Y95" s="86"/>
      <c r="AK95" s="90"/>
      <c r="AL95" s="87"/>
    </row>
    <row r="96" spans="1:38" x14ac:dyDescent="0.25">
      <c r="A96" s="82" t="s">
        <v>183</v>
      </c>
      <c r="C96" s="86" t="s">
        <v>184</v>
      </c>
      <c r="D96" s="370"/>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25">
      <c r="D97" s="370"/>
      <c r="E97" s="71"/>
      <c r="Y97" s="86"/>
      <c r="AL97" s="87"/>
    </row>
    <row r="98" spans="1:38" x14ac:dyDescent="0.25">
      <c r="A98" s="22" t="s">
        <v>185</v>
      </c>
      <c r="D98" s="370"/>
      <c r="E98" s="71"/>
      <c r="Y98" s="86"/>
      <c r="AL98" s="87"/>
    </row>
    <row r="99" spans="1:38" x14ac:dyDescent="0.25">
      <c r="A99" s="96" t="s">
        <v>1594</v>
      </c>
      <c r="C99" s="86" t="s">
        <v>472</v>
      </c>
      <c r="D99" s="370" t="s">
        <v>707</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25">
      <c r="A100" s="96" t="s">
        <v>1593</v>
      </c>
      <c r="C100" s="86" t="s">
        <v>473</v>
      </c>
      <c r="D100" s="370" t="s">
        <v>707</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25">
      <c r="A101" s="97" t="s">
        <v>1592</v>
      </c>
      <c r="D101" s="370" t="s">
        <v>707</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25">
      <c r="A102" s="86" t="s">
        <v>1595</v>
      </c>
      <c r="C102" s="86" t="s">
        <v>474</v>
      </c>
      <c r="D102" s="370"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25">
      <c r="A103" s="86" t="s">
        <v>1596</v>
      </c>
      <c r="C103" s="86" t="s">
        <v>1299</v>
      </c>
      <c r="D103" s="370"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25">
      <c r="A104" s="86" t="s">
        <v>2323</v>
      </c>
      <c r="C104" s="86" t="s">
        <v>2324</v>
      </c>
      <c r="D104" s="370"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25">
      <c r="A105" s="86" t="s">
        <v>1598</v>
      </c>
      <c r="C105" s="86" t="s">
        <v>1300</v>
      </c>
      <c r="D105" s="370"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25">
      <c r="A106" s="96" t="s">
        <v>186</v>
      </c>
      <c r="C106" s="86" t="s">
        <v>1301</v>
      </c>
      <c r="D106" s="370"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25">
      <c r="A107" s="96" t="s">
        <v>1597</v>
      </c>
      <c r="C107" s="86" t="s">
        <v>187</v>
      </c>
      <c r="D107" s="370"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25">
      <c r="D108" s="370"/>
      <c r="E108" s="71"/>
      <c r="Y108" s="86"/>
      <c r="AK108" s="90"/>
      <c r="AL108" s="87"/>
    </row>
    <row r="109" spans="1:38" x14ac:dyDescent="0.25">
      <c r="A109" s="86" t="s">
        <v>188</v>
      </c>
      <c r="C109" s="86" t="s">
        <v>189</v>
      </c>
      <c r="D109" s="370"/>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25">
      <c r="D110" s="370"/>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25">
      <c r="A111" s="22" t="s">
        <v>190</v>
      </c>
      <c r="C111" s="86" t="s">
        <v>191</v>
      </c>
      <c r="D111" s="370"/>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25">
      <c r="D112" s="370"/>
      <c r="E112" s="71"/>
      <c r="Y112" s="86"/>
      <c r="AL112" s="87"/>
    </row>
    <row r="113" spans="1:39" x14ac:dyDescent="0.25">
      <c r="A113" s="22" t="s">
        <v>768</v>
      </c>
      <c r="D113" s="50"/>
      <c r="E113" s="50"/>
      <c r="Y113" s="86"/>
      <c r="AL113" s="87"/>
    </row>
    <row r="114" spans="1:39" x14ac:dyDescent="0.25">
      <c r="A114" s="86" t="s">
        <v>1294</v>
      </c>
      <c r="C114" s="86" t="s">
        <v>770</v>
      </c>
      <c r="D114" s="50" t="s">
        <v>771</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2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25">
      <c r="A116" s="86" t="s">
        <v>772</v>
      </c>
      <c r="C116" s="86" t="s">
        <v>773</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25">
      <c r="A117" s="86" t="s">
        <v>2325</v>
      </c>
      <c r="D117" s="50" t="s">
        <v>707</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25">
      <c r="A118" s="96" t="s">
        <v>774</v>
      </c>
      <c r="C118" s="86" t="s">
        <v>775</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2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25">
      <c r="A120" s="86" t="s">
        <v>1760</v>
      </c>
      <c r="C120" s="86" t="s">
        <v>1761</v>
      </c>
      <c r="D120" s="50" t="s">
        <v>710</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25">
      <c r="D121" s="347"/>
      <c r="E121" s="50"/>
      <c r="Y121" s="86"/>
      <c r="AL121" s="87"/>
    </row>
    <row r="122" spans="1:39" x14ac:dyDescent="0.25">
      <c r="A122" s="22" t="s">
        <v>960</v>
      </c>
      <c r="D122" s="347"/>
      <c r="E122" s="50"/>
      <c r="Y122" s="86"/>
      <c r="AL122" s="87"/>
    </row>
    <row r="123" spans="1:39" x14ac:dyDescent="0.25">
      <c r="A123" s="86" t="s">
        <v>504</v>
      </c>
      <c r="C123" s="86" t="s">
        <v>505</v>
      </c>
      <c r="D123" s="347" t="s">
        <v>1016</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75" x14ac:dyDescent="0.25">
      <c r="A124" s="31" t="s">
        <v>684</v>
      </c>
      <c r="D124" s="347"/>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75" x14ac:dyDescent="0.25">
      <c r="A125" s="31" t="s">
        <v>685</v>
      </c>
      <c r="C125" s="86" t="s">
        <v>1762</v>
      </c>
      <c r="D125" s="347" t="s">
        <v>707</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75" x14ac:dyDescent="0.25">
      <c r="A126" s="31" t="s">
        <v>686</v>
      </c>
      <c r="C126" s="86" t="s">
        <v>1763</v>
      </c>
      <c r="D126" s="347"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75" x14ac:dyDescent="0.25">
      <c r="A127" s="31" t="s">
        <v>687</v>
      </c>
      <c r="C127" s="86" t="s">
        <v>682</v>
      </c>
      <c r="D127" s="347"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75" x14ac:dyDescent="0.25">
      <c r="A128" s="31" t="s">
        <v>688</v>
      </c>
      <c r="C128" s="86" t="s">
        <v>683</v>
      </c>
      <c r="D128" s="347"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75" x14ac:dyDescent="0.25">
      <c r="A129" s="32"/>
      <c r="D129" s="347"/>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75" x14ac:dyDescent="0.25">
      <c r="A130" s="83" t="s">
        <v>690</v>
      </c>
      <c r="C130" s="86" t="s">
        <v>689</v>
      </c>
      <c r="D130" s="347"/>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75" x14ac:dyDescent="0.25">
      <c r="A131" s="99"/>
      <c r="D131" s="347"/>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75" x14ac:dyDescent="0.25">
      <c r="A132" s="31" t="s">
        <v>698</v>
      </c>
      <c r="D132" s="347"/>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75" x14ac:dyDescent="0.25">
      <c r="A133" s="31" t="s">
        <v>699</v>
      </c>
      <c r="C133" s="86" t="s">
        <v>691</v>
      </c>
      <c r="D133" s="347" t="s">
        <v>707</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75" x14ac:dyDescent="0.25">
      <c r="A134" s="31" t="s">
        <v>700</v>
      </c>
      <c r="C134" s="86" t="s">
        <v>696</v>
      </c>
      <c r="D134" s="347"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75" x14ac:dyDescent="0.25">
      <c r="A135" s="31" t="s">
        <v>701</v>
      </c>
      <c r="C135" s="86" t="s">
        <v>697</v>
      </c>
      <c r="D135" s="347"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75" x14ac:dyDescent="0.25">
      <c r="A136" s="31" t="s">
        <v>702</v>
      </c>
      <c r="C136" s="86" t="s">
        <v>695</v>
      </c>
      <c r="D136" s="347"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75" x14ac:dyDescent="0.25">
      <c r="A137" s="31" t="s">
        <v>704</v>
      </c>
      <c r="C137" s="86" t="s">
        <v>694</v>
      </c>
      <c r="D137" s="347"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75" x14ac:dyDescent="0.25">
      <c r="A138" s="31" t="s">
        <v>147</v>
      </c>
      <c r="C138" s="86" t="s">
        <v>693</v>
      </c>
      <c r="D138" s="347"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75" x14ac:dyDescent="0.25">
      <c r="A139" s="31"/>
      <c r="D139" s="347"/>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75" x14ac:dyDescent="0.25">
      <c r="A140" s="83" t="s">
        <v>703</v>
      </c>
      <c r="C140" s="86" t="s">
        <v>692</v>
      </c>
      <c r="D140" s="347"/>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25">
      <c r="D141" s="347"/>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25">
      <c r="A142" s="86" t="s">
        <v>450</v>
      </c>
      <c r="D142" s="370"/>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25">
      <c r="A143" s="86" t="s">
        <v>1245</v>
      </c>
      <c r="C143" s="86" t="s">
        <v>776</v>
      </c>
      <c r="D143" s="347" t="s">
        <v>549</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25">
      <c r="A144" s="86" t="s">
        <v>1787</v>
      </c>
      <c r="D144" s="347" t="s">
        <v>707</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25">
      <c r="D145" s="347"/>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25">
      <c r="A146" s="23" t="s">
        <v>777</v>
      </c>
      <c r="C146" s="86" t="s">
        <v>778</v>
      </c>
      <c r="D146" s="347"/>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25">
      <c r="D147" s="347"/>
      <c r="E147" s="50"/>
      <c r="F147" s="91"/>
      <c r="Y147" s="86"/>
      <c r="AL147" s="87"/>
    </row>
    <row r="148" spans="1:39" x14ac:dyDescent="0.25">
      <c r="D148" s="347"/>
      <c r="E148" s="50"/>
      <c r="F148" s="91"/>
      <c r="Y148" s="86"/>
      <c r="AL148" s="87"/>
    </row>
    <row r="149" spans="1:39" x14ac:dyDescent="0.25">
      <c r="A149" s="22" t="s">
        <v>769</v>
      </c>
      <c r="D149" s="347"/>
      <c r="E149" s="50"/>
      <c r="Y149" s="86"/>
      <c r="AL149" s="87"/>
    </row>
    <row r="150" spans="1:39" x14ac:dyDescent="0.25">
      <c r="A150" s="22"/>
      <c r="D150" s="347"/>
      <c r="E150" s="50"/>
      <c r="Y150" s="86"/>
      <c r="AL150" s="87"/>
    </row>
    <row r="151" spans="1:39" x14ac:dyDescent="0.25">
      <c r="A151" s="23" t="s">
        <v>1496</v>
      </c>
      <c r="D151" s="347"/>
      <c r="E151" s="50"/>
      <c r="Y151" s="86"/>
      <c r="AL151" s="87"/>
    </row>
    <row r="152" spans="1:39" x14ac:dyDescent="0.25">
      <c r="A152" s="86">
        <v>500</v>
      </c>
      <c r="B152" s="86" t="s">
        <v>1488</v>
      </c>
      <c r="C152" s="86" t="s">
        <v>1489</v>
      </c>
      <c r="D152" s="347" t="s">
        <v>708</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25">
      <c r="A153" s="100">
        <v>501</v>
      </c>
      <c r="B153" s="86" t="s">
        <v>1490</v>
      </c>
      <c r="C153" s="86" t="s">
        <v>1491</v>
      </c>
      <c r="D153" s="347"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25">
      <c r="A154" s="86">
        <v>502</v>
      </c>
      <c r="B154" s="86" t="s">
        <v>1492</v>
      </c>
      <c r="C154" s="86" t="s">
        <v>1493</v>
      </c>
      <c r="D154" s="347"/>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25">
      <c r="A155" s="86">
        <v>505</v>
      </c>
      <c r="B155" s="86" t="s">
        <v>1494</v>
      </c>
      <c r="C155" s="86" t="s">
        <v>1495</v>
      </c>
      <c r="D155" s="347"/>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25">
      <c r="A156" s="86">
        <v>506</v>
      </c>
      <c r="B156" s="86" t="s">
        <v>1497</v>
      </c>
      <c r="C156" s="86" t="s">
        <v>1498</v>
      </c>
      <c r="D156" s="347" t="s">
        <v>710</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25">
      <c r="A157" s="86">
        <v>507</v>
      </c>
      <c r="B157" s="86" t="s">
        <v>353</v>
      </c>
      <c r="C157" s="86" t="s">
        <v>1623</v>
      </c>
      <c r="D157" s="347" t="s">
        <v>710</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25">
      <c r="A158" s="86">
        <v>509</v>
      </c>
      <c r="B158" s="86" t="s">
        <v>2222</v>
      </c>
      <c r="C158" s="86" t="s">
        <v>2221</v>
      </c>
      <c r="D158" s="347" t="s">
        <v>710</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25">
      <c r="D159" s="347"/>
      <c r="E159" s="50"/>
      <c r="F159" s="89"/>
      <c r="Y159" s="86"/>
      <c r="AL159" s="87"/>
    </row>
    <row r="160" spans="1:39" x14ac:dyDescent="0.25">
      <c r="B160" s="86" t="s">
        <v>1499</v>
      </c>
      <c r="D160" s="347"/>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25">
      <c r="D161" s="347"/>
      <c r="E161" s="50"/>
      <c r="F161" s="89"/>
      <c r="Y161" s="86"/>
      <c r="AL161" s="87"/>
    </row>
    <row r="162" spans="1:38" x14ac:dyDescent="0.25">
      <c r="A162" s="23" t="s">
        <v>1500</v>
      </c>
      <c r="D162" s="347"/>
      <c r="E162" s="50"/>
      <c r="F162" s="89"/>
      <c r="Y162" s="86"/>
      <c r="AL162" s="87"/>
    </row>
    <row r="163" spans="1:38" x14ac:dyDescent="0.25">
      <c r="A163" s="86">
        <v>510</v>
      </c>
      <c r="B163" s="86" t="s">
        <v>561</v>
      </c>
      <c r="C163" s="86" t="s">
        <v>1501</v>
      </c>
      <c r="D163" s="347" t="s">
        <v>1004</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25">
      <c r="A164" s="86">
        <v>511</v>
      </c>
      <c r="B164" s="86" t="s">
        <v>560</v>
      </c>
      <c r="C164" s="86" t="s">
        <v>1502</v>
      </c>
      <c r="D164" s="347" t="s">
        <v>710</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25">
      <c r="A165" s="86">
        <v>512</v>
      </c>
      <c r="B165" s="86" t="s">
        <v>1503</v>
      </c>
      <c r="C165" s="86" t="s">
        <v>1505</v>
      </c>
      <c r="D165" s="347"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25">
      <c r="A166" s="86">
        <v>513</v>
      </c>
      <c r="B166" s="86" t="s">
        <v>1504</v>
      </c>
      <c r="C166" s="86" t="s">
        <v>1506</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25">
      <c r="A167" s="86">
        <v>514</v>
      </c>
      <c r="B167" s="86" t="s">
        <v>1507</v>
      </c>
      <c r="C167" s="86" t="s">
        <v>1508</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25">
      <c r="D168" s="45"/>
      <c r="E168" s="45"/>
      <c r="F168" s="89"/>
      <c r="Y168" s="86"/>
      <c r="AK168" s="90"/>
      <c r="AL168" s="87"/>
    </row>
    <row r="169" spans="1:38" x14ac:dyDescent="0.25">
      <c r="B169" s="86" t="s">
        <v>1509</v>
      </c>
      <c r="D169" s="347"/>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25">
      <c r="D170" s="347"/>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25">
      <c r="B171" s="86" t="s">
        <v>1510</v>
      </c>
      <c r="D171" s="370"/>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25">
      <c r="D172" s="370"/>
      <c r="E172" s="71"/>
      <c r="F172" s="89"/>
      <c r="Y172" s="86"/>
      <c r="AL172" s="87"/>
    </row>
    <row r="173" spans="1:38" x14ac:dyDescent="0.25">
      <c r="A173" s="23" t="s">
        <v>1600</v>
      </c>
      <c r="D173" s="370"/>
      <c r="E173" s="71"/>
      <c r="Y173" s="86"/>
      <c r="AL173" s="87"/>
    </row>
    <row r="174" spans="1:38" x14ac:dyDescent="0.25">
      <c r="A174" s="101">
        <v>535</v>
      </c>
      <c r="B174" s="86" t="s">
        <v>1488</v>
      </c>
      <c r="C174" s="86" t="s">
        <v>1609</v>
      </c>
      <c r="D174" s="370" t="s">
        <v>711</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25">
      <c r="A175" s="102">
        <v>536</v>
      </c>
      <c r="B175" s="86" t="s">
        <v>1607</v>
      </c>
      <c r="C175" s="86" t="s">
        <v>1610</v>
      </c>
      <c r="D175" s="347" t="s">
        <v>710</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25">
      <c r="A176" s="86">
        <v>537</v>
      </c>
      <c r="B176" s="86" t="s">
        <v>1606</v>
      </c>
      <c r="C176" s="86" t="s">
        <v>1611</v>
      </c>
      <c r="D176" s="347" t="s">
        <v>710</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25">
      <c r="A177" s="100">
        <v>538</v>
      </c>
      <c r="B177" s="86" t="s">
        <v>1494</v>
      </c>
      <c r="C177" s="86" t="s">
        <v>1612</v>
      </c>
      <c r="D177" s="347" t="s">
        <v>710</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25">
      <c r="A178" s="86">
        <v>539</v>
      </c>
      <c r="B178" s="86" t="s">
        <v>650</v>
      </c>
      <c r="C178" s="86" t="s">
        <v>1613</v>
      </c>
      <c r="D178" s="347" t="s">
        <v>710</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25">
      <c r="A179" s="100">
        <v>540</v>
      </c>
      <c r="B179" s="86" t="s">
        <v>353</v>
      </c>
      <c r="D179" s="347" t="s">
        <v>710</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25">
      <c r="D180" s="347"/>
      <c r="E180" s="50"/>
      <c r="F180" s="89"/>
      <c r="Y180" s="86"/>
      <c r="AK180" s="90"/>
      <c r="AL180" s="87"/>
    </row>
    <row r="181" spans="1:38" x14ac:dyDescent="0.25">
      <c r="B181" s="86" t="s">
        <v>1603</v>
      </c>
      <c r="D181" s="347"/>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25">
      <c r="D182" s="347"/>
      <c r="E182" s="50"/>
      <c r="F182" s="89"/>
      <c r="Y182" s="86"/>
      <c r="AL182" s="87"/>
    </row>
    <row r="183" spans="1:38" x14ac:dyDescent="0.25">
      <c r="A183" s="23" t="s">
        <v>1601</v>
      </c>
      <c r="D183" s="347"/>
      <c r="E183" s="50"/>
      <c r="F183" s="89"/>
      <c r="Y183" s="86"/>
      <c r="AL183" s="87"/>
    </row>
    <row r="184" spans="1:38" x14ac:dyDescent="0.25">
      <c r="A184" s="101">
        <v>541</v>
      </c>
      <c r="B184" s="86" t="s">
        <v>561</v>
      </c>
      <c r="C184" s="86" t="s">
        <v>1614</v>
      </c>
      <c r="D184" s="347" t="s">
        <v>712</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25">
      <c r="A185" s="101">
        <v>542</v>
      </c>
      <c r="B185" s="86" t="s">
        <v>560</v>
      </c>
      <c r="C185" s="86" t="s">
        <v>1615</v>
      </c>
      <c r="D185" s="347" t="s">
        <v>710</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25">
      <c r="A186" s="101">
        <v>543</v>
      </c>
      <c r="B186" s="86" t="s">
        <v>1602</v>
      </c>
      <c r="C186" s="86" t="s">
        <v>1616</v>
      </c>
      <c r="D186" s="347" t="s">
        <v>710</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25">
      <c r="A187" s="86">
        <v>544</v>
      </c>
      <c r="B187" s="86" t="s">
        <v>1504</v>
      </c>
      <c r="C187" s="86" t="s">
        <v>1617</v>
      </c>
      <c r="D187" s="347"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25">
      <c r="A188" s="86">
        <v>545</v>
      </c>
      <c r="B188" s="86" t="s">
        <v>1608</v>
      </c>
      <c r="C188" s="86" t="s">
        <v>1618</v>
      </c>
      <c r="D188" s="347"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25">
      <c r="D189" s="347"/>
      <c r="E189" s="50"/>
      <c r="F189" s="89"/>
      <c r="Y189" s="86"/>
      <c r="AL189" s="87"/>
    </row>
    <row r="190" spans="1:38" x14ac:dyDescent="0.25">
      <c r="B190" s="86" t="s">
        <v>1605</v>
      </c>
      <c r="D190" s="347"/>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25">
      <c r="D191" s="347"/>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25">
      <c r="B192" s="86" t="s">
        <v>1604</v>
      </c>
      <c r="D192" s="347"/>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25">
      <c r="D193" s="347"/>
      <c r="E193" s="50"/>
      <c r="F193" s="89"/>
      <c r="Y193" s="86"/>
      <c r="AL193" s="87"/>
    </row>
    <row r="194" spans="1:38" x14ac:dyDescent="0.25">
      <c r="A194" s="22" t="s">
        <v>290</v>
      </c>
      <c r="D194" s="347"/>
      <c r="E194" s="50"/>
      <c r="F194" s="89"/>
      <c r="Y194" s="86"/>
      <c r="AL194" s="87"/>
    </row>
    <row r="195" spans="1:38" x14ac:dyDescent="0.25">
      <c r="D195" s="347"/>
      <c r="E195" s="50"/>
      <c r="F195" s="89"/>
      <c r="Y195" s="86"/>
      <c r="AL195" s="87"/>
    </row>
    <row r="196" spans="1:38" x14ac:dyDescent="0.25">
      <c r="A196" s="23" t="s">
        <v>1511</v>
      </c>
      <c r="D196" s="347"/>
      <c r="E196" s="50"/>
      <c r="F196" s="89"/>
      <c r="Y196" s="86"/>
      <c r="AL196" s="87"/>
    </row>
    <row r="197" spans="1:38" x14ac:dyDescent="0.25">
      <c r="A197" s="86">
        <v>546</v>
      </c>
      <c r="B197" s="86" t="s">
        <v>1488</v>
      </c>
      <c r="C197" s="86" t="s">
        <v>1512</v>
      </c>
      <c r="D197" s="347" t="s">
        <v>713</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25">
      <c r="A198" s="86">
        <v>547</v>
      </c>
      <c r="B198" s="86" t="s">
        <v>1490</v>
      </c>
      <c r="C198" s="86" t="s">
        <v>1513</v>
      </c>
      <c r="D198" s="347"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25">
      <c r="A199" s="86">
        <v>548</v>
      </c>
      <c r="B199" s="86" t="s">
        <v>1514</v>
      </c>
      <c r="C199" s="86" t="s">
        <v>1515</v>
      </c>
      <c r="D199" s="347" t="s">
        <v>710</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25">
      <c r="A200" s="86">
        <v>549</v>
      </c>
      <c r="B200" s="86" t="s">
        <v>1516</v>
      </c>
      <c r="C200" s="86" t="s">
        <v>1517</v>
      </c>
      <c r="D200" s="347" t="s">
        <v>710</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25">
      <c r="A201" s="86">
        <v>550</v>
      </c>
      <c r="B201" s="86" t="s">
        <v>353</v>
      </c>
      <c r="C201" s="86" t="s">
        <v>1518</v>
      </c>
      <c r="D201" s="347" t="s">
        <v>710</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25">
      <c r="D202" s="347"/>
      <c r="E202" s="50"/>
      <c r="F202" s="89"/>
      <c r="Y202" s="86"/>
      <c r="AK202" s="90"/>
      <c r="AL202" s="87"/>
    </row>
    <row r="203" spans="1:38" x14ac:dyDescent="0.25">
      <c r="B203" s="86" t="s">
        <v>1519</v>
      </c>
      <c r="D203" s="347"/>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25">
      <c r="D204" s="347"/>
      <c r="E204" s="50"/>
      <c r="F204" s="89"/>
      <c r="Y204" s="86"/>
      <c r="AL204" s="87"/>
    </row>
    <row r="205" spans="1:38" x14ac:dyDescent="0.25">
      <c r="A205" s="23" t="s">
        <v>1520</v>
      </c>
      <c r="D205" s="347"/>
      <c r="E205" s="50"/>
      <c r="F205" s="89"/>
      <c r="Y205" s="86"/>
      <c r="AL205" s="87"/>
    </row>
    <row r="206" spans="1:38" x14ac:dyDescent="0.25">
      <c r="A206" s="86">
        <v>551</v>
      </c>
      <c r="B206" s="86" t="s">
        <v>561</v>
      </c>
      <c r="C206" s="86" t="s">
        <v>1521</v>
      </c>
      <c r="D206" s="347" t="s">
        <v>710</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25">
      <c r="A207" s="86">
        <v>552</v>
      </c>
      <c r="B207" s="86" t="s">
        <v>560</v>
      </c>
      <c r="C207" s="86" t="s">
        <v>1522</v>
      </c>
      <c r="D207" s="347" t="s">
        <v>710</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25">
      <c r="A208" s="86">
        <v>553</v>
      </c>
      <c r="B208" s="86" t="s">
        <v>1523</v>
      </c>
      <c r="C208" s="86" t="s">
        <v>1524</v>
      </c>
      <c r="D208" s="347" t="s">
        <v>710</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25">
      <c r="A209" s="86">
        <v>554</v>
      </c>
      <c r="B209" s="86" t="s">
        <v>1525</v>
      </c>
      <c r="C209" s="86" t="s">
        <v>1526</v>
      </c>
      <c r="D209" s="347" t="s">
        <v>710</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25">
      <c r="D210" s="347"/>
      <c r="E210" s="50"/>
      <c r="F210" s="89"/>
      <c r="Y210" s="86"/>
      <c r="AL210" s="87"/>
    </row>
    <row r="211" spans="1:38" x14ac:dyDescent="0.25">
      <c r="B211" s="86" t="s">
        <v>1528</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2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25">
      <c r="B213" s="86" t="s">
        <v>1527</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25">
      <c r="D214" s="347"/>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25">
      <c r="B215" s="86" t="s">
        <v>1529</v>
      </c>
      <c r="D215" s="347"/>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25">
      <c r="D216" s="347"/>
      <c r="E216" s="50"/>
      <c r="F216" s="91"/>
      <c r="Y216" s="86"/>
      <c r="AL216" s="87"/>
    </row>
    <row r="217" spans="1:38" x14ac:dyDescent="0.25">
      <c r="A217" s="23" t="s">
        <v>1530</v>
      </c>
      <c r="D217" s="347"/>
      <c r="E217" s="50"/>
      <c r="Y217" s="86"/>
      <c r="AL217" s="87"/>
    </row>
    <row r="218" spans="1:38" x14ac:dyDescent="0.25">
      <c r="A218" s="86">
        <v>555</v>
      </c>
      <c r="B218" s="86" t="s">
        <v>459</v>
      </c>
      <c r="C218" s="86" t="s">
        <v>476</v>
      </c>
      <c r="D218" s="347" t="s">
        <v>780</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25">
      <c r="A219" s="86">
        <v>555</v>
      </c>
      <c r="B219" s="86" t="s">
        <v>1531</v>
      </c>
      <c r="C219" s="86" t="s">
        <v>1532</v>
      </c>
      <c r="D219" s="347" t="s">
        <v>780</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25">
      <c r="A220" s="86">
        <v>555</v>
      </c>
      <c r="B220" s="86" t="s">
        <v>1533</v>
      </c>
      <c r="C220" s="86" t="s">
        <v>1534</v>
      </c>
      <c r="D220" s="347" t="s">
        <v>780</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25">
      <c r="A221" s="86">
        <v>555</v>
      </c>
      <c r="B221" s="86" t="s">
        <v>1535</v>
      </c>
      <c r="C221" s="86" t="s">
        <v>1536</v>
      </c>
      <c r="D221" s="347" t="s">
        <v>780</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25">
      <c r="A222" s="86">
        <v>556</v>
      </c>
      <c r="B222" s="86" t="s">
        <v>1537</v>
      </c>
      <c r="C222" s="86" t="s">
        <v>1538</v>
      </c>
      <c r="D222" s="347" t="s">
        <v>710</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25">
      <c r="A223" s="86">
        <v>557</v>
      </c>
      <c r="B223" s="86" t="s">
        <v>477</v>
      </c>
      <c r="C223" s="86" t="s">
        <v>478</v>
      </c>
      <c r="D223" s="347" t="s">
        <v>710</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2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25">
      <c r="B225" s="86" t="s">
        <v>1552</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2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25">
      <c r="B227" s="86" t="s">
        <v>1539</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2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2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2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2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25">
      <c r="A232" s="86">
        <v>560</v>
      </c>
      <c r="B232" s="86" t="s">
        <v>454</v>
      </c>
      <c r="C232" s="86" t="s">
        <v>481</v>
      </c>
      <c r="D232" s="50" t="s">
        <v>714</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25">
      <c r="A233" s="86">
        <v>561</v>
      </c>
      <c r="B233" s="86" t="s">
        <v>784</v>
      </c>
      <c r="C233" s="86" t="s">
        <v>482</v>
      </c>
      <c r="D233" s="50" t="s">
        <v>714</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25">
      <c r="A234" s="86">
        <v>562</v>
      </c>
      <c r="B234" s="86" t="s">
        <v>452</v>
      </c>
      <c r="C234" s="86" t="s">
        <v>483</v>
      </c>
      <c r="D234" s="50" t="s">
        <v>714</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25">
      <c r="A235" s="86">
        <v>563</v>
      </c>
      <c r="B235" s="86" t="s">
        <v>786</v>
      </c>
      <c r="C235" s="86" t="s">
        <v>484</v>
      </c>
      <c r="D235" s="50" t="s">
        <v>714</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25">
      <c r="A236" s="86">
        <v>565</v>
      </c>
      <c r="B236" s="86" t="s">
        <v>1540</v>
      </c>
      <c r="C236" s="86" t="s">
        <v>1541</v>
      </c>
      <c r="D236" s="50" t="s">
        <v>714</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25">
      <c r="A237" s="86">
        <v>566</v>
      </c>
      <c r="B237" s="86" t="s">
        <v>842</v>
      </c>
      <c r="C237" s="86" t="s">
        <v>843</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25">
      <c r="A238" s="86">
        <v>567</v>
      </c>
      <c r="B238" s="86" t="s">
        <v>353</v>
      </c>
      <c r="C238" s="86" t="s">
        <v>1542</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25">
      <c r="A239" s="86">
        <v>568</v>
      </c>
      <c r="B239" s="86" t="s">
        <v>453</v>
      </c>
      <c r="C239" s="86" t="s">
        <v>1289</v>
      </c>
      <c r="D239" s="50" t="s">
        <v>714</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25">
      <c r="A240" s="86">
        <v>569</v>
      </c>
      <c r="B240" s="86" t="s">
        <v>1543</v>
      </c>
      <c r="C240" s="86" t="s">
        <v>1544</v>
      </c>
      <c r="D240" s="50" t="s">
        <v>714</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25">
      <c r="A241" s="86">
        <v>570</v>
      </c>
      <c r="B241" s="86" t="s">
        <v>455</v>
      </c>
      <c r="C241" s="86" t="s">
        <v>1290</v>
      </c>
      <c r="D241" s="50" t="s">
        <v>714</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25">
      <c r="A242" s="86">
        <v>571</v>
      </c>
      <c r="B242" s="86" t="s">
        <v>456</v>
      </c>
      <c r="C242" s="86" t="s">
        <v>1291</v>
      </c>
      <c r="D242" s="50" t="s">
        <v>714</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25">
      <c r="A243" s="86">
        <v>572</v>
      </c>
      <c r="B243" s="86" t="s">
        <v>1545</v>
      </c>
      <c r="C243" s="86" t="s">
        <v>1546</v>
      </c>
      <c r="D243" s="50" t="s">
        <v>714</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25">
      <c r="A244" s="86">
        <v>573</v>
      </c>
      <c r="B244" s="86" t="s">
        <v>1547</v>
      </c>
      <c r="C244" s="86" t="s">
        <v>1548</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25">
      <c r="A245" s="86">
        <v>575</v>
      </c>
      <c r="B245" s="86" t="s">
        <v>562</v>
      </c>
      <c r="C245" s="86" t="s">
        <v>737</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2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2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25">
      <c r="D248" s="50"/>
      <c r="E248" s="50"/>
      <c r="Y248" s="86"/>
      <c r="AL248" s="87"/>
    </row>
    <row r="249" spans="1:39" x14ac:dyDescent="0.25">
      <c r="A249" s="23" t="s">
        <v>781</v>
      </c>
      <c r="D249" s="50"/>
      <c r="E249" s="50"/>
      <c r="Y249" s="86"/>
      <c r="AL249" s="87"/>
    </row>
    <row r="250" spans="1:39" x14ac:dyDescent="0.25">
      <c r="A250" s="86">
        <v>580</v>
      </c>
      <c r="B250" s="86" t="s">
        <v>782</v>
      </c>
      <c r="C250" s="86" t="s">
        <v>783</v>
      </c>
      <c r="D250" s="50" t="s">
        <v>981</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25">
      <c r="A251" s="86">
        <v>581</v>
      </c>
      <c r="B251" s="86" t="s">
        <v>784</v>
      </c>
      <c r="C251" s="86" t="s">
        <v>785</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2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25">
      <c r="A253" s="86">
        <v>583</v>
      </c>
      <c r="B253" s="86" t="s">
        <v>786</v>
      </c>
      <c r="C253" s="86" t="s">
        <v>787</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25">
      <c r="A254" s="86">
        <v>584</v>
      </c>
      <c r="B254" s="86" t="s">
        <v>788</v>
      </c>
      <c r="C254" s="86" t="s">
        <v>789</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25">
      <c r="A255" s="86">
        <v>585</v>
      </c>
      <c r="B255" s="86" t="s">
        <v>790</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2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25">
      <c r="A257" s="86">
        <v>586</v>
      </c>
      <c r="B257" s="86" t="s">
        <v>1305</v>
      </c>
      <c r="C257" s="86" t="s">
        <v>1306</v>
      </c>
      <c r="D257" s="50" t="s">
        <v>959</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2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25">
      <c r="A259" s="86">
        <v>588</v>
      </c>
      <c r="B259" s="86" t="s">
        <v>351</v>
      </c>
      <c r="C259" s="86" t="s">
        <v>352</v>
      </c>
      <c r="D259" s="370"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25">
      <c r="A260" s="86">
        <v>588</v>
      </c>
      <c r="B260" s="86" t="s">
        <v>933</v>
      </c>
      <c r="C260" s="86" t="s">
        <v>1034</v>
      </c>
      <c r="D260" s="370"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25">
      <c r="A261" s="86">
        <v>589</v>
      </c>
      <c r="B261" s="86" t="s">
        <v>353</v>
      </c>
      <c r="C261" s="86" t="s">
        <v>354</v>
      </c>
      <c r="D261" s="370"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25">
      <c r="D262" s="370"/>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25">
      <c r="A263" s="86" t="s">
        <v>355</v>
      </c>
      <c r="C263" s="86" t="s">
        <v>356</v>
      </c>
      <c r="D263" s="370"/>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25">
      <c r="D264" s="370"/>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25">
      <c r="A265" s="22" t="s">
        <v>290</v>
      </c>
      <c r="D265" s="370"/>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25">
      <c r="D266" s="370"/>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25">
      <c r="A267" s="23" t="s">
        <v>357</v>
      </c>
      <c r="D267" s="370"/>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25">
      <c r="A268" s="86">
        <v>590</v>
      </c>
      <c r="B268" s="86" t="s">
        <v>358</v>
      </c>
      <c r="C268" s="86" t="s">
        <v>359</v>
      </c>
      <c r="D268" s="347" t="s">
        <v>990</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25">
      <c r="A269" s="86">
        <v>591</v>
      </c>
      <c r="B269" s="86" t="s">
        <v>1543</v>
      </c>
      <c r="C269" s="86" t="s">
        <v>1549</v>
      </c>
      <c r="D269" s="347"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25">
      <c r="A270" s="86">
        <v>592</v>
      </c>
      <c r="B270" s="86" t="s">
        <v>360</v>
      </c>
      <c r="C270" s="86" t="s">
        <v>361</v>
      </c>
      <c r="D270" s="314" t="s">
        <v>113</v>
      </c>
      <c r="E270" s="311"/>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25">
      <c r="A271" s="86">
        <v>593</v>
      </c>
      <c r="B271" s="86" t="s">
        <v>362</v>
      </c>
      <c r="C271" s="86" t="s">
        <v>363</v>
      </c>
      <c r="D271" s="314" t="s">
        <v>116</v>
      </c>
      <c r="E271" s="311"/>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2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2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2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2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25">
      <c r="A276" s="86">
        <v>598</v>
      </c>
      <c r="B276" s="86" t="s">
        <v>1550</v>
      </c>
      <c r="C276" s="86" t="s">
        <v>1551</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2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2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2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2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2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25">
      <c r="A282" s="86" t="s">
        <v>463</v>
      </c>
      <c r="D282" s="321"/>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25">
      <c r="D283" s="321"/>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25">
      <c r="A284" s="86" t="s">
        <v>1553</v>
      </c>
      <c r="C284" s="86" t="s">
        <v>289</v>
      </c>
      <c r="D284" s="321"/>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25">
      <c r="A285" s="23"/>
      <c r="D285" s="321"/>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25">
      <c r="A286" s="23" t="s">
        <v>292</v>
      </c>
      <c r="D286" s="321"/>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25">
      <c r="A287" s="86">
        <v>901</v>
      </c>
      <c r="B287" s="86" t="s">
        <v>293</v>
      </c>
      <c r="C287" s="86" t="s">
        <v>294</v>
      </c>
      <c r="D287" s="321" t="s">
        <v>715</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25">
      <c r="A288" s="86">
        <v>902</v>
      </c>
      <c r="B288" s="86" t="s">
        <v>296</v>
      </c>
      <c r="C288" s="86" t="s">
        <v>297</v>
      </c>
      <c r="D288" s="45" t="s">
        <v>715</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25">
      <c r="A289" s="86">
        <v>903</v>
      </c>
      <c r="B289" s="86" t="s">
        <v>1307</v>
      </c>
      <c r="C289" s="86" t="s">
        <v>298</v>
      </c>
      <c r="D289" s="321" t="s">
        <v>715</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25">
      <c r="A290" s="86">
        <v>904</v>
      </c>
      <c r="B290" s="86" t="s">
        <v>299</v>
      </c>
      <c r="C290" s="86" t="s">
        <v>300</v>
      </c>
      <c r="D290" s="321" t="s">
        <v>715</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25">
      <c r="A291" s="86">
        <v>905</v>
      </c>
      <c r="B291" s="86" t="s">
        <v>1308</v>
      </c>
      <c r="C291" s="86" t="s">
        <v>298</v>
      </c>
      <c r="D291" s="321" t="s">
        <v>715</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25">
      <c r="A292" s="23"/>
      <c r="D292" s="321"/>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25">
      <c r="A293" s="86" t="s">
        <v>301</v>
      </c>
      <c r="C293" s="86" t="s">
        <v>302</v>
      </c>
      <c r="D293" s="321"/>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2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2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25">
      <c r="A296" s="86">
        <v>907</v>
      </c>
      <c r="B296" s="86" t="s">
        <v>465</v>
      </c>
      <c r="C296" s="86" t="s">
        <v>304</v>
      </c>
      <c r="D296" s="321" t="s">
        <v>716</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25">
      <c r="A297" s="86">
        <v>908</v>
      </c>
      <c r="B297" s="86" t="s">
        <v>1177</v>
      </c>
      <c r="C297" s="86" t="s">
        <v>1178</v>
      </c>
      <c r="D297" s="321" t="s">
        <v>716</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25">
      <c r="A298" s="86">
        <v>908</v>
      </c>
      <c r="B298" s="86" t="s">
        <v>880</v>
      </c>
      <c r="C298" s="86" t="s">
        <v>1310</v>
      </c>
      <c r="D298" s="321" t="s">
        <v>716</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25">
      <c r="A299" s="86">
        <v>909</v>
      </c>
      <c r="B299" s="86" t="s">
        <v>1179</v>
      </c>
      <c r="C299" s="86" t="s">
        <v>1180</v>
      </c>
      <c r="D299" s="321" t="s">
        <v>716</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25">
      <c r="A300" s="86">
        <v>909</v>
      </c>
      <c r="B300" s="86" t="s">
        <v>1311</v>
      </c>
      <c r="C300" s="86" t="s">
        <v>1312</v>
      </c>
      <c r="D300" s="321" t="s">
        <v>716</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25">
      <c r="A301" s="86">
        <v>910</v>
      </c>
      <c r="B301" s="86" t="s">
        <v>1181</v>
      </c>
      <c r="C301" s="86" t="s">
        <v>1182</v>
      </c>
      <c r="D301" s="321" t="s">
        <v>716</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25">
      <c r="A302" s="86">
        <v>911</v>
      </c>
      <c r="B302" s="86" t="s">
        <v>844</v>
      </c>
      <c r="C302" s="86" t="s">
        <v>930</v>
      </c>
      <c r="D302" s="321" t="s">
        <v>716</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25">
      <c r="A303" s="86">
        <v>912</v>
      </c>
      <c r="B303" s="86" t="s">
        <v>844</v>
      </c>
      <c r="C303" s="86" t="s">
        <v>845</v>
      </c>
      <c r="D303" s="321" t="s">
        <v>716</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25">
      <c r="A304" s="86">
        <v>913</v>
      </c>
      <c r="B304" s="86" t="s">
        <v>853</v>
      </c>
      <c r="C304" s="86" t="s">
        <v>502</v>
      </c>
      <c r="D304" s="321" t="s">
        <v>716</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25">
      <c r="A305" s="86">
        <v>916</v>
      </c>
      <c r="B305" s="86" t="s">
        <v>854</v>
      </c>
      <c r="C305" s="86" t="s">
        <v>855</v>
      </c>
      <c r="D305" s="321" t="s">
        <v>716</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25">
      <c r="D306" s="321"/>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25">
      <c r="A307" s="86" t="s">
        <v>1183</v>
      </c>
      <c r="C307" s="86" t="s">
        <v>1184</v>
      </c>
      <c r="D307" s="321"/>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25">
      <c r="D308" s="321"/>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25">
      <c r="A309" s="86" t="s">
        <v>1554</v>
      </c>
      <c r="C309" s="86" t="s">
        <v>1292</v>
      </c>
      <c r="D309" s="321"/>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25">
      <c r="D310" s="321"/>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25">
      <c r="D311" s="321"/>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25">
      <c r="D312" s="321"/>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25">
      <c r="D313" s="321"/>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25">
      <c r="D314" s="321"/>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25">
      <c r="A315" s="22" t="s">
        <v>290</v>
      </c>
      <c r="D315" s="321"/>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25">
      <c r="D316" s="321"/>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25">
      <c r="A317" s="23" t="s">
        <v>1185</v>
      </c>
      <c r="D317" s="321"/>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25">
      <c r="A318" s="86">
        <v>920</v>
      </c>
      <c r="B318" s="86" t="s">
        <v>1186</v>
      </c>
      <c r="C318" s="86" t="s">
        <v>1187</v>
      </c>
      <c r="D318" s="321" t="s">
        <v>717</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25">
      <c r="A319" s="86">
        <v>921</v>
      </c>
      <c r="B319" s="86" t="s">
        <v>1188</v>
      </c>
      <c r="C319" s="86" t="s">
        <v>1189</v>
      </c>
      <c r="D319" s="321" t="s">
        <v>717</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25">
      <c r="A320" s="86">
        <v>922</v>
      </c>
      <c r="B320" s="86" t="s">
        <v>1555</v>
      </c>
      <c r="C320" s="86" t="s">
        <v>1556</v>
      </c>
      <c r="D320" s="321" t="s">
        <v>717</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25">
      <c r="A321" s="86">
        <v>923</v>
      </c>
      <c r="B321" s="86" t="s">
        <v>1190</v>
      </c>
      <c r="C321" s="86" t="s">
        <v>1191</v>
      </c>
      <c r="D321" s="321" t="s">
        <v>717</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25">
      <c r="A322" s="86">
        <v>924</v>
      </c>
      <c r="B322" s="86" t="s">
        <v>1192</v>
      </c>
      <c r="C322" s="86" t="s">
        <v>1193</v>
      </c>
      <c r="D322" s="321"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25">
      <c r="A323" s="86">
        <v>925</v>
      </c>
      <c r="B323" s="86" t="s">
        <v>1168</v>
      </c>
      <c r="C323" s="86" t="s">
        <v>1169</v>
      </c>
      <c r="D323" s="321" t="s">
        <v>717</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25">
      <c r="A324" s="86">
        <v>926</v>
      </c>
      <c r="B324" s="86" t="s">
        <v>1170</v>
      </c>
      <c r="C324" s="86" t="s">
        <v>250</v>
      </c>
      <c r="D324" s="321" t="s">
        <v>717</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25">
      <c r="A325" s="86">
        <v>928</v>
      </c>
      <c r="B325" s="86" t="s">
        <v>550</v>
      </c>
      <c r="C325" s="86" t="s">
        <v>251</v>
      </c>
      <c r="D325" s="321"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25">
      <c r="A326" s="86">
        <v>929</v>
      </c>
      <c r="B326" s="86" t="s">
        <v>305</v>
      </c>
      <c r="C326" s="86" t="s">
        <v>467</v>
      </c>
      <c r="D326" s="321" t="s">
        <v>717</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25">
      <c r="A327" s="86">
        <v>930</v>
      </c>
      <c r="B327" s="86" t="s">
        <v>252</v>
      </c>
      <c r="C327" s="86" t="s">
        <v>253</v>
      </c>
      <c r="D327" s="321" t="s">
        <v>717</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25">
      <c r="A328" s="86">
        <v>931</v>
      </c>
      <c r="B328" s="86" t="s">
        <v>254</v>
      </c>
      <c r="C328" s="86" t="s">
        <v>255</v>
      </c>
      <c r="D328" s="321"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25">
      <c r="A329" s="86">
        <v>935</v>
      </c>
      <c r="B329" s="86" t="s">
        <v>256</v>
      </c>
      <c r="C329" s="86" t="s">
        <v>1557</v>
      </c>
      <c r="D329" s="321"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25">
      <c r="D330" s="321"/>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25">
      <c r="A331" s="86" t="s">
        <v>257</v>
      </c>
      <c r="C331" s="86" t="s">
        <v>258</v>
      </c>
      <c r="D331" s="321"/>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25">
      <c r="D332" s="321"/>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25">
      <c r="A333" s="86" t="s">
        <v>809</v>
      </c>
      <c r="C333" s="86" t="s">
        <v>810</v>
      </c>
      <c r="D333" s="321"/>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25">
      <c r="D334" s="321"/>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25">
      <c r="A335" s="86" t="s">
        <v>1293</v>
      </c>
      <c r="C335" s="86" t="s">
        <v>771</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25">
      <c r="D336" s="45"/>
      <c r="E336" s="45"/>
      <c r="Y336" s="86"/>
      <c r="AL336" s="87"/>
    </row>
    <row r="337" spans="1:38" x14ac:dyDescent="0.25">
      <c r="A337" s="22" t="s">
        <v>811</v>
      </c>
      <c r="D337" s="321"/>
      <c r="E337" s="45"/>
      <c r="Y337" s="86"/>
      <c r="AL337" s="87"/>
    </row>
    <row r="338" spans="1:38" x14ac:dyDescent="0.25">
      <c r="A338" s="22"/>
      <c r="D338" s="321"/>
      <c r="E338" s="45"/>
      <c r="Y338" s="86"/>
      <c r="AL338" s="87"/>
    </row>
    <row r="339" spans="1:38" x14ac:dyDescent="0.25">
      <c r="A339" s="23" t="s">
        <v>1496</v>
      </c>
      <c r="D339" s="321"/>
      <c r="E339" s="45"/>
      <c r="Y339" s="86"/>
      <c r="AL339" s="87"/>
    </row>
    <row r="340" spans="1:38" x14ac:dyDescent="0.25">
      <c r="A340" s="86">
        <v>500</v>
      </c>
      <c r="B340" s="86" t="s">
        <v>1488</v>
      </c>
      <c r="C340" s="86" t="s">
        <v>1558</v>
      </c>
      <c r="D340" s="321" t="s">
        <v>718</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25">
      <c r="A341" s="100">
        <v>501</v>
      </c>
      <c r="B341" s="86" t="s">
        <v>1490</v>
      </c>
      <c r="C341" s="86" t="s">
        <v>1559</v>
      </c>
      <c r="D341" s="321"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25">
      <c r="A342" s="86">
        <v>502</v>
      </c>
      <c r="B342" s="86" t="s">
        <v>1492</v>
      </c>
      <c r="C342" s="86" t="s">
        <v>1560</v>
      </c>
      <c r="D342" s="45" t="s">
        <v>710</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25">
      <c r="A343" s="86">
        <v>505</v>
      </c>
      <c r="B343" s="86" t="s">
        <v>1494</v>
      </c>
      <c r="C343" s="86" t="s">
        <v>1561</v>
      </c>
      <c r="D343" s="45" t="s">
        <v>710</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25">
      <c r="A344" s="86">
        <v>506</v>
      </c>
      <c r="B344" s="86" t="s">
        <v>1497</v>
      </c>
      <c r="C344" s="86" t="s">
        <v>1562</v>
      </c>
      <c r="D344" s="45" t="s">
        <v>710</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25">
      <c r="A345" s="86">
        <v>507</v>
      </c>
      <c r="B345" s="86" t="s">
        <v>353</v>
      </c>
      <c r="C345" s="86" t="s">
        <v>132</v>
      </c>
      <c r="D345" s="45" t="s">
        <v>710</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25">
      <c r="D346" s="45"/>
      <c r="E346" s="45"/>
      <c r="F346" s="89"/>
      <c r="Y346" s="86"/>
      <c r="AK346" s="90"/>
      <c r="AL346" s="87"/>
    </row>
    <row r="347" spans="1:38" x14ac:dyDescent="0.25">
      <c r="B347" s="86" t="s">
        <v>1499</v>
      </c>
      <c r="C347" s="86" t="s">
        <v>708</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25">
      <c r="D348" s="45"/>
      <c r="E348" s="45"/>
      <c r="F348" s="89"/>
      <c r="Y348" s="86"/>
      <c r="AK348" s="90"/>
      <c r="AL348" s="87"/>
    </row>
    <row r="349" spans="1:38" x14ac:dyDescent="0.25">
      <c r="A349" s="23" t="s">
        <v>1500</v>
      </c>
      <c r="D349" s="45"/>
      <c r="E349" s="45"/>
      <c r="F349" s="89"/>
      <c r="Y349" s="86"/>
      <c r="AK349" s="90"/>
      <c r="AL349" s="87"/>
    </row>
    <row r="350" spans="1:38" x14ac:dyDescent="0.25">
      <c r="A350" s="86">
        <v>510</v>
      </c>
      <c r="B350" s="86" t="s">
        <v>561</v>
      </c>
      <c r="C350" s="86" t="s">
        <v>1563</v>
      </c>
      <c r="D350" s="321" t="s">
        <v>719</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25">
      <c r="A351" s="86">
        <v>511</v>
      </c>
      <c r="B351" s="86" t="s">
        <v>560</v>
      </c>
      <c r="C351" s="86" t="s">
        <v>1564</v>
      </c>
      <c r="D351" s="321" t="s">
        <v>710</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25">
      <c r="A352" s="86">
        <v>512</v>
      </c>
      <c r="B352" s="86" t="s">
        <v>1503</v>
      </c>
      <c r="C352" s="86" t="s">
        <v>1565</v>
      </c>
      <c r="D352" s="321"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25">
      <c r="A353" s="86">
        <v>513</v>
      </c>
      <c r="B353" s="86" t="s">
        <v>1504</v>
      </c>
      <c r="C353" s="86" t="s">
        <v>1566</v>
      </c>
      <c r="D353" s="321"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25">
      <c r="A354" s="86">
        <v>514</v>
      </c>
      <c r="B354" s="86" t="s">
        <v>1507</v>
      </c>
      <c r="C354" s="86" t="s">
        <v>1567</v>
      </c>
      <c r="D354" s="321"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25">
      <c r="D355" s="321"/>
      <c r="E355" s="45"/>
      <c r="F355" s="89"/>
      <c r="Y355" s="86"/>
      <c r="AK355" s="90"/>
      <c r="AL355" s="87"/>
    </row>
    <row r="356" spans="1:38" x14ac:dyDescent="0.25">
      <c r="B356" s="86" t="s">
        <v>1509</v>
      </c>
      <c r="C356" s="86" t="s">
        <v>1004</v>
      </c>
      <c r="D356" s="321"/>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25">
      <c r="D357" s="321"/>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25">
      <c r="B358" s="86" t="s">
        <v>1510</v>
      </c>
      <c r="D358" s="321"/>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25">
      <c r="D359" s="321"/>
      <c r="E359" s="45"/>
      <c r="F359" s="89"/>
      <c r="Y359" s="86"/>
      <c r="AK359" s="90"/>
      <c r="AL359" s="87"/>
    </row>
    <row r="360" spans="1:38" x14ac:dyDescent="0.25">
      <c r="A360" s="23" t="s">
        <v>1600</v>
      </c>
      <c r="D360" s="321"/>
      <c r="E360" s="45"/>
      <c r="Y360" s="86"/>
      <c r="AL360" s="87"/>
    </row>
    <row r="361" spans="1:38" x14ac:dyDescent="0.25">
      <c r="A361" s="101">
        <v>535</v>
      </c>
      <c r="B361" s="86" t="s">
        <v>1488</v>
      </c>
      <c r="C361" s="86" t="s">
        <v>1747</v>
      </c>
      <c r="D361" s="321" t="s">
        <v>720</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25">
      <c r="A362" s="102">
        <v>536</v>
      </c>
      <c r="B362" s="86" t="s">
        <v>1607</v>
      </c>
      <c r="C362" s="86" t="s">
        <v>1748</v>
      </c>
      <c r="D362" s="321" t="s">
        <v>710</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25">
      <c r="A363" s="86">
        <v>537</v>
      </c>
      <c r="B363" s="86" t="s">
        <v>1606</v>
      </c>
      <c r="C363" s="86" t="s">
        <v>1749</v>
      </c>
      <c r="D363" s="321" t="s">
        <v>710</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25">
      <c r="A364" s="100">
        <v>538</v>
      </c>
      <c r="B364" s="86" t="s">
        <v>1494</v>
      </c>
      <c r="C364" s="86" t="s">
        <v>1750</v>
      </c>
      <c r="D364" s="321" t="s">
        <v>710</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25">
      <c r="A365" s="86">
        <v>539</v>
      </c>
      <c r="B365" s="86" t="s">
        <v>650</v>
      </c>
      <c r="C365" s="86" t="s">
        <v>1751</v>
      </c>
      <c r="D365" s="321" t="s">
        <v>710</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25">
      <c r="A366" s="100">
        <v>540</v>
      </c>
      <c r="B366" s="86" t="s">
        <v>353</v>
      </c>
      <c r="C366" s="86" t="s">
        <v>1752</v>
      </c>
      <c r="D366" s="321" t="s">
        <v>710</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25">
      <c r="D367" s="321"/>
      <c r="E367" s="45"/>
      <c r="F367" s="89"/>
      <c r="Y367" s="86"/>
      <c r="AK367" s="90"/>
      <c r="AL367" s="87"/>
    </row>
    <row r="368" spans="1:38" x14ac:dyDescent="0.25">
      <c r="B368" s="86" t="s">
        <v>1603</v>
      </c>
      <c r="C368" s="86" t="s">
        <v>711</v>
      </c>
      <c r="D368" s="321"/>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25">
      <c r="D369" s="321"/>
      <c r="E369" s="45"/>
      <c r="F369" s="89"/>
      <c r="Y369" s="86"/>
      <c r="AL369" s="87"/>
    </row>
    <row r="370" spans="1:38" x14ac:dyDescent="0.25">
      <c r="A370" s="23" t="s">
        <v>1601</v>
      </c>
      <c r="D370" s="321"/>
      <c r="E370" s="45"/>
      <c r="F370" s="89"/>
      <c r="Y370" s="86"/>
      <c r="AL370" s="87"/>
    </row>
    <row r="371" spans="1:38" x14ac:dyDescent="0.25">
      <c r="A371" s="101">
        <v>541</v>
      </c>
      <c r="B371" s="86" t="s">
        <v>561</v>
      </c>
      <c r="C371" s="86" t="s">
        <v>1753</v>
      </c>
      <c r="D371" s="321" t="s">
        <v>721</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25">
      <c r="A372" s="101">
        <v>542</v>
      </c>
      <c r="B372" s="86" t="s">
        <v>560</v>
      </c>
      <c r="C372" s="86" t="s">
        <v>1754</v>
      </c>
      <c r="D372" s="321" t="s">
        <v>710</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25">
      <c r="A373" s="101">
        <v>543</v>
      </c>
      <c r="B373" s="86" t="s">
        <v>1602</v>
      </c>
      <c r="C373" s="86" t="s">
        <v>1755</v>
      </c>
      <c r="D373" s="321" t="s">
        <v>710</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25">
      <c r="A374" s="86">
        <v>544</v>
      </c>
      <c r="B374" s="86" t="s">
        <v>1504</v>
      </c>
      <c r="C374" s="86" t="s">
        <v>1756</v>
      </c>
      <c r="D374" s="321"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25">
      <c r="A375" s="86">
        <v>545</v>
      </c>
      <c r="B375" s="86" t="s">
        <v>1608</v>
      </c>
      <c r="C375" s="86" t="s">
        <v>1757</v>
      </c>
      <c r="D375" s="321"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25">
      <c r="D376" s="321"/>
      <c r="E376" s="45"/>
      <c r="F376" s="89"/>
      <c r="Y376" s="86"/>
      <c r="AL376" s="87"/>
    </row>
    <row r="377" spans="1:38" x14ac:dyDescent="0.25">
      <c r="B377" s="86" t="s">
        <v>1605</v>
      </c>
      <c r="C377" s="86" t="s">
        <v>712</v>
      </c>
      <c r="D377" s="321"/>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25">
      <c r="D378" s="321"/>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25">
      <c r="B379" s="86" t="s">
        <v>1604</v>
      </c>
      <c r="D379" s="321"/>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25">
      <c r="D380" s="321"/>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25">
      <c r="A381" s="22" t="s">
        <v>961</v>
      </c>
      <c r="D381" s="321"/>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25">
      <c r="D382" s="321"/>
      <c r="E382" s="45"/>
      <c r="F382" s="89"/>
      <c r="Y382" s="86"/>
      <c r="AK382" s="90"/>
      <c r="AL382" s="87"/>
    </row>
    <row r="383" spans="1:38" x14ac:dyDescent="0.25">
      <c r="A383" s="23" t="s">
        <v>1511</v>
      </c>
      <c r="D383" s="321"/>
      <c r="E383" s="45"/>
      <c r="F383" s="89"/>
      <c r="Y383" s="86"/>
      <c r="AK383" s="90"/>
      <c r="AL383" s="87"/>
    </row>
    <row r="384" spans="1:38" x14ac:dyDescent="0.25">
      <c r="A384" s="86">
        <v>546</v>
      </c>
      <c r="B384" s="86" t="s">
        <v>1488</v>
      </c>
      <c r="C384" s="86" t="s">
        <v>1568</v>
      </c>
      <c r="D384" s="321" t="s">
        <v>710</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25">
      <c r="A385" s="86">
        <v>547</v>
      </c>
      <c r="B385" s="86" t="s">
        <v>1490</v>
      </c>
      <c r="C385" s="86" t="s">
        <v>1569</v>
      </c>
      <c r="D385" s="321"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25">
      <c r="A386" s="86">
        <v>548</v>
      </c>
      <c r="B386" s="86" t="s">
        <v>1514</v>
      </c>
      <c r="C386" s="86" t="s">
        <v>1570</v>
      </c>
      <c r="D386" s="321" t="s">
        <v>710</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25">
      <c r="A387" s="86">
        <v>549</v>
      </c>
      <c r="B387" s="86" t="s">
        <v>1516</v>
      </c>
      <c r="C387" s="86" t="s">
        <v>1571</v>
      </c>
      <c r="D387" s="321" t="s">
        <v>710</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25">
      <c r="A388" s="86">
        <v>550</v>
      </c>
      <c r="B388" s="86" t="s">
        <v>353</v>
      </c>
      <c r="C388" s="86" t="s">
        <v>1572</v>
      </c>
      <c r="D388" s="321" t="s">
        <v>710</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25">
      <c r="D389" s="321"/>
      <c r="E389" s="45"/>
      <c r="F389" s="89"/>
      <c r="Y389" s="86"/>
      <c r="AK389" s="90"/>
      <c r="AL389" s="87"/>
    </row>
    <row r="390" spans="1:38" x14ac:dyDescent="0.25">
      <c r="B390" s="86" t="s">
        <v>1519</v>
      </c>
      <c r="C390" s="86" t="s">
        <v>713</v>
      </c>
      <c r="D390" s="321"/>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25">
      <c r="D391" s="321"/>
      <c r="E391" s="45"/>
      <c r="F391" s="89"/>
      <c r="Y391" s="86"/>
      <c r="AK391" s="90"/>
      <c r="AL391" s="87"/>
    </row>
    <row r="392" spans="1:38" x14ac:dyDescent="0.25">
      <c r="A392" s="23" t="s">
        <v>1520</v>
      </c>
      <c r="D392" s="321"/>
      <c r="E392" s="45"/>
      <c r="F392" s="89"/>
      <c r="Y392" s="86"/>
      <c r="AK392" s="90"/>
      <c r="AL392" s="87"/>
    </row>
    <row r="393" spans="1:38" x14ac:dyDescent="0.25">
      <c r="A393" s="86">
        <v>551</v>
      </c>
      <c r="B393" s="86" t="s">
        <v>561</v>
      </c>
      <c r="C393" s="86" t="s">
        <v>1573</v>
      </c>
      <c r="D393" s="321" t="s">
        <v>710</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25">
      <c r="A394" s="86">
        <v>552</v>
      </c>
      <c r="B394" s="86" t="s">
        <v>560</v>
      </c>
      <c r="C394" s="86" t="s">
        <v>1574</v>
      </c>
      <c r="D394" s="321" t="s">
        <v>710</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25">
      <c r="A395" s="86">
        <v>553</v>
      </c>
      <c r="B395" s="86" t="s">
        <v>1523</v>
      </c>
      <c r="C395" s="86" t="s">
        <v>1575</v>
      </c>
      <c r="D395" s="321" t="s">
        <v>710</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25">
      <c r="A396" s="86">
        <v>554</v>
      </c>
      <c r="B396" s="86" t="s">
        <v>1525</v>
      </c>
      <c r="C396" s="86" t="s">
        <v>1576</v>
      </c>
      <c r="D396" s="321" t="s">
        <v>710</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25">
      <c r="D397" s="45"/>
      <c r="E397" s="45"/>
      <c r="F397" s="89"/>
      <c r="Y397" s="86"/>
      <c r="AK397" s="90"/>
      <c r="AL397" s="87"/>
    </row>
    <row r="398" spans="1:38" x14ac:dyDescent="0.25">
      <c r="B398" s="86" t="s">
        <v>1528</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2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25">
      <c r="B400" s="86" t="s">
        <v>1527</v>
      </c>
      <c r="D400" s="321"/>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25">
      <c r="D401" s="321"/>
      <c r="E401" s="45"/>
      <c r="F401" s="89"/>
      <c r="Y401" s="86"/>
      <c r="AK401" s="90"/>
      <c r="AL401" s="87"/>
    </row>
    <row r="402" spans="1:38" x14ac:dyDescent="0.25">
      <c r="B402" s="86" t="s">
        <v>1620</v>
      </c>
      <c r="C402" s="86" t="s">
        <v>1622</v>
      </c>
      <c r="D402" s="321"/>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25">
      <c r="A403" s="22"/>
      <c r="D403" s="321"/>
      <c r="E403" s="45"/>
      <c r="Y403" s="86"/>
      <c r="AL403" s="87"/>
    </row>
    <row r="404" spans="1:38" x14ac:dyDescent="0.25">
      <c r="A404" s="23" t="s">
        <v>779</v>
      </c>
      <c r="D404" s="321"/>
      <c r="E404" s="45"/>
      <c r="Y404" s="86"/>
      <c r="AL404" s="87"/>
    </row>
    <row r="405" spans="1:38" x14ac:dyDescent="0.25">
      <c r="A405" s="86">
        <v>555</v>
      </c>
      <c r="B405" s="86" t="s">
        <v>459</v>
      </c>
      <c r="C405" s="86" t="s">
        <v>1018</v>
      </c>
      <c r="D405" s="321" t="s">
        <v>780</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25">
      <c r="A406" s="86">
        <v>556</v>
      </c>
      <c r="B406" s="86" t="s">
        <v>1537</v>
      </c>
      <c r="C406" s="86" t="s">
        <v>1744</v>
      </c>
      <c r="D406" s="321" t="s">
        <v>710</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25">
      <c r="A407" s="86">
        <v>557</v>
      </c>
      <c r="B407" s="86" t="s">
        <v>477</v>
      </c>
      <c r="C407" s="86" t="s">
        <v>963</v>
      </c>
      <c r="D407" s="321" t="s">
        <v>710</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25">
      <c r="D408" s="321"/>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25">
      <c r="B409" s="86" t="s">
        <v>1020</v>
      </c>
      <c r="C409" s="86" t="s">
        <v>962</v>
      </c>
      <c r="D409" s="321"/>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25">
      <c r="D410" s="321"/>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25">
      <c r="A411" s="22" t="s">
        <v>961</v>
      </c>
      <c r="D411" s="321"/>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25">
      <c r="D412" s="321"/>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25">
      <c r="A413" s="23" t="s">
        <v>1022</v>
      </c>
      <c r="D413" s="321"/>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25">
      <c r="A414" s="86">
        <v>560</v>
      </c>
      <c r="B414" s="86" t="s">
        <v>454</v>
      </c>
      <c r="C414" s="86" t="s">
        <v>1019</v>
      </c>
      <c r="D414" s="321"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25">
      <c r="A415" s="86">
        <v>561</v>
      </c>
      <c r="B415" s="86" t="s">
        <v>784</v>
      </c>
      <c r="C415" s="86" t="s">
        <v>964</v>
      </c>
      <c r="D415" s="321"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25">
      <c r="A416" s="86">
        <v>562</v>
      </c>
      <c r="B416" s="86" t="s">
        <v>452</v>
      </c>
      <c r="C416" s="86" t="s">
        <v>965</v>
      </c>
      <c r="D416" s="321"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25">
      <c r="A417" s="86">
        <v>563</v>
      </c>
      <c r="B417" s="86" t="s">
        <v>786</v>
      </c>
      <c r="C417" s="86" t="s">
        <v>966</v>
      </c>
      <c r="D417" s="321"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25">
      <c r="A418" s="86">
        <v>566</v>
      </c>
      <c r="B418" s="86" t="s">
        <v>842</v>
      </c>
      <c r="C418" s="86" t="s">
        <v>846</v>
      </c>
      <c r="D418" s="321"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25">
      <c r="A419" s="86">
        <v>568</v>
      </c>
      <c r="B419" s="86" t="s">
        <v>453</v>
      </c>
      <c r="C419" s="86" t="s">
        <v>967</v>
      </c>
      <c r="D419" s="321"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25">
      <c r="A420" s="86">
        <v>570</v>
      </c>
      <c r="B420" s="86" t="s">
        <v>455</v>
      </c>
      <c r="C420" s="86" t="s">
        <v>968</v>
      </c>
      <c r="D420" s="321"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25">
      <c r="A421" s="86">
        <v>571</v>
      </c>
      <c r="B421" s="86" t="s">
        <v>456</v>
      </c>
      <c r="C421" s="86" t="s">
        <v>969</v>
      </c>
      <c r="D421" s="321"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25">
      <c r="A422" s="86">
        <v>572</v>
      </c>
      <c r="B422" s="86" t="s">
        <v>1545</v>
      </c>
      <c r="C422" s="86" t="s">
        <v>1758</v>
      </c>
      <c r="D422" s="321"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25">
      <c r="A423" s="86">
        <v>573</v>
      </c>
      <c r="B423" s="86" t="s">
        <v>1547</v>
      </c>
      <c r="C423" s="86" t="s">
        <v>1759</v>
      </c>
      <c r="D423" s="321"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25">
      <c r="D424" s="321"/>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25">
      <c r="A425" s="86" t="s">
        <v>1021</v>
      </c>
      <c r="C425" s="86" t="s">
        <v>714</v>
      </c>
      <c r="D425" s="321"/>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25">
      <c r="D426" s="321"/>
      <c r="E426" s="45"/>
      <c r="Y426" s="86"/>
      <c r="AL426" s="87"/>
    </row>
    <row r="427" spans="1:38" x14ac:dyDescent="0.25">
      <c r="A427" s="23" t="s">
        <v>1023</v>
      </c>
      <c r="D427" s="321"/>
      <c r="E427" s="45"/>
      <c r="Y427" s="86"/>
      <c r="AL427" s="87"/>
    </row>
    <row r="428" spans="1:38" x14ac:dyDescent="0.25">
      <c r="A428" s="86">
        <v>580</v>
      </c>
      <c r="B428" s="86" t="s">
        <v>782</v>
      </c>
      <c r="C428" s="86" t="s">
        <v>970</v>
      </c>
      <c r="D428" s="321" t="s">
        <v>722</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25">
      <c r="A429" s="86">
        <v>581</v>
      </c>
      <c r="B429" s="86" t="s">
        <v>784</v>
      </c>
      <c r="C429" s="86" t="s">
        <v>971</v>
      </c>
      <c r="D429" s="321"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25">
      <c r="A430" s="86">
        <v>582</v>
      </c>
      <c r="B430" s="86" t="s">
        <v>452</v>
      </c>
      <c r="C430" s="86" t="s">
        <v>972</v>
      </c>
      <c r="D430" s="321"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25">
      <c r="A431" s="86">
        <v>583</v>
      </c>
      <c r="B431" s="86" t="s">
        <v>786</v>
      </c>
      <c r="C431" s="86" t="s">
        <v>973</v>
      </c>
      <c r="D431" s="321"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25">
      <c r="A432" s="86">
        <v>584</v>
      </c>
      <c r="B432" s="86" t="s">
        <v>788</v>
      </c>
      <c r="C432" s="86" t="s">
        <v>974</v>
      </c>
      <c r="D432" s="321"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25">
      <c r="A433" s="86">
        <v>585</v>
      </c>
      <c r="B433" s="86" t="s">
        <v>790</v>
      </c>
      <c r="C433" s="86" t="s">
        <v>975</v>
      </c>
      <c r="D433" s="321"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25">
      <c r="A434" s="86">
        <v>586</v>
      </c>
      <c r="B434" s="86" t="s">
        <v>347</v>
      </c>
      <c r="C434" s="86" t="s">
        <v>976</v>
      </c>
      <c r="D434" s="321"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25">
      <c r="A435" s="86">
        <v>586</v>
      </c>
      <c r="B435" s="86" t="s">
        <v>1305</v>
      </c>
      <c r="C435" s="86" t="s">
        <v>977</v>
      </c>
      <c r="D435" s="321" t="s">
        <v>959</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25">
      <c r="A436" s="86">
        <v>587</v>
      </c>
      <c r="B436" s="86" t="s">
        <v>349</v>
      </c>
      <c r="C436" s="86" t="s">
        <v>978</v>
      </c>
      <c r="D436" s="321"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25">
      <c r="A437" s="86">
        <v>588</v>
      </c>
      <c r="B437" s="86" t="s">
        <v>351</v>
      </c>
      <c r="C437" s="86" t="s">
        <v>979</v>
      </c>
      <c r="D437" s="321"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25">
      <c r="A438" s="86">
        <v>589</v>
      </c>
      <c r="B438" s="86" t="s">
        <v>353</v>
      </c>
      <c r="C438" s="86" t="s">
        <v>980</v>
      </c>
      <c r="D438" s="321"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25">
      <c r="D439" s="321"/>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25">
      <c r="A440" s="86" t="s">
        <v>1024</v>
      </c>
      <c r="C440" s="86" t="s">
        <v>981</v>
      </c>
      <c r="D440" s="321"/>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25">
      <c r="D441" s="321"/>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25">
      <c r="A442" s="23"/>
      <c r="D442" s="321"/>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25">
      <c r="A443" s="22" t="s">
        <v>961</v>
      </c>
      <c r="D443" s="321"/>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25">
      <c r="D444" s="321"/>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25">
      <c r="A445" s="23" t="s">
        <v>1025</v>
      </c>
      <c r="D445" s="321"/>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25">
      <c r="A446" s="86">
        <v>590</v>
      </c>
      <c r="B446" s="86" t="s">
        <v>358</v>
      </c>
      <c r="C446" s="86" t="s">
        <v>982</v>
      </c>
      <c r="D446" s="321" t="s">
        <v>723</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25">
      <c r="A447" s="86">
        <v>591</v>
      </c>
      <c r="B447" s="86" t="s">
        <v>560</v>
      </c>
      <c r="C447" s="86" t="s">
        <v>736</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25">
      <c r="A448" s="86">
        <v>592</v>
      </c>
      <c r="B448" s="86" t="s">
        <v>360</v>
      </c>
      <c r="C448" s="86" t="s">
        <v>983</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25">
      <c r="A449" s="86">
        <v>593</v>
      </c>
      <c r="B449" s="86" t="s">
        <v>362</v>
      </c>
      <c r="C449" s="86" t="s">
        <v>984</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25">
      <c r="A450" s="86">
        <v>594</v>
      </c>
      <c r="B450" s="86" t="s">
        <v>364</v>
      </c>
      <c r="C450" s="86" t="s">
        <v>985</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25">
      <c r="A451" s="86">
        <v>595</v>
      </c>
      <c r="B451" s="86" t="s">
        <v>366</v>
      </c>
      <c r="C451" s="86" t="s">
        <v>986</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25">
      <c r="A452" s="86">
        <v>596</v>
      </c>
      <c r="B452" s="86" t="s">
        <v>460</v>
      </c>
      <c r="C452" s="86" t="s">
        <v>987</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25">
      <c r="A453" s="86">
        <v>597</v>
      </c>
      <c r="B453" s="86" t="s">
        <v>368</v>
      </c>
      <c r="C453" s="86" t="s">
        <v>988</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25">
      <c r="A454" s="86">
        <v>598</v>
      </c>
      <c r="B454" s="86" t="s">
        <v>464</v>
      </c>
      <c r="C454" s="86" t="s">
        <v>989</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2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25">
      <c r="A456" s="86" t="s">
        <v>1026</v>
      </c>
      <c r="C456" s="86" t="s">
        <v>990</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2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25">
      <c r="A458" s="86" t="s">
        <v>1027</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2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25">
      <c r="A460" s="86" t="s">
        <v>1028</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2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25">
      <c r="A462" s="86" t="s">
        <v>1619</v>
      </c>
      <c r="C462" s="86" t="s">
        <v>991</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2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2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25">
      <c r="A465" s="86">
        <v>901</v>
      </c>
      <c r="B465" s="86" t="s">
        <v>293</v>
      </c>
      <c r="C465" s="86" t="s">
        <v>992</v>
      </c>
      <c r="D465" s="45" t="s">
        <v>715</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25">
      <c r="A466" s="86">
        <v>902</v>
      </c>
      <c r="B466" s="86" t="s">
        <v>296</v>
      </c>
      <c r="C466" s="86" t="s">
        <v>993</v>
      </c>
      <c r="D466" s="45" t="s">
        <v>715</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25">
      <c r="A467" s="86">
        <v>903</v>
      </c>
      <c r="B467" s="86" t="s">
        <v>1307</v>
      </c>
      <c r="C467" s="86" t="s">
        <v>994</v>
      </c>
      <c r="D467" s="45" t="s">
        <v>715</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25">
      <c r="A468" s="86">
        <v>904</v>
      </c>
      <c r="B468" s="86" t="s">
        <v>299</v>
      </c>
      <c r="C468" s="86" t="s">
        <v>995</v>
      </c>
      <c r="D468" s="45" t="s">
        <v>715</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25">
      <c r="A469" s="86">
        <v>905</v>
      </c>
      <c r="B469" s="86" t="s">
        <v>1308</v>
      </c>
      <c r="C469" s="86" t="s">
        <v>994</v>
      </c>
      <c r="D469" s="45" t="s">
        <v>715</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2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25">
      <c r="A471" s="86" t="s">
        <v>1029</v>
      </c>
      <c r="C471" s="86" t="s">
        <v>996</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2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2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25">
      <c r="A474" s="86">
        <v>907</v>
      </c>
      <c r="B474" s="86" t="s">
        <v>465</v>
      </c>
      <c r="C474" s="86" t="s">
        <v>997</v>
      </c>
      <c r="D474" s="45" t="s">
        <v>716</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25">
      <c r="A475" s="86">
        <v>908</v>
      </c>
      <c r="B475" s="86" t="s">
        <v>1177</v>
      </c>
      <c r="C475" s="86" t="s">
        <v>998</v>
      </c>
      <c r="D475" s="45" t="s">
        <v>716</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25">
      <c r="A476" s="86">
        <v>908</v>
      </c>
      <c r="B476" s="86" t="s">
        <v>1309</v>
      </c>
      <c r="C476" s="86" t="s">
        <v>999</v>
      </c>
      <c r="D476" s="45" t="s">
        <v>716</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25">
      <c r="A477" s="86">
        <v>909</v>
      </c>
      <c r="B477" s="86" t="s">
        <v>1179</v>
      </c>
      <c r="C477" s="86" t="s">
        <v>1000</v>
      </c>
      <c r="D477" s="45" t="s">
        <v>716</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25">
      <c r="A478" s="86">
        <v>909</v>
      </c>
      <c r="B478" s="86" t="s">
        <v>1311</v>
      </c>
      <c r="C478" s="86" t="s">
        <v>1001</v>
      </c>
      <c r="D478" s="45" t="s">
        <v>716</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25">
      <c r="A479" s="86">
        <v>910</v>
      </c>
      <c r="B479" s="86" t="s">
        <v>1181</v>
      </c>
      <c r="C479" s="86" t="s">
        <v>1002</v>
      </c>
      <c r="D479" s="45" t="s">
        <v>716</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25">
      <c r="A480" s="86">
        <v>911</v>
      </c>
      <c r="B480" s="86" t="s">
        <v>844</v>
      </c>
      <c r="C480" s="86" t="s">
        <v>931</v>
      </c>
      <c r="D480" s="321" t="s">
        <v>716</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25">
      <c r="A481" s="86">
        <v>912</v>
      </c>
      <c r="B481" s="86" t="s">
        <v>844</v>
      </c>
      <c r="C481" s="86" t="s">
        <v>847</v>
      </c>
      <c r="D481" s="321" t="s">
        <v>716</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25">
      <c r="A482" s="86">
        <v>913</v>
      </c>
      <c r="B482" s="86" t="s">
        <v>501</v>
      </c>
      <c r="C482" s="86" t="s">
        <v>848</v>
      </c>
      <c r="D482" s="321" t="s">
        <v>716</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25">
      <c r="A483" s="86">
        <v>916</v>
      </c>
      <c r="B483" s="86" t="s">
        <v>854</v>
      </c>
      <c r="C483" s="86" t="s">
        <v>856</v>
      </c>
      <c r="D483" s="321" t="s">
        <v>716</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25">
      <c r="D484" s="321"/>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25">
      <c r="A485" s="86" t="s">
        <v>1030</v>
      </c>
      <c r="C485" s="86" t="s">
        <v>1003</v>
      </c>
      <c r="D485" s="321"/>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25">
      <c r="D486" s="321"/>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25">
      <c r="A487" s="86" t="s">
        <v>291</v>
      </c>
      <c r="C487" s="86" t="s">
        <v>717</v>
      </c>
      <c r="D487" s="321"/>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25">
      <c r="D488" s="321"/>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25">
      <c r="D489" s="321"/>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25">
      <c r="A490" s="22" t="s">
        <v>961</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2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25">
      <c r="A492" s="23" t="s">
        <v>1185</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25">
      <c r="A493" s="86">
        <v>920</v>
      </c>
      <c r="B493" s="86" t="s">
        <v>1186</v>
      </c>
      <c r="C493" s="86" t="s">
        <v>1005</v>
      </c>
      <c r="D493" s="45" t="s">
        <v>717</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25">
      <c r="A494" s="86">
        <v>921</v>
      </c>
      <c r="B494" s="86" t="s">
        <v>1188</v>
      </c>
      <c r="C494" s="86" t="s">
        <v>1006</v>
      </c>
      <c r="D494" s="45" t="s">
        <v>717</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25">
      <c r="A495" s="86">
        <v>922</v>
      </c>
      <c r="B495" s="86" t="s">
        <v>898</v>
      </c>
      <c r="C495" s="86" t="s">
        <v>1745</v>
      </c>
      <c r="D495" s="45" t="s">
        <v>717</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25">
      <c r="A496" s="86">
        <v>923</v>
      </c>
      <c r="B496" s="86" t="s">
        <v>1190</v>
      </c>
      <c r="C496" s="86" t="s">
        <v>1007</v>
      </c>
      <c r="D496" s="45" t="s">
        <v>717</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25">
      <c r="A497" s="86">
        <v>924</v>
      </c>
      <c r="B497" s="86" t="s">
        <v>1192</v>
      </c>
      <c r="C497" s="86" t="s">
        <v>1008</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25">
      <c r="A498" s="86">
        <v>925</v>
      </c>
      <c r="B498" s="86" t="s">
        <v>1168</v>
      </c>
      <c r="C498" s="86" t="s">
        <v>1009</v>
      </c>
      <c r="D498" s="45" t="s">
        <v>717</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25">
      <c r="A499" s="86">
        <v>926</v>
      </c>
      <c r="B499" s="86" t="s">
        <v>1170</v>
      </c>
      <c r="C499" s="86" t="s">
        <v>1010</v>
      </c>
      <c r="D499" s="45" t="s">
        <v>717</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25">
      <c r="A500" s="86">
        <v>928</v>
      </c>
      <c r="B500" s="86" t="s">
        <v>550</v>
      </c>
      <c r="C500" s="86" t="s">
        <v>1011</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25">
      <c r="A501" s="86">
        <v>929</v>
      </c>
      <c r="B501" s="86" t="s">
        <v>466</v>
      </c>
      <c r="C501" s="86" t="s">
        <v>1012</v>
      </c>
      <c r="D501" s="45" t="s">
        <v>717</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25">
      <c r="A502" s="86">
        <v>930</v>
      </c>
      <c r="B502" s="86" t="s">
        <v>252</v>
      </c>
      <c r="C502" s="86" t="s">
        <v>1013</v>
      </c>
      <c r="D502" s="45" t="s">
        <v>717</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25">
      <c r="A503" s="86">
        <v>931</v>
      </c>
      <c r="B503" s="86" t="s">
        <v>254</v>
      </c>
      <c r="C503" s="86" t="s">
        <v>1014</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25">
      <c r="A504" s="86">
        <v>935</v>
      </c>
      <c r="B504" s="86" t="s">
        <v>256</v>
      </c>
      <c r="C504" s="86" t="s">
        <v>1746</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2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25">
      <c r="A506" s="86" t="s">
        <v>257</v>
      </c>
      <c r="C506" s="86" t="s">
        <v>1015</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2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25">
      <c r="A508" s="86" t="s">
        <v>809</v>
      </c>
      <c r="C508" s="86" t="s">
        <v>1016</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2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25">
      <c r="A510" s="86" t="s">
        <v>1293</v>
      </c>
      <c r="C510" s="86" t="s">
        <v>1017</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2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25">
      <c r="D512" s="313"/>
      <c r="E512" s="313"/>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25">
      <c r="A513" s="22" t="s">
        <v>812</v>
      </c>
      <c r="D513" s="313"/>
      <c r="E513" s="313"/>
      <c r="AL513" s="87"/>
    </row>
    <row r="514" spans="1:38" x14ac:dyDescent="0.25">
      <c r="D514" s="313"/>
      <c r="E514" s="313"/>
      <c r="AL514" s="87"/>
    </row>
    <row r="515" spans="1:38" x14ac:dyDescent="0.25">
      <c r="A515" s="23" t="s">
        <v>813</v>
      </c>
      <c r="D515" s="313"/>
      <c r="E515" s="313"/>
      <c r="AL515" s="87"/>
    </row>
    <row r="516" spans="1:38" x14ac:dyDescent="0.25">
      <c r="A516" s="96" t="s">
        <v>1594</v>
      </c>
      <c r="C516" s="86" t="s">
        <v>1295</v>
      </c>
      <c r="D516" s="313" t="s">
        <v>1480</v>
      </c>
      <c r="E516" s="313"/>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25">
      <c r="A517" s="96" t="s">
        <v>1593</v>
      </c>
      <c r="C517" s="86" t="s">
        <v>952</v>
      </c>
      <c r="D517" s="313" t="s">
        <v>1480</v>
      </c>
      <c r="E517" s="313"/>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25">
      <c r="A518" s="97" t="s">
        <v>1592</v>
      </c>
      <c r="C518" s="86" t="s">
        <v>953</v>
      </c>
      <c r="D518" s="313" t="s">
        <v>1480</v>
      </c>
      <c r="E518" s="313"/>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25">
      <c r="A519" s="86" t="s">
        <v>1595</v>
      </c>
      <c r="C519" s="86" t="s">
        <v>954</v>
      </c>
      <c r="D519" s="313" t="s">
        <v>469</v>
      </c>
      <c r="E519" s="313"/>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25">
      <c r="A520" s="86" t="s">
        <v>1596</v>
      </c>
      <c r="C520" s="86" t="s">
        <v>955</v>
      </c>
      <c r="D520" s="313" t="s">
        <v>469</v>
      </c>
      <c r="E520" s="313"/>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25">
      <c r="A521" s="86" t="s">
        <v>1596</v>
      </c>
      <c r="C521" s="86" t="s">
        <v>956</v>
      </c>
      <c r="D521" s="313" t="s">
        <v>469</v>
      </c>
      <c r="E521" s="313"/>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25">
      <c r="A522" s="86" t="s">
        <v>1598</v>
      </c>
      <c r="C522" s="86" t="s">
        <v>957</v>
      </c>
      <c r="D522" s="313" t="s">
        <v>109</v>
      </c>
      <c r="E522" s="313"/>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25">
      <c r="A523" s="96" t="s">
        <v>186</v>
      </c>
      <c r="C523" s="86" t="s">
        <v>2326</v>
      </c>
      <c r="D523" s="313" t="s">
        <v>174</v>
      </c>
      <c r="E523" s="313"/>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25">
      <c r="A524" s="96" t="s">
        <v>1597</v>
      </c>
      <c r="C524" s="86" t="s">
        <v>2327</v>
      </c>
      <c r="D524" s="313" t="s">
        <v>111</v>
      </c>
      <c r="E524" s="313"/>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25">
      <c r="D525" s="313"/>
      <c r="E525" s="313"/>
      <c r="F525" s="90"/>
      <c r="AL525" s="87"/>
    </row>
    <row r="526" spans="1:38" x14ac:dyDescent="0.25">
      <c r="A526" s="86" t="s">
        <v>814</v>
      </c>
      <c r="C526" s="86" t="s">
        <v>815</v>
      </c>
      <c r="D526" s="313"/>
      <c r="E526" s="313"/>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25">
      <c r="D527" s="313"/>
      <c r="E527" s="313"/>
      <c r="F527" s="90"/>
      <c r="AL527" s="87"/>
    </row>
    <row r="528" spans="1:38" x14ac:dyDescent="0.25">
      <c r="A528" s="23" t="s">
        <v>259</v>
      </c>
      <c r="D528" s="313"/>
      <c r="E528" s="313"/>
      <c r="AL528" s="87"/>
    </row>
    <row r="529" spans="1:38" x14ac:dyDescent="0.25">
      <c r="A529" s="96" t="s">
        <v>64</v>
      </c>
      <c r="C529" s="86" t="s">
        <v>67</v>
      </c>
      <c r="D529" s="313" t="s">
        <v>1480</v>
      </c>
      <c r="E529" s="313"/>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25">
      <c r="A530" s="96" t="s">
        <v>65</v>
      </c>
      <c r="C530" s="86" t="s">
        <v>68</v>
      </c>
      <c r="D530" s="313" t="s">
        <v>469</v>
      </c>
      <c r="E530" s="313"/>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25">
      <c r="A531" s="96" t="s">
        <v>563</v>
      </c>
      <c r="D531" s="313" t="s">
        <v>109</v>
      </c>
      <c r="E531" s="313"/>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25">
      <c r="D532" s="313"/>
      <c r="E532" s="313"/>
      <c r="F532" s="90"/>
      <c r="AL532" s="87"/>
    </row>
    <row r="533" spans="1:38" x14ac:dyDescent="0.25">
      <c r="A533" s="86" t="s">
        <v>260</v>
      </c>
      <c r="C533" s="86" t="s">
        <v>66</v>
      </c>
      <c r="D533" s="313"/>
      <c r="E533" s="313"/>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25">
      <c r="D534" s="313"/>
      <c r="E534" s="313"/>
      <c r="F534" s="90"/>
      <c r="AL534" s="87"/>
    </row>
    <row r="535" spans="1:38" x14ac:dyDescent="0.25">
      <c r="A535" s="86" t="s">
        <v>373</v>
      </c>
      <c r="C535" s="86" t="s">
        <v>374</v>
      </c>
      <c r="D535" s="313" t="s">
        <v>184</v>
      </c>
      <c r="E535" s="313"/>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25">
      <c r="D536" s="313"/>
      <c r="E536" s="313"/>
      <c r="AL536" s="87"/>
    </row>
    <row r="537" spans="1:38" x14ac:dyDescent="0.25">
      <c r="A537" s="86" t="s">
        <v>408</v>
      </c>
      <c r="C537" s="86" t="s">
        <v>1686</v>
      </c>
      <c r="D537" s="313" t="s">
        <v>184</v>
      </c>
      <c r="E537" s="313"/>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25">
      <c r="D538" s="313"/>
      <c r="E538" s="313"/>
      <c r="Y538" s="86"/>
    </row>
    <row r="539" spans="1:38" x14ac:dyDescent="0.25">
      <c r="A539" s="86" t="s">
        <v>706</v>
      </c>
      <c r="C539" s="86" t="s">
        <v>900</v>
      </c>
      <c r="D539" s="313" t="s">
        <v>1031</v>
      </c>
      <c r="E539" s="313"/>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25">
      <c r="D540" s="313"/>
      <c r="E540" s="313"/>
      <c r="Y540" s="86"/>
    </row>
    <row r="541" spans="1:38" x14ac:dyDescent="0.25">
      <c r="A541" s="86" t="s">
        <v>1135</v>
      </c>
      <c r="C541" s="86" t="s">
        <v>376</v>
      </c>
      <c r="D541" s="313" t="s">
        <v>184</v>
      </c>
      <c r="E541" s="313"/>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25">
      <c r="D542" s="313"/>
      <c r="E542" s="313"/>
      <c r="AL542" s="87"/>
    </row>
    <row r="543" spans="1:38" x14ac:dyDescent="0.25">
      <c r="A543" s="86" t="s">
        <v>812</v>
      </c>
      <c r="C543" s="86" t="s">
        <v>375</v>
      </c>
      <c r="D543" s="322"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25">
      <c r="D544" s="45"/>
      <c r="E544" s="45"/>
      <c r="AK544" s="90"/>
      <c r="AL544" s="87"/>
    </row>
    <row r="545" spans="1:38" x14ac:dyDescent="0.25">
      <c r="A545" s="23" t="s">
        <v>377</v>
      </c>
      <c r="C545" s="86" t="s">
        <v>378</v>
      </c>
      <c r="D545" s="323"/>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25">
      <c r="D546" s="45"/>
      <c r="E546" s="45"/>
      <c r="AL546" s="87"/>
    </row>
    <row r="547" spans="1:38" x14ac:dyDescent="0.2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25">
      <c r="D548" s="45"/>
      <c r="E548" s="45"/>
      <c r="AL548" s="87"/>
    </row>
    <row r="549" spans="1:38" hidden="1" x14ac:dyDescent="0.25">
      <c r="D549" s="45"/>
      <c r="E549" s="45"/>
      <c r="AL549" s="87"/>
    </row>
    <row r="550" spans="1:38" hidden="1" x14ac:dyDescent="0.25">
      <c r="A550" s="23" t="s">
        <v>936</v>
      </c>
      <c r="D550" s="45"/>
      <c r="E550" s="45"/>
      <c r="AL550" s="87"/>
    </row>
    <row r="551" spans="1:38" hidden="1" x14ac:dyDescent="0.25">
      <c r="A551" s="86" t="s">
        <v>937</v>
      </c>
      <c r="D551" s="313"/>
      <c r="E551" s="45"/>
      <c r="F551" s="90">
        <v>0</v>
      </c>
      <c r="AL551" s="87"/>
    </row>
    <row r="552" spans="1:38" hidden="1" x14ac:dyDescent="0.25">
      <c r="A552" s="86" t="s">
        <v>519</v>
      </c>
      <c r="D552" s="313"/>
      <c r="E552" s="45"/>
      <c r="F552" s="90">
        <v>0</v>
      </c>
      <c r="AL552" s="87"/>
    </row>
    <row r="553" spans="1:38" hidden="1" x14ac:dyDescent="0.25">
      <c r="A553" s="86" t="s">
        <v>520</v>
      </c>
      <c r="D553" s="313"/>
      <c r="E553" s="45"/>
      <c r="F553" s="90">
        <v>0</v>
      </c>
      <c r="AL553" s="87"/>
    </row>
    <row r="554" spans="1:38" hidden="1" x14ac:dyDescent="0.25">
      <c r="A554" s="86" t="s">
        <v>521</v>
      </c>
      <c r="D554" s="313"/>
      <c r="E554" s="45"/>
      <c r="F554" s="90">
        <v>0</v>
      </c>
      <c r="AL554" s="87"/>
    </row>
    <row r="555" spans="1:38" hidden="1" x14ac:dyDescent="0.25">
      <c r="A555" s="86" t="s">
        <v>522</v>
      </c>
      <c r="D555" s="45"/>
      <c r="E555" s="45"/>
      <c r="F555" s="90">
        <v>0</v>
      </c>
      <c r="AL555" s="87"/>
    </row>
    <row r="556" spans="1:38" hidden="1" x14ac:dyDescent="0.25">
      <c r="A556" s="86" t="s">
        <v>523</v>
      </c>
      <c r="D556" s="45"/>
      <c r="E556" s="45"/>
      <c r="F556" s="90">
        <v>0</v>
      </c>
      <c r="AL556" s="87"/>
    </row>
    <row r="557" spans="1:38" hidden="1" x14ac:dyDescent="0.25">
      <c r="A557" s="86" t="s">
        <v>524</v>
      </c>
      <c r="D557" s="45"/>
      <c r="E557" s="45"/>
      <c r="F557" s="90">
        <v>0</v>
      </c>
      <c r="AL557" s="87"/>
    </row>
    <row r="558" spans="1:38" hidden="1" x14ac:dyDescent="0.25">
      <c r="D558" s="313"/>
      <c r="E558" s="45"/>
      <c r="F558" s="90"/>
      <c r="AL558" s="87"/>
    </row>
    <row r="559" spans="1:38" hidden="1" x14ac:dyDescent="0.25">
      <c r="A559" s="86" t="s">
        <v>525</v>
      </c>
      <c r="D559" s="313"/>
      <c r="E559" s="45"/>
      <c r="F559" s="90">
        <v>0</v>
      </c>
      <c r="AL559" s="87"/>
    </row>
    <row r="560" spans="1:38" hidden="1" x14ac:dyDescent="0.25">
      <c r="D560" s="313"/>
      <c r="E560" s="45"/>
      <c r="F560" s="90"/>
      <c r="AL560" s="87"/>
    </row>
    <row r="561" spans="1:38" x14ac:dyDescent="0.25">
      <c r="A561" s="22" t="s">
        <v>379</v>
      </c>
      <c r="D561" s="313"/>
      <c r="E561" s="45"/>
      <c r="AL561" s="87"/>
    </row>
    <row r="562" spans="1:38" x14ac:dyDescent="0.25">
      <c r="D562" s="313"/>
      <c r="E562" s="45"/>
      <c r="AL562" s="87"/>
    </row>
    <row r="563" spans="1:38" x14ac:dyDescent="0.25">
      <c r="A563" s="86" t="s">
        <v>97</v>
      </c>
      <c r="C563" s="86" t="s">
        <v>114</v>
      </c>
      <c r="D563" s="313"/>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25">
      <c r="A564" s="86" t="s">
        <v>380</v>
      </c>
      <c r="C564" s="86" t="s">
        <v>115</v>
      </c>
      <c r="D564" s="320"/>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5">
        <f>0.3601*0.7054</f>
        <v>0.25401454000000001</v>
      </c>
      <c r="W564" s="385">
        <f>0.6399*0.7054</f>
        <v>0.45138546000000002</v>
      </c>
      <c r="X564" s="385">
        <f>0.3601*0.2946</f>
        <v>0.10608545999999998</v>
      </c>
      <c r="Y564" s="385">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25">
      <c r="A565" s="86" t="s">
        <v>381</v>
      </c>
      <c r="C565" s="86" t="s">
        <v>117</v>
      </c>
      <c r="D565" s="320"/>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5">
        <f>V564</f>
        <v>0.25401454000000001</v>
      </c>
      <c r="W565" s="385">
        <f>W564</f>
        <v>0.45138546000000002</v>
      </c>
      <c r="X565" s="385">
        <f>X564</f>
        <v>0.10608545999999998</v>
      </c>
      <c r="Y565" s="385">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25">
      <c r="A566" s="86" t="s">
        <v>382</v>
      </c>
      <c r="C566" s="86" t="s">
        <v>118</v>
      </c>
      <c r="D566" s="320"/>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5">
        <f>0.6051*0.2512</f>
        <v>0.15200111999999999</v>
      </c>
      <c r="W566" s="385">
        <f>0.6051*0.7488</f>
        <v>0.45309887999999998</v>
      </c>
      <c r="X566" s="385">
        <f>0.3949*0.2512</f>
        <v>9.9198879999999989E-2</v>
      </c>
      <c r="Y566" s="385">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25">
      <c r="A567" s="86" t="s">
        <v>383</v>
      </c>
      <c r="C567" s="86" t="s">
        <v>121</v>
      </c>
      <c r="D567" s="320"/>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5">
        <v>0</v>
      </c>
      <c r="W567" s="385">
        <v>0</v>
      </c>
      <c r="X567" s="385">
        <v>0</v>
      </c>
      <c r="Y567" s="385">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2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2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25">
      <c r="A570" s="86" t="s">
        <v>385</v>
      </c>
      <c r="C570" s="86" t="s">
        <v>170</v>
      </c>
      <c r="D570" s="320"/>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25">
      <c r="A571" s="86" t="s">
        <v>386</v>
      </c>
      <c r="C571" s="86" t="s">
        <v>295</v>
      </c>
      <c r="D571" s="320"/>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25">
      <c r="A572" s="86" t="s">
        <v>387</v>
      </c>
      <c r="C572" s="86" t="s">
        <v>1176</v>
      </c>
      <c r="D572" s="313"/>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25">
      <c r="A573" s="86" t="s">
        <v>439</v>
      </c>
      <c r="C573" s="86" t="s">
        <v>470</v>
      </c>
      <c r="D573" s="313"/>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25">
      <c r="A574" s="86" t="s">
        <v>958</v>
      </c>
      <c r="C574" s="86" t="s">
        <v>959</v>
      </c>
      <c r="D574" s="313"/>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25">
      <c r="A575" s="86" t="s">
        <v>724</v>
      </c>
      <c r="C575" s="86" t="s">
        <v>707</v>
      </c>
      <c r="D575" s="313"/>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25">
      <c r="A576" s="86" t="s">
        <v>725</v>
      </c>
      <c r="C576" s="86" t="s">
        <v>709</v>
      </c>
      <c r="D576" s="313"/>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25">
      <c r="A577" s="86" t="s">
        <v>726</v>
      </c>
      <c r="C577" s="86" t="s">
        <v>727</v>
      </c>
      <c r="D577" s="313"/>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25">
      <c r="A578" s="86" t="s">
        <v>728</v>
      </c>
      <c r="C578" s="86" t="s">
        <v>718</v>
      </c>
      <c r="D578" s="313"/>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25">
      <c r="A579" s="86" t="s">
        <v>710</v>
      </c>
      <c r="C579" s="86" t="s">
        <v>710</v>
      </c>
      <c r="D579" s="313"/>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25">
      <c r="A580" s="86" t="s">
        <v>729</v>
      </c>
      <c r="C580" s="86" t="s">
        <v>719</v>
      </c>
      <c r="D580" s="313"/>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25">
      <c r="A581" s="86" t="s">
        <v>730</v>
      </c>
      <c r="C581" s="86" t="s">
        <v>720</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25">
      <c r="A582" s="86" t="s">
        <v>731</v>
      </c>
      <c r="C582" s="86" t="s">
        <v>721</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25">
      <c r="A583" s="86" t="s">
        <v>732</v>
      </c>
      <c r="C583" s="86" t="s">
        <v>722</v>
      </c>
      <c r="D583" s="313"/>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25">
      <c r="A584" s="86" t="s">
        <v>733</v>
      </c>
      <c r="C584" s="86" t="s">
        <v>723</v>
      </c>
      <c r="D584" s="313"/>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25">
      <c r="A585" s="86" t="s">
        <v>292</v>
      </c>
      <c r="C585" s="86" t="s">
        <v>715</v>
      </c>
      <c r="D585" s="313"/>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25">
      <c r="A586" s="86" t="s">
        <v>303</v>
      </c>
      <c r="C586" s="86" t="s">
        <v>716</v>
      </c>
      <c r="D586" s="313"/>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25">
      <c r="A587" s="86" t="s">
        <v>193</v>
      </c>
      <c r="C587" s="86" t="s">
        <v>549</v>
      </c>
      <c r="D587" s="313"/>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25">
      <c r="D588" s="313"/>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25">
      <c r="A589" s="86" t="s">
        <v>422</v>
      </c>
      <c r="D589" s="313" t="s">
        <v>707</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25">
      <c r="A590" s="86" t="s">
        <v>423</v>
      </c>
      <c r="D590" s="313" t="s">
        <v>727</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25">
      <c r="A591" s="23" t="s">
        <v>480</v>
      </c>
      <c r="C591" s="86" t="s">
        <v>780</v>
      </c>
      <c r="D591" s="313" t="s">
        <v>707</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25">
      <c r="D592" s="313"/>
      <c r="E592" s="45"/>
      <c r="Y592" s="86"/>
      <c r="AL592" s="87"/>
    </row>
    <row r="593" spans="1:38" x14ac:dyDescent="0.25">
      <c r="A593" s="86" t="s">
        <v>706</v>
      </c>
      <c r="C593" s="86" t="s">
        <v>1031</v>
      </c>
      <c r="D593" s="313"/>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25">
      <c r="A594" s="86" t="s">
        <v>1033</v>
      </c>
      <c r="C594" s="86" t="s">
        <v>1032</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25">
      <c r="A595" s="86" t="s">
        <v>1036</v>
      </c>
      <c r="C595" s="86" t="s">
        <v>1035</v>
      </c>
      <c r="D595" s="313"/>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2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25">
      <c r="A597" s="23" t="s">
        <v>427</v>
      </c>
      <c r="D597" s="45"/>
      <c r="E597" s="45"/>
      <c r="AL597" s="87"/>
    </row>
    <row r="598" spans="1:38" x14ac:dyDescent="0.2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2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2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25">
      <c r="A601" s="86" t="s">
        <v>1293</v>
      </c>
      <c r="D601" s="313" t="s">
        <v>771</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25">
      <c r="A602" s="86" t="s">
        <v>175</v>
      </c>
      <c r="D602" s="313"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25">
      <c r="A603" s="86" t="s">
        <v>428</v>
      </c>
      <c r="D603" s="313" t="s">
        <v>1016</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25">
      <c r="A604" s="86" t="s">
        <v>1554</v>
      </c>
      <c r="D604" s="313" t="s">
        <v>1292</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25">
      <c r="A605" s="86" t="s">
        <v>429</v>
      </c>
      <c r="D605" s="313" t="s">
        <v>708</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25">
      <c r="A606" s="86" t="s">
        <v>430</v>
      </c>
      <c r="D606" s="313" t="s">
        <v>1004</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25">
      <c r="A607" s="86" t="s">
        <v>431</v>
      </c>
      <c r="D607" s="313" t="s">
        <v>711</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25">
      <c r="A608" s="86" t="s">
        <v>432</v>
      </c>
      <c r="D608" s="313" t="s">
        <v>712</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25">
      <c r="A609" s="86" t="s">
        <v>433</v>
      </c>
      <c r="D609" s="313" t="s">
        <v>713</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25">
      <c r="A610" s="86" t="s">
        <v>1021</v>
      </c>
      <c r="D610" s="313" t="s">
        <v>714</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25">
      <c r="A611" s="86" t="s">
        <v>1024</v>
      </c>
      <c r="D611" s="313" t="s">
        <v>981</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25">
      <c r="A612" s="86" t="s">
        <v>1026</v>
      </c>
      <c r="D612" s="313" t="s">
        <v>990</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25">
      <c r="A613" s="86" t="s">
        <v>291</v>
      </c>
      <c r="D613" s="45" t="s">
        <v>717</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2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25">
      <c r="A615" s="86" t="s">
        <v>1479</v>
      </c>
      <c r="D615" s="313" t="s">
        <v>1480</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25">
      <c r="A616" s="86" t="s">
        <v>110</v>
      </c>
      <c r="D616" s="313"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25">
      <c r="D617" s="313"/>
      <c r="E617" s="45"/>
    </row>
  </sheetData>
  <autoFilter ref="C1:C616" xr:uid="{00000000-0009-0000-0000-000001000000}"/>
  <mergeCells count="4">
    <mergeCell ref="X2:Y2"/>
    <mergeCell ref="Z2:AA2"/>
    <mergeCell ref="H2:J2"/>
    <mergeCell ref="U2:W2"/>
  </mergeCells>
  <phoneticPr fontId="0" type="noConversion"/>
  <pageMargins left="1" right="1" top="1.5" bottom="1" header="0.5" footer="0.5"/>
  <pageSetup fitToWidth="3" orientation="portrait" r:id="rId1"/>
  <headerFooter scaleWithDoc="0">
    <oddHeader xml:space="preserve">&amp;R&amp;"Times New Roman,Bold"&amp;12 Case No. 2020-00349
Attachment 3 to Response to AG-KIUC-1 Question No. 188
Page &amp;P of &amp;N
Seelye
</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J980"/>
  <sheetViews>
    <sheetView topLeftCell="A2" zoomScaleNormal="100" zoomScaleSheetLayoutView="85" workbookViewId="0"/>
  </sheetViews>
  <sheetFormatPr defaultColWidth="9.140625" defaultRowHeight="12" customHeight="1" x14ac:dyDescent="0.25"/>
  <cols>
    <col min="1" max="1" width="7.5703125" style="86" customWidth="1"/>
    <col min="2" max="2" width="25.85546875" style="86" customWidth="1"/>
    <col min="3" max="3" width="12.5703125" style="86" customWidth="1"/>
    <col min="4" max="4" width="11.85546875" style="86" customWidth="1"/>
    <col min="5" max="5" width="16.28515625" style="86" bestFit="1" customWidth="1"/>
    <col min="6" max="6" width="19.42578125" style="86" customWidth="1"/>
    <col min="7" max="7" width="24.28515625" style="86" bestFit="1" customWidth="1"/>
    <col min="8" max="9" width="20.42578125" style="86" customWidth="1"/>
    <col min="10" max="11" width="19.85546875" style="86" customWidth="1"/>
    <col min="12" max="12" width="23.5703125" style="86" customWidth="1"/>
    <col min="13" max="14" width="20.140625" style="86" customWidth="1"/>
    <col min="15" max="15" width="21.140625" style="86" customWidth="1"/>
    <col min="16" max="16" width="19.85546875" style="86" customWidth="1"/>
    <col min="17" max="17" width="21.140625" style="86" bestFit="1" customWidth="1"/>
    <col min="18" max="21" width="17.5703125" style="86" customWidth="1"/>
    <col min="22" max="22" width="18" style="86" customWidth="1"/>
    <col min="23" max="23" width="19.140625" style="86" customWidth="1"/>
    <col min="24" max="24" width="16.85546875" style="86" customWidth="1"/>
    <col min="25" max="25" width="25.5703125" style="86" customWidth="1"/>
    <col min="26" max="26" width="15.85546875" style="86" bestFit="1" customWidth="1"/>
    <col min="27" max="27" width="25.85546875" style="86" bestFit="1" customWidth="1"/>
    <col min="28" max="29" width="10.28515625" style="86" bestFit="1" customWidth="1"/>
    <col min="30" max="30" width="11.5703125" style="86" bestFit="1" customWidth="1"/>
    <col min="31" max="31" width="21.5703125" style="86" customWidth="1"/>
    <col min="32" max="32" width="20.5703125" style="86" customWidth="1"/>
    <col min="33" max="33" width="13.85546875" style="86" customWidth="1"/>
    <col min="34" max="16384" width="9.140625" style="86"/>
  </cols>
  <sheetData>
    <row r="1" spans="1:26" ht="12" hidden="1" customHeight="1" x14ac:dyDescent="0.25">
      <c r="A1" s="84"/>
      <c r="B1" s="84"/>
      <c r="C1" s="84"/>
      <c r="D1" s="84">
        <v>1</v>
      </c>
      <c r="E1" s="84">
        <f>D1+1</f>
        <v>2</v>
      </c>
      <c r="F1" s="84">
        <f t="shared" ref="F1:V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P1+1</f>
        <v>14</v>
      </c>
      <c r="R1" s="84">
        <f t="shared" si="0"/>
        <v>15</v>
      </c>
      <c r="S1" s="84">
        <f t="shared" si="0"/>
        <v>16</v>
      </c>
      <c r="T1" s="84">
        <f t="shared" si="0"/>
        <v>17</v>
      </c>
      <c r="U1" s="84">
        <f t="shared" si="0"/>
        <v>18</v>
      </c>
      <c r="V1" s="84">
        <f t="shared" si="0"/>
        <v>19</v>
      </c>
    </row>
    <row r="2" spans="1:26" s="202" customFormat="1" ht="28.9" customHeight="1" x14ac:dyDescent="0.25">
      <c r="A2" s="198"/>
      <c r="B2" s="198"/>
      <c r="C2" s="198"/>
      <c r="D2" s="199"/>
      <c r="E2" s="200" t="s">
        <v>388</v>
      </c>
      <c r="F2" s="27" t="s">
        <v>62</v>
      </c>
      <c r="G2" s="201" t="s">
        <v>1483</v>
      </c>
      <c r="H2" s="201" t="s">
        <v>2164</v>
      </c>
      <c r="I2" s="201" t="s">
        <v>2185</v>
      </c>
      <c r="J2" s="201" t="s">
        <v>1790</v>
      </c>
      <c r="K2" s="201" t="s">
        <v>1790</v>
      </c>
      <c r="L2" s="201" t="s">
        <v>1793</v>
      </c>
      <c r="M2" s="201" t="s">
        <v>1793</v>
      </c>
      <c r="N2" s="201" t="s">
        <v>1795</v>
      </c>
      <c r="O2" s="201" t="s">
        <v>2087</v>
      </c>
      <c r="P2" s="201" t="s">
        <v>2106</v>
      </c>
      <c r="Q2" s="201" t="s">
        <v>2107</v>
      </c>
      <c r="R2" s="275" t="s">
        <v>2128</v>
      </c>
      <c r="S2" s="275" t="s">
        <v>2335</v>
      </c>
      <c r="T2" s="275" t="s">
        <v>2328</v>
      </c>
      <c r="U2" s="275" t="s">
        <v>2329</v>
      </c>
      <c r="V2" s="461" t="s">
        <v>2544</v>
      </c>
      <c r="X2" s="198"/>
      <c r="Y2" s="35"/>
    </row>
    <row r="3" spans="1:26" ht="17.25" customHeight="1" thickBot="1" x14ac:dyDescent="0.3">
      <c r="A3" s="28" t="s">
        <v>99</v>
      </c>
      <c r="B3" s="28"/>
      <c r="C3" s="29" t="s">
        <v>1624</v>
      </c>
      <c r="D3" s="30" t="s">
        <v>100</v>
      </c>
      <c r="E3" s="30" t="s">
        <v>101</v>
      </c>
      <c r="F3" s="21" t="s">
        <v>102</v>
      </c>
      <c r="G3" s="29" t="s">
        <v>1742</v>
      </c>
      <c r="H3" s="29" t="s">
        <v>2183</v>
      </c>
      <c r="I3" s="29" t="s">
        <v>2186</v>
      </c>
      <c r="J3" s="29" t="s">
        <v>1791</v>
      </c>
      <c r="K3" s="29" t="s">
        <v>1792</v>
      </c>
      <c r="L3" s="29" t="s">
        <v>1794</v>
      </c>
      <c r="M3" s="225" t="s">
        <v>2125</v>
      </c>
      <c r="N3" s="401" t="s">
        <v>2331</v>
      </c>
      <c r="O3" s="29" t="s">
        <v>2102</v>
      </c>
      <c r="P3" s="401" t="s">
        <v>2333</v>
      </c>
      <c r="Q3" s="29" t="s">
        <v>2101</v>
      </c>
      <c r="R3" s="225" t="s">
        <v>2129</v>
      </c>
      <c r="S3" s="29" t="s">
        <v>2334</v>
      </c>
      <c r="T3" s="401" t="s">
        <v>2336</v>
      </c>
      <c r="U3" s="401" t="s">
        <v>2337</v>
      </c>
      <c r="V3" s="401" t="s">
        <v>2545</v>
      </c>
      <c r="W3" s="21" t="s">
        <v>106</v>
      </c>
      <c r="X3" s="21" t="s">
        <v>107</v>
      </c>
      <c r="Y3" s="21" t="s">
        <v>817</v>
      </c>
    </row>
    <row r="5" spans="1:26" ht="12" customHeight="1" x14ac:dyDescent="0.25">
      <c r="A5" s="22" t="s">
        <v>108</v>
      </c>
    </row>
    <row r="7" spans="1:26" ht="12" customHeight="1" x14ac:dyDescent="0.25">
      <c r="A7" s="23" t="s">
        <v>137</v>
      </c>
    </row>
    <row r="8" spans="1:26" ht="12" customHeight="1" x14ac:dyDescent="0.25">
      <c r="A8" s="96" t="s">
        <v>2270</v>
      </c>
      <c r="C8" s="86" t="s">
        <v>176</v>
      </c>
      <c r="D8" s="86" t="s">
        <v>138</v>
      </c>
      <c r="E8" s="86" t="s">
        <v>2361</v>
      </c>
      <c r="F8" s="89">
        <f>VLOOKUP(C8,'WSS-29'!$C$1:$AU$617,6,)</f>
        <v>6073014122.7946768</v>
      </c>
      <c r="G8" s="89">
        <f t="shared" ref="G8:V13" si="1">IF(VLOOKUP($E8,$D$5:$V$977,3,)=0,0,(VLOOKUP($E8,$D$5:$V$977,G$1,)/VLOOKUP($E8,$D$5:$V$977,3,))*$F8)</f>
        <v>2490784384.314497</v>
      </c>
      <c r="H8" s="89">
        <f t="shared" si="1"/>
        <v>670878802.21195447</v>
      </c>
      <c r="I8" s="89">
        <f t="shared" si="1"/>
        <v>43048460.152604669</v>
      </c>
      <c r="J8" s="89">
        <f t="shared" si="1"/>
        <v>625621337.22827744</v>
      </c>
      <c r="K8" s="89">
        <f t="shared" si="1"/>
        <v>27180232.625376377</v>
      </c>
      <c r="L8" s="89">
        <f t="shared" si="1"/>
        <v>601676612.88704765</v>
      </c>
      <c r="M8" s="89">
        <f t="shared" si="1"/>
        <v>1101435629.5035782</v>
      </c>
      <c r="N8" s="89">
        <f t="shared" si="1"/>
        <v>358533878.39172244</v>
      </c>
      <c r="O8" s="89">
        <f t="shared" si="1"/>
        <v>148468385.73792419</v>
      </c>
      <c r="P8" s="89">
        <f t="shared" si="1"/>
        <v>967725.52685501066</v>
      </c>
      <c r="Q8" s="89">
        <f t="shared" si="1"/>
        <v>35208.833448394929</v>
      </c>
      <c r="R8" s="89">
        <f t="shared" si="1"/>
        <v>575744.72412948112</v>
      </c>
      <c r="S8" s="89">
        <f t="shared" si="1"/>
        <v>74108.201683253079</v>
      </c>
      <c r="T8" s="89">
        <f t="shared" si="1"/>
        <v>5011.3055780379264</v>
      </c>
      <c r="U8" s="89">
        <f t="shared" si="1"/>
        <v>3325057.92</v>
      </c>
      <c r="V8" s="89">
        <f t="shared" si="1"/>
        <v>403543.23</v>
      </c>
      <c r="W8" s="91">
        <f t="shared" ref="W8:W14" si="2">SUM(G8:V8)</f>
        <v>6073014122.7946768</v>
      </c>
      <c r="X8" s="87" t="str">
        <f t="shared" ref="X8:X14" si="3">IF(ABS(F8-W8)&lt;0.01,"ok","err")</f>
        <v>ok</v>
      </c>
      <c r="Y8" s="203" t="str">
        <f t="shared" ref="Y8:Y14" si="4">IF(X8="err",W8-F8,"")</f>
        <v/>
      </c>
    </row>
    <row r="9" spans="1:26" ht="12" hidden="1" customHeight="1" x14ac:dyDescent="0.25">
      <c r="A9" s="96" t="s">
        <v>2271</v>
      </c>
      <c r="C9" s="86" t="s">
        <v>176</v>
      </c>
      <c r="D9" s="86" t="s">
        <v>139</v>
      </c>
      <c r="E9" s="86" t="s">
        <v>2269</v>
      </c>
      <c r="F9" s="90">
        <f>VLOOKUP(C9,'WSS-29'!$C$1:$AU$617,7,)</f>
        <v>0</v>
      </c>
      <c r="G9" s="89">
        <f t="shared" si="1"/>
        <v>0</v>
      </c>
      <c r="H9" s="89">
        <f t="shared" si="1"/>
        <v>0</v>
      </c>
      <c r="I9" s="89">
        <f t="shared" si="1"/>
        <v>0</v>
      </c>
      <c r="J9" s="89">
        <f t="shared" si="1"/>
        <v>0</v>
      </c>
      <c r="K9" s="89">
        <f t="shared" si="1"/>
        <v>0</v>
      </c>
      <c r="L9" s="89">
        <f t="shared" si="1"/>
        <v>0</v>
      </c>
      <c r="M9" s="89">
        <f t="shared" si="1"/>
        <v>0</v>
      </c>
      <c r="N9" s="89">
        <f t="shared" si="1"/>
        <v>0</v>
      </c>
      <c r="O9" s="89">
        <f t="shared" si="1"/>
        <v>0</v>
      </c>
      <c r="P9" s="89">
        <f t="shared" si="1"/>
        <v>0</v>
      </c>
      <c r="Q9" s="89">
        <f t="shared" si="1"/>
        <v>0</v>
      </c>
      <c r="R9" s="89">
        <f t="shared" si="1"/>
        <v>0</v>
      </c>
      <c r="S9" s="89">
        <f t="shared" si="1"/>
        <v>0</v>
      </c>
      <c r="T9" s="89">
        <f t="shared" si="1"/>
        <v>0</v>
      </c>
      <c r="U9" s="89">
        <f t="shared" si="1"/>
        <v>0</v>
      </c>
      <c r="V9" s="89">
        <f t="shared" si="1"/>
        <v>0</v>
      </c>
      <c r="W9" s="91">
        <f t="shared" si="2"/>
        <v>0</v>
      </c>
      <c r="X9" s="87" t="str">
        <f t="shared" si="3"/>
        <v>ok</v>
      </c>
      <c r="Y9" s="203" t="str">
        <f t="shared" si="4"/>
        <v/>
      </c>
    </row>
    <row r="10" spans="1:26" ht="12" hidden="1" customHeight="1" x14ac:dyDescent="0.25">
      <c r="A10" s="96" t="s">
        <v>2271</v>
      </c>
      <c r="C10" s="86" t="s">
        <v>176</v>
      </c>
      <c r="D10" s="86" t="s">
        <v>140</v>
      </c>
      <c r="E10" s="86" t="s">
        <v>2269</v>
      </c>
      <c r="F10" s="90">
        <f>VLOOKUP(C10,'WSS-29'!$C$1:$AU$617,8,)</f>
        <v>0</v>
      </c>
      <c r="G10" s="89">
        <f t="shared" si="1"/>
        <v>0</v>
      </c>
      <c r="H10" s="89">
        <f t="shared" si="1"/>
        <v>0</v>
      </c>
      <c r="I10" s="89">
        <f t="shared" si="1"/>
        <v>0</v>
      </c>
      <c r="J10" s="89">
        <f t="shared" si="1"/>
        <v>0</v>
      </c>
      <c r="K10" s="89">
        <f t="shared" si="1"/>
        <v>0</v>
      </c>
      <c r="L10" s="89">
        <f t="shared" si="1"/>
        <v>0</v>
      </c>
      <c r="M10" s="89">
        <f t="shared" si="1"/>
        <v>0</v>
      </c>
      <c r="N10" s="89">
        <f t="shared" si="1"/>
        <v>0</v>
      </c>
      <c r="O10" s="89">
        <f t="shared" si="1"/>
        <v>0</v>
      </c>
      <c r="P10" s="89">
        <f t="shared" si="1"/>
        <v>0</v>
      </c>
      <c r="Q10" s="89">
        <f t="shared" si="1"/>
        <v>0</v>
      </c>
      <c r="R10" s="89">
        <f t="shared" si="1"/>
        <v>0</v>
      </c>
      <c r="S10" s="89">
        <f t="shared" si="1"/>
        <v>0</v>
      </c>
      <c r="T10" s="89">
        <f t="shared" si="1"/>
        <v>0</v>
      </c>
      <c r="U10" s="89">
        <f t="shared" si="1"/>
        <v>0</v>
      </c>
      <c r="V10" s="89">
        <f t="shared" si="1"/>
        <v>0</v>
      </c>
      <c r="W10" s="91">
        <f t="shared" si="2"/>
        <v>0</v>
      </c>
      <c r="X10" s="87" t="str">
        <f t="shared" si="3"/>
        <v>ok</v>
      </c>
      <c r="Y10" s="203" t="str">
        <f t="shared" si="4"/>
        <v/>
      </c>
      <c r="Z10" s="91"/>
    </row>
    <row r="11" spans="1:26" ht="12" customHeight="1" x14ac:dyDescent="0.25">
      <c r="A11" s="96" t="s">
        <v>2273</v>
      </c>
      <c r="C11" s="86" t="s">
        <v>176</v>
      </c>
      <c r="D11" s="86" t="s">
        <v>141</v>
      </c>
      <c r="E11" s="86" t="s">
        <v>390</v>
      </c>
      <c r="F11" s="90">
        <f>VLOOKUP(C11,'WSS-29'!$C$1:$AU$617,9,)</f>
        <v>0</v>
      </c>
      <c r="G11" s="89">
        <f t="shared" si="1"/>
        <v>0</v>
      </c>
      <c r="H11" s="89">
        <f t="shared" si="1"/>
        <v>0</v>
      </c>
      <c r="I11" s="89">
        <f t="shared" si="1"/>
        <v>0</v>
      </c>
      <c r="J11" s="89">
        <f t="shared" si="1"/>
        <v>0</v>
      </c>
      <c r="K11" s="89">
        <f t="shared" si="1"/>
        <v>0</v>
      </c>
      <c r="L11" s="89">
        <f t="shared" si="1"/>
        <v>0</v>
      </c>
      <c r="M11" s="89">
        <f t="shared" si="1"/>
        <v>0</v>
      </c>
      <c r="N11" s="89">
        <f t="shared" si="1"/>
        <v>0</v>
      </c>
      <c r="O11" s="89">
        <f t="shared" si="1"/>
        <v>0</v>
      </c>
      <c r="P11" s="89">
        <f t="shared" si="1"/>
        <v>0</v>
      </c>
      <c r="Q11" s="89">
        <f t="shared" si="1"/>
        <v>0</v>
      </c>
      <c r="R11" s="89">
        <f t="shared" si="1"/>
        <v>0</v>
      </c>
      <c r="S11" s="89">
        <f t="shared" si="1"/>
        <v>0</v>
      </c>
      <c r="T11" s="89">
        <f t="shared" si="1"/>
        <v>0</v>
      </c>
      <c r="U11" s="89">
        <f t="shared" si="1"/>
        <v>0</v>
      </c>
      <c r="V11" s="89">
        <f t="shared" si="1"/>
        <v>0</v>
      </c>
      <c r="W11" s="91">
        <f t="shared" si="2"/>
        <v>0</v>
      </c>
      <c r="X11" s="87" t="str">
        <f t="shared" si="3"/>
        <v>ok</v>
      </c>
      <c r="Y11" s="203" t="str">
        <f t="shared" si="4"/>
        <v/>
      </c>
    </row>
    <row r="12" spans="1:26" ht="12" hidden="1" customHeight="1" x14ac:dyDescent="0.25">
      <c r="A12" s="96" t="s">
        <v>2272</v>
      </c>
      <c r="C12" s="86" t="s">
        <v>176</v>
      </c>
      <c r="D12" s="86" t="s">
        <v>142</v>
      </c>
      <c r="E12" s="86" t="s">
        <v>390</v>
      </c>
      <c r="F12" s="90">
        <f>VLOOKUP(C12,'WSS-29'!$C$1:$AU$617,10,)</f>
        <v>0</v>
      </c>
      <c r="G12" s="89">
        <f t="shared" si="1"/>
        <v>0</v>
      </c>
      <c r="H12" s="89">
        <f t="shared" si="1"/>
        <v>0</v>
      </c>
      <c r="I12" s="89">
        <f t="shared" si="1"/>
        <v>0</v>
      </c>
      <c r="J12" s="89">
        <f t="shared" si="1"/>
        <v>0</v>
      </c>
      <c r="K12" s="89">
        <f t="shared" si="1"/>
        <v>0</v>
      </c>
      <c r="L12" s="89">
        <f t="shared" si="1"/>
        <v>0</v>
      </c>
      <c r="M12" s="89">
        <f t="shared" si="1"/>
        <v>0</v>
      </c>
      <c r="N12" s="89">
        <f t="shared" si="1"/>
        <v>0</v>
      </c>
      <c r="O12" s="89">
        <f t="shared" si="1"/>
        <v>0</v>
      </c>
      <c r="P12" s="89">
        <f t="shared" si="1"/>
        <v>0</v>
      </c>
      <c r="Q12" s="89">
        <f t="shared" si="1"/>
        <v>0</v>
      </c>
      <c r="R12" s="89">
        <f t="shared" si="1"/>
        <v>0</v>
      </c>
      <c r="S12" s="89">
        <f t="shared" si="1"/>
        <v>0</v>
      </c>
      <c r="T12" s="89">
        <f t="shared" si="1"/>
        <v>0</v>
      </c>
      <c r="U12" s="89">
        <f t="shared" si="1"/>
        <v>0</v>
      </c>
      <c r="V12" s="89">
        <f t="shared" si="1"/>
        <v>0</v>
      </c>
      <c r="W12" s="91">
        <f t="shared" si="2"/>
        <v>0</v>
      </c>
      <c r="X12" s="87" t="str">
        <f t="shared" si="3"/>
        <v>ok</v>
      </c>
      <c r="Y12" s="203" t="str">
        <f t="shared" si="4"/>
        <v/>
      </c>
    </row>
    <row r="13" spans="1:26" ht="12" hidden="1" customHeight="1" x14ac:dyDescent="0.25">
      <c r="A13" s="96" t="s">
        <v>2272</v>
      </c>
      <c r="C13" s="86" t="s">
        <v>176</v>
      </c>
      <c r="D13" s="86" t="s">
        <v>143</v>
      </c>
      <c r="E13" s="86" t="s">
        <v>390</v>
      </c>
      <c r="F13" s="90">
        <f>VLOOKUP(C13,'WSS-29'!$C$1:$AU$617,11,)</f>
        <v>0</v>
      </c>
      <c r="G13" s="89">
        <f t="shared" si="1"/>
        <v>0</v>
      </c>
      <c r="H13" s="89">
        <f t="shared" si="1"/>
        <v>0</v>
      </c>
      <c r="I13" s="89">
        <f t="shared" si="1"/>
        <v>0</v>
      </c>
      <c r="J13" s="89">
        <f t="shared" si="1"/>
        <v>0</v>
      </c>
      <c r="K13" s="89">
        <f t="shared" si="1"/>
        <v>0</v>
      </c>
      <c r="L13" s="89">
        <f t="shared" si="1"/>
        <v>0</v>
      </c>
      <c r="M13" s="89">
        <f t="shared" si="1"/>
        <v>0</v>
      </c>
      <c r="N13" s="89">
        <f t="shared" si="1"/>
        <v>0</v>
      </c>
      <c r="O13" s="89">
        <f t="shared" si="1"/>
        <v>0</v>
      </c>
      <c r="P13" s="89">
        <f t="shared" si="1"/>
        <v>0</v>
      </c>
      <c r="Q13" s="89">
        <f t="shared" si="1"/>
        <v>0</v>
      </c>
      <c r="R13" s="89">
        <f t="shared" si="1"/>
        <v>0</v>
      </c>
      <c r="S13" s="89">
        <f t="shared" si="1"/>
        <v>0</v>
      </c>
      <c r="T13" s="89">
        <f t="shared" si="1"/>
        <v>0</v>
      </c>
      <c r="U13" s="89">
        <f t="shared" si="1"/>
        <v>0</v>
      </c>
      <c r="V13" s="89">
        <f t="shared" si="1"/>
        <v>0</v>
      </c>
      <c r="W13" s="91">
        <f t="shared" si="2"/>
        <v>0</v>
      </c>
      <c r="X13" s="87" t="str">
        <f t="shared" si="3"/>
        <v>ok</v>
      </c>
      <c r="Y13" s="203" t="str">
        <f t="shared" si="4"/>
        <v/>
      </c>
    </row>
    <row r="14" spans="1:26" ht="12" customHeight="1" x14ac:dyDescent="0.25">
      <c r="A14" s="86" t="s">
        <v>160</v>
      </c>
      <c r="D14" s="86" t="s">
        <v>391</v>
      </c>
      <c r="F14" s="89">
        <f>SUM(F8:F13)</f>
        <v>6073014122.7946768</v>
      </c>
      <c r="G14" s="89">
        <f t="shared" ref="G14:O14" si="5">SUM(G8:G13)</f>
        <v>2490784384.314497</v>
      </c>
      <c r="H14" s="89">
        <f t="shared" si="5"/>
        <v>670878802.21195447</v>
      </c>
      <c r="I14" s="89">
        <f>SUM(I8:I13)</f>
        <v>43048460.152604669</v>
      </c>
      <c r="J14" s="89">
        <f>SUM(J8:J13)</f>
        <v>625621337.22827744</v>
      </c>
      <c r="K14" s="89">
        <f>SUM(K8:K13)</f>
        <v>27180232.625376377</v>
      </c>
      <c r="L14" s="89">
        <f t="shared" si="5"/>
        <v>601676612.88704765</v>
      </c>
      <c r="M14" s="89">
        <f t="shared" si="5"/>
        <v>1101435629.5035782</v>
      </c>
      <c r="N14" s="89">
        <f t="shared" si="5"/>
        <v>358533878.39172244</v>
      </c>
      <c r="O14" s="89">
        <f t="shared" si="5"/>
        <v>148468385.73792419</v>
      </c>
      <c r="P14" s="89">
        <f t="shared" ref="P14:V14" si="6">SUM(P8:P13)</f>
        <v>967725.52685501066</v>
      </c>
      <c r="Q14" s="89">
        <f t="shared" si="6"/>
        <v>35208.833448394929</v>
      </c>
      <c r="R14" s="89">
        <f t="shared" si="6"/>
        <v>575744.72412948112</v>
      </c>
      <c r="S14" s="89">
        <f t="shared" si="6"/>
        <v>74108.201683253079</v>
      </c>
      <c r="T14" s="89">
        <f t="shared" si="6"/>
        <v>5011.3055780379264</v>
      </c>
      <c r="U14" s="89">
        <f t="shared" si="6"/>
        <v>3325057.92</v>
      </c>
      <c r="V14" s="89">
        <f t="shared" si="6"/>
        <v>403543.23</v>
      </c>
      <c r="W14" s="91">
        <f t="shared" si="2"/>
        <v>6073014122.7946768</v>
      </c>
      <c r="X14" s="87" t="str">
        <f t="shared" si="3"/>
        <v>ok</v>
      </c>
      <c r="Y14" s="203" t="str">
        <f t="shared" si="4"/>
        <v/>
      </c>
    </row>
    <row r="15" spans="1:26" ht="12" customHeight="1" x14ac:dyDescent="0.25">
      <c r="F15" s="90"/>
      <c r="G15" s="204"/>
      <c r="H15" s="204"/>
      <c r="I15" s="204"/>
      <c r="J15" s="204"/>
      <c r="K15" s="204"/>
      <c r="L15" s="204"/>
      <c r="M15" s="204"/>
      <c r="N15" s="204"/>
    </row>
    <row r="16" spans="1:26" ht="12" customHeight="1" x14ac:dyDescent="0.25">
      <c r="A16" s="23" t="s">
        <v>441</v>
      </c>
      <c r="F16" s="90"/>
      <c r="G16" s="90"/>
    </row>
    <row r="17" spans="1:25" ht="12" customHeight="1" x14ac:dyDescent="0.25">
      <c r="A17" s="96" t="s">
        <v>2249</v>
      </c>
      <c r="C17" s="86" t="s">
        <v>176</v>
      </c>
      <c r="D17" s="86" t="s">
        <v>133</v>
      </c>
      <c r="E17" s="86" t="s">
        <v>2250</v>
      </c>
      <c r="F17" s="89">
        <f>VLOOKUP(C17,'WSS-29'!$C$1:$AU$617,13,)</f>
        <v>1314530302.8368411</v>
      </c>
      <c r="G17" s="89">
        <f t="shared" ref="G17:V19" si="7">IF(VLOOKUP($E17,$D$5:$V$977,3,)=0,0,(VLOOKUP($E17,$D$5:$V$977,G$1,)/VLOOKUP($E17,$D$5:$V$977,3,))*$F17)</f>
        <v>581215749.62622476</v>
      </c>
      <c r="H17" s="89">
        <f t="shared" si="7"/>
        <v>149186113.87549981</v>
      </c>
      <c r="I17" s="89">
        <f t="shared" si="7"/>
        <v>15268347.157183999</v>
      </c>
      <c r="J17" s="89">
        <f t="shared" si="7"/>
        <v>133087046.98668288</v>
      </c>
      <c r="K17" s="89">
        <f t="shared" si="7"/>
        <v>5718859.0368945887</v>
      </c>
      <c r="L17" s="89">
        <f t="shared" si="7"/>
        <v>117737433.81960478</v>
      </c>
      <c r="M17" s="89">
        <f t="shared" si="7"/>
        <v>191751288.59186038</v>
      </c>
      <c r="N17" s="89">
        <f t="shared" si="7"/>
        <v>66495201.566333979</v>
      </c>
      <c r="O17" s="89">
        <f t="shared" si="7"/>
        <v>44556885.454953052</v>
      </c>
      <c r="P17" s="89">
        <f t="shared" si="7"/>
        <v>8974246.9929899406</v>
      </c>
      <c r="Q17" s="89">
        <f t="shared" si="7"/>
        <v>326510.72947079939</v>
      </c>
      <c r="R17" s="89">
        <f t="shared" si="7"/>
        <v>87969.965493235926</v>
      </c>
      <c r="S17" s="89">
        <f t="shared" si="7"/>
        <v>123876.05093575046</v>
      </c>
      <c r="T17" s="89">
        <f t="shared" si="7"/>
        <v>772.98271309021641</v>
      </c>
      <c r="U17" s="89">
        <f t="shared" si="7"/>
        <v>0</v>
      </c>
      <c r="V17" s="89">
        <f t="shared" si="7"/>
        <v>0</v>
      </c>
      <c r="W17" s="91">
        <f>SUM(G17:V17)</f>
        <v>1314530302.8368409</v>
      </c>
      <c r="X17" s="87" t="str">
        <f>IF(ABS(F17-W17)&lt;0.01,"ok","err")</f>
        <v>ok</v>
      </c>
      <c r="Y17" s="203" t="str">
        <f>IF(X17="err",W17-F17,"")</f>
        <v/>
      </c>
    </row>
    <row r="18" spans="1:25" ht="12" hidden="1" customHeight="1" x14ac:dyDescent="0.25">
      <c r="A18" s="96" t="s">
        <v>2248</v>
      </c>
      <c r="C18" s="86" t="s">
        <v>176</v>
      </c>
      <c r="D18" s="86" t="s">
        <v>134</v>
      </c>
      <c r="E18" s="86" t="s">
        <v>2250</v>
      </c>
      <c r="F18" s="90">
        <f>VLOOKUP(C18,'WSS-29'!$C$1:$AU$617,14,)</f>
        <v>0</v>
      </c>
      <c r="G18" s="89">
        <f t="shared" si="7"/>
        <v>0</v>
      </c>
      <c r="H18" s="89">
        <f t="shared" si="7"/>
        <v>0</v>
      </c>
      <c r="I18" s="89">
        <f t="shared" si="7"/>
        <v>0</v>
      </c>
      <c r="J18" s="89">
        <f t="shared" si="7"/>
        <v>0</v>
      </c>
      <c r="K18" s="89">
        <f t="shared" si="7"/>
        <v>0</v>
      </c>
      <c r="L18" s="89">
        <f t="shared" si="7"/>
        <v>0</v>
      </c>
      <c r="M18" s="89">
        <f t="shared" si="7"/>
        <v>0</v>
      </c>
      <c r="N18" s="89">
        <f t="shared" si="7"/>
        <v>0</v>
      </c>
      <c r="O18" s="89">
        <f t="shared" si="7"/>
        <v>0</v>
      </c>
      <c r="P18" s="89">
        <f t="shared" si="7"/>
        <v>0</v>
      </c>
      <c r="Q18" s="89">
        <f t="shared" si="7"/>
        <v>0</v>
      </c>
      <c r="R18" s="89">
        <f t="shared" si="7"/>
        <v>0</v>
      </c>
      <c r="S18" s="89">
        <f t="shared" si="7"/>
        <v>0</v>
      </c>
      <c r="T18" s="89">
        <f t="shared" si="7"/>
        <v>0</v>
      </c>
      <c r="U18" s="89">
        <f t="shared" si="7"/>
        <v>0</v>
      </c>
      <c r="V18" s="89">
        <f t="shared" si="7"/>
        <v>0</v>
      </c>
      <c r="W18" s="91">
        <f>SUM(G18:V18)</f>
        <v>0</v>
      </c>
      <c r="X18" s="87" t="str">
        <f>IF(ABS(F18-W18)&lt;0.01,"ok","err")</f>
        <v>ok</v>
      </c>
      <c r="Y18" s="203" t="str">
        <f>IF(X18="err",W18-F18,"")</f>
        <v/>
      </c>
    </row>
    <row r="19" spans="1:25" ht="12" hidden="1" customHeight="1" x14ac:dyDescent="0.25">
      <c r="A19" s="96" t="s">
        <v>2248</v>
      </c>
      <c r="C19" s="86" t="s">
        <v>176</v>
      </c>
      <c r="D19" s="86" t="s">
        <v>135</v>
      </c>
      <c r="E19" s="86" t="s">
        <v>2250</v>
      </c>
      <c r="F19" s="90">
        <f>VLOOKUP(C19,'WSS-29'!$C$1:$AU$617,15,)</f>
        <v>0</v>
      </c>
      <c r="G19" s="89">
        <f t="shared" si="7"/>
        <v>0</v>
      </c>
      <c r="H19" s="89">
        <f t="shared" si="7"/>
        <v>0</v>
      </c>
      <c r="I19" s="89">
        <f t="shared" si="7"/>
        <v>0</v>
      </c>
      <c r="J19" s="89">
        <f t="shared" si="7"/>
        <v>0</v>
      </c>
      <c r="K19" s="89">
        <f t="shared" si="7"/>
        <v>0</v>
      </c>
      <c r="L19" s="89">
        <f t="shared" si="7"/>
        <v>0</v>
      </c>
      <c r="M19" s="89">
        <f t="shared" si="7"/>
        <v>0</v>
      </c>
      <c r="N19" s="89">
        <f t="shared" si="7"/>
        <v>0</v>
      </c>
      <c r="O19" s="89">
        <f t="shared" si="7"/>
        <v>0</v>
      </c>
      <c r="P19" s="89">
        <f t="shared" si="7"/>
        <v>0</v>
      </c>
      <c r="Q19" s="89">
        <f t="shared" si="7"/>
        <v>0</v>
      </c>
      <c r="R19" s="89">
        <f t="shared" si="7"/>
        <v>0</v>
      </c>
      <c r="S19" s="89">
        <f t="shared" si="7"/>
        <v>0</v>
      </c>
      <c r="T19" s="89">
        <f t="shared" si="7"/>
        <v>0</v>
      </c>
      <c r="U19" s="89">
        <f t="shared" si="7"/>
        <v>0</v>
      </c>
      <c r="V19" s="89">
        <f t="shared" si="7"/>
        <v>0</v>
      </c>
      <c r="W19" s="91">
        <f>SUM(G19:V19)</f>
        <v>0</v>
      </c>
      <c r="X19" s="87" t="str">
        <f>IF(ABS(F19-W19)&lt;0.01,"ok","err")</f>
        <v>ok</v>
      </c>
      <c r="Y19" s="203" t="str">
        <f>IF(X19="err",W19-F19,"")</f>
        <v/>
      </c>
    </row>
    <row r="20" spans="1:25" ht="12" hidden="1" customHeight="1" x14ac:dyDescent="0.25">
      <c r="A20" s="86" t="s">
        <v>443</v>
      </c>
      <c r="D20" s="86" t="s">
        <v>136</v>
      </c>
      <c r="F20" s="89">
        <f t="shared" ref="F20:T20" si="8">SUM(F17:F19)</f>
        <v>1314530302.8368411</v>
      </c>
      <c r="G20" s="89">
        <f t="shared" si="8"/>
        <v>581215749.62622476</v>
      </c>
      <c r="H20" s="89">
        <f t="shared" si="8"/>
        <v>149186113.87549981</v>
      </c>
      <c r="I20" s="89">
        <f>SUM(I17:I19)</f>
        <v>15268347.157183999</v>
      </c>
      <c r="J20" s="89">
        <f>SUM(J17:J19)</f>
        <v>133087046.98668288</v>
      </c>
      <c r="K20" s="89">
        <f>SUM(K17:K19)</f>
        <v>5718859.0368945887</v>
      </c>
      <c r="L20" s="89">
        <f t="shared" si="8"/>
        <v>117737433.81960478</v>
      </c>
      <c r="M20" s="89">
        <f t="shared" si="8"/>
        <v>191751288.59186038</v>
      </c>
      <c r="N20" s="89">
        <f t="shared" si="8"/>
        <v>66495201.566333979</v>
      </c>
      <c r="O20" s="89">
        <f t="shared" si="8"/>
        <v>44556885.454953052</v>
      </c>
      <c r="P20" s="89">
        <f>SUM(P17:P19)</f>
        <v>8974246.9929899406</v>
      </c>
      <c r="Q20" s="89">
        <f t="shared" si="8"/>
        <v>326510.72947079939</v>
      </c>
      <c r="R20" s="89">
        <f t="shared" si="8"/>
        <v>87969.965493235926</v>
      </c>
      <c r="S20" s="89">
        <f t="shared" si="8"/>
        <v>123876.05093575046</v>
      </c>
      <c r="T20" s="89">
        <f t="shared" si="8"/>
        <v>772.98271309021641</v>
      </c>
      <c r="U20" s="89"/>
      <c r="V20" s="89"/>
      <c r="W20" s="91">
        <f>SUM(G20:V20)</f>
        <v>1314530302.8368409</v>
      </c>
      <c r="X20" s="87" t="str">
        <f>IF(ABS(F20-W20)&lt;0.01,"ok","err")</f>
        <v>ok</v>
      </c>
      <c r="Y20" s="203" t="str">
        <f>IF(X20="err",W20-F20,"")</f>
        <v/>
      </c>
    </row>
    <row r="21" spans="1:25" ht="12" customHeight="1" x14ac:dyDescent="0.25">
      <c r="F21" s="90"/>
      <c r="G21" s="204"/>
    </row>
    <row r="22" spans="1:25" ht="12" customHeight="1" x14ac:dyDescent="0.25">
      <c r="A22" s="23" t="s">
        <v>1628</v>
      </c>
      <c r="F22" s="90"/>
      <c r="G22" s="90"/>
    </row>
    <row r="23" spans="1:25" ht="12" customHeight="1" x14ac:dyDescent="0.25">
      <c r="A23" s="96" t="s">
        <v>145</v>
      </c>
      <c r="C23" s="86" t="s">
        <v>176</v>
      </c>
      <c r="D23" s="86" t="s">
        <v>148</v>
      </c>
      <c r="E23" s="86" t="s">
        <v>2254</v>
      </c>
      <c r="F23" s="89">
        <f>VLOOKUP(C23,'WSS-29'!$C$1:$AU$617,17,)</f>
        <v>0</v>
      </c>
      <c r="G23" s="89">
        <f t="shared" ref="G23:V23" si="9">IF(VLOOKUP($E23,$D$5:$V$977,3,)=0,0,(VLOOKUP($E23,$D$5:$V$977,G$1,)/VLOOKUP($E23,$D$5:$V$977,3,))*$F23)</f>
        <v>0</v>
      </c>
      <c r="H23" s="89">
        <f t="shared" si="9"/>
        <v>0</v>
      </c>
      <c r="I23" s="89">
        <f t="shared" si="9"/>
        <v>0</v>
      </c>
      <c r="J23" s="89">
        <f t="shared" si="9"/>
        <v>0</v>
      </c>
      <c r="K23" s="89">
        <f t="shared" si="9"/>
        <v>0</v>
      </c>
      <c r="L23" s="89">
        <f t="shared" si="9"/>
        <v>0</v>
      </c>
      <c r="M23" s="89">
        <f t="shared" si="9"/>
        <v>0</v>
      </c>
      <c r="N23" s="89">
        <f t="shared" si="9"/>
        <v>0</v>
      </c>
      <c r="O23" s="89">
        <f t="shared" si="9"/>
        <v>0</v>
      </c>
      <c r="P23" s="89">
        <f t="shared" si="9"/>
        <v>0</v>
      </c>
      <c r="Q23" s="89">
        <f t="shared" si="9"/>
        <v>0</v>
      </c>
      <c r="R23" s="89">
        <f t="shared" si="9"/>
        <v>0</v>
      </c>
      <c r="S23" s="89">
        <f t="shared" si="9"/>
        <v>0</v>
      </c>
      <c r="T23" s="89">
        <f t="shared" si="9"/>
        <v>0</v>
      </c>
      <c r="U23" s="89">
        <f t="shared" si="9"/>
        <v>0</v>
      </c>
      <c r="V23" s="89">
        <f t="shared" si="9"/>
        <v>0</v>
      </c>
      <c r="W23" s="91">
        <f>SUM(G23:V23)</f>
        <v>0</v>
      </c>
      <c r="X23" s="87" t="str">
        <f>IF(ABS(F23-W23)&lt;0.01,"ok","err")</f>
        <v>ok</v>
      </c>
      <c r="Y23" s="203" t="str">
        <f>IF(X23="err",W23-F23,"")</f>
        <v/>
      </c>
    </row>
    <row r="24" spans="1:25" ht="12" customHeight="1" x14ac:dyDescent="0.25">
      <c r="F24" s="90"/>
    </row>
    <row r="25" spans="1:25" ht="12" customHeight="1" x14ac:dyDescent="0.25">
      <c r="A25" s="23" t="s">
        <v>1629</v>
      </c>
      <c r="F25" s="90"/>
      <c r="G25" s="90"/>
    </row>
    <row r="26" spans="1:25" ht="12" customHeight="1" x14ac:dyDescent="0.25">
      <c r="A26" s="96" t="s">
        <v>147</v>
      </c>
      <c r="C26" s="86" t="s">
        <v>176</v>
      </c>
      <c r="D26" s="86" t="s">
        <v>149</v>
      </c>
      <c r="E26" s="86" t="s">
        <v>2254</v>
      </c>
      <c r="F26" s="89">
        <f>VLOOKUP(C26,'WSS-29'!$C$1:$AU$617,18,)</f>
        <v>354760183.45902979</v>
      </c>
      <c r="G26" s="89">
        <f t="shared" ref="G26:V26" si="10">IF(VLOOKUP($E26,$D$5:$V$977,3,)=0,0,(VLOOKUP($E26,$D$5:$V$977,G$1,)/VLOOKUP($E26,$D$5:$V$977,3,))*$F26)</f>
        <v>171330235.36030349</v>
      </c>
      <c r="H26" s="89">
        <f t="shared" si="10"/>
        <v>43976943.190572366</v>
      </c>
      <c r="I26" s="89">
        <f t="shared" si="10"/>
        <v>4500789.1023005461</v>
      </c>
      <c r="J26" s="89">
        <f t="shared" si="10"/>
        <v>39231275.302329339</v>
      </c>
      <c r="K26" s="89">
        <f t="shared" si="10"/>
        <v>1685799.9209650785</v>
      </c>
      <c r="L26" s="89">
        <f t="shared" si="10"/>
        <v>34706530.68159885</v>
      </c>
      <c r="M26" s="89">
        <f t="shared" si="10"/>
        <v>56524265.603972852</v>
      </c>
      <c r="N26" s="89">
        <f t="shared" si="10"/>
        <v>0</v>
      </c>
      <c r="O26" s="89">
        <f t="shared" si="10"/>
        <v>0</v>
      </c>
      <c r="P26" s="89">
        <f t="shared" si="10"/>
        <v>2645420.1395596298</v>
      </c>
      <c r="Q26" s="89">
        <f t="shared" si="10"/>
        <v>96248.527614524792</v>
      </c>
      <c r="R26" s="89">
        <f t="shared" si="10"/>
        <v>25931.704194675582</v>
      </c>
      <c r="S26" s="89">
        <f t="shared" si="10"/>
        <v>36516.066496780018</v>
      </c>
      <c r="T26" s="89">
        <f t="shared" si="10"/>
        <v>227.8591215884305</v>
      </c>
      <c r="U26" s="89">
        <f t="shared" si="10"/>
        <v>0</v>
      </c>
      <c r="V26" s="89">
        <f t="shared" si="10"/>
        <v>0</v>
      </c>
      <c r="W26" s="91">
        <f>SUM(G26:V26)</f>
        <v>354760183.45902967</v>
      </c>
      <c r="X26" s="87" t="str">
        <f>IF(ABS(F26-W26)&lt;0.01,"ok","err")</f>
        <v>ok</v>
      </c>
      <c r="Y26" s="203" t="str">
        <f>IF(X26="err",W26-F26,"")</f>
        <v/>
      </c>
    </row>
    <row r="27" spans="1:25" ht="12" customHeight="1" x14ac:dyDescent="0.25">
      <c r="F27" s="90"/>
    </row>
    <row r="28" spans="1:25" ht="12" customHeight="1" x14ac:dyDescent="0.25">
      <c r="A28" s="23" t="s">
        <v>146</v>
      </c>
      <c r="F28" s="90"/>
    </row>
    <row r="29" spans="1:25" ht="12" customHeight="1" x14ac:dyDescent="0.25">
      <c r="A29" s="96" t="s">
        <v>792</v>
      </c>
      <c r="C29" s="86" t="s">
        <v>176</v>
      </c>
      <c r="D29" s="86" t="s">
        <v>152</v>
      </c>
      <c r="E29" s="86" t="s">
        <v>2254</v>
      </c>
      <c r="F29" s="89">
        <f>VLOOKUP(C29,'WSS-29'!$C$1:$AU$617,19,)</f>
        <v>0</v>
      </c>
      <c r="G29" s="89">
        <f t="shared" ref="G29:V33" si="11">IF(VLOOKUP($E29,$D$5:$V$977,3,)=0,0,(VLOOKUP($E29,$D$5:$V$977,G$1,)/VLOOKUP($E29,$D$5:$V$977,3,))*$F29)</f>
        <v>0</v>
      </c>
      <c r="H29" s="89">
        <f t="shared" si="11"/>
        <v>0</v>
      </c>
      <c r="I29" s="89">
        <f t="shared" si="11"/>
        <v>0</v>
      </c>
      <c r="J29" s="89">
        <f t="shared" si="11"/>
        <v>0</v>
      </c>
      <c r="K29" s="89">
        <f t="shared" si="11"/>
        <v>0</v>
      </c>
      <c r="L29" s="89">
        <f t="shared" si="11"/>
        <v>0</v>
      </c>
      <c r="M29" s="89">
        <f t="shared" si="11"/>
        <v>0</v>
      </c>
      <c r="N29" s="89">
        <f t="shared" si="11"/>
        <v>0</v>
      </c>
      <c r="O29" s="89">
        <f t="shared" si="11"/>
        <v>0</v>
      </c>
      <c r="P29" s="89">
        <f t="shared" si="11"/>
        <v>0</v>
      </c>
      <c r="Q29" s="89">
        <f t="shared" si="11"/>
        <v>0</v>
      </c>
      <c r="R29" s="89">
        <f t="shared" si="11"/>
        <v>0</v>
      </c>
      <c r="S29" s="89">
        <f t="shared" si="11"/>
        <v>0</v>
      </c>
      <c r="T29" s="89">
        <f t="shared" si="11"/>
        <v>0</v>
      </c>
      <c r="U29" s="89">
        <f t="shared" si="11"/>
        <v>0</v>
      </c>
      <c r="V29" s="89">
        <f t="shared" si="11"/>
        <v>0</v>
      </c>
      <c r="W29" s="91">
        <f t="shared" ref="W29:W34" si="12">SUM(G29:V29)</f>
        <v>0</v>
      </c>
      <c r="X29" s="87" t="str">
        <f t="shared" ref="X29:X34" si="13">IF(ABS(F29-W29)&lt;0.01,"ok","err")</f>
        <v>ok</v>
      </c>
      <c r="Y29" s="203" t="str">
        <f t="shared" ref="Y29:Y34" si="14">IF(X29="err",W29-F29,"")</f>
        <v/>
      </c>
    </row>
    <row r="30" spans="1:25" ht="12" customHeight="1" x14ac:dyDescent="0.25">
      <c r="A30" s="96" t="s">
        <v>793</v>
      </c>
      <c r="C30" s="86" t="s">
        <v>176</v>
      </c>
      <c r="D30" s="86" t="s">
        <v>153</v>
      </c>
      <c r="E30" s="86" t="s">
        <v>2254</v>
      </c>
      <c r="F30" s="90">
        <f>VLOOKUP(C30,'WSS-29'!$C$1:$AU$617,20,)</f>
        <v>282159692.10574192</v>
      </c>
      <c r="G30" s="89">
        <f t="shared" si="11"/>
        <v>136268072.66337559</v>
      </c>
      <c r="H30" s="89">
        <f t="shared" si="11"/>
        <v>34977208.066069871</v>
      </c>
      <c r="I30" s="89">
        <f t="shared" si="11"/>
        <v>3579717.5854281364</v>
      </c>
      <c r="J30" s="89">
        <f t="shared" si="11"/>
        <v>31202725.323596597</v>
      </c>
      <c r="K30" s="89">
        <f t="shared" si="11"/>
        <v>1340806.5753419697</v>
      </c>
      <c r="L30" s="89">
        <f t="shared" si="11"/>
        <v>27603954.636891648</v>
      </c>
      <c r="M30" s="89">
        <f t="shared" si="11"/>
        <v>44956762.68913094</v>
      </c>
      <c r="N30" s="89">
        <f t="shared" si="11"/>
        <v>0</v>
      </c>
      <c r="O30" s="89">
        <f t="shared" si="11"/>
        <v>0</v>
      </c>
      <c r="P30" s="89">
        <f t="shared" si="11"/>
        <v>2104043.7085992121</v>
      </c>
      <c r="Q30" s="89">
        <f t="shared" si="11"/>
        <v>76551.58663114642</v>
      </c>
      <c r="R30" s="89">
        <f t="shared" si="11"/>
        <v>20624.867199032338</v>
      </c>
      <c r="S30" s="89">
        <f t="shared" si="11"/>
        <v>29043.174967334384</v>
      </c>
      <c r="T30" s="89">
        <f t="shared" si="11"/>
        <v>181.22851038129912</v>
      </c>
      <c r="U30" s="89">
        <f t="shared" si="11"/>
        <v>0</v>
      </c>
      <c r="V30" s="89">
        <f t="shared" si="11"/>
        <v>0</v>
      </c>
      <c r="W30" s="91">
        <f t="shared" si="12"/>
        <v>282159692.10574186</v>
      </c>
      <c r="X30" s="87" t="str">
        <f t="shared" si="13"/>
        <v>ok</v>
      </c>
      <c r="Y30" s="203" t="str">
        <f t="shared" si="14"/>
        <v/>
      </c>
    </row>
    <row r="31" spans="1:25" ht="12" customHeight="1" x14ac:dyDescent="0.25">
      <c r="A31" s="96" t="s">
        <v>794</v>
      </c>
      <c r="C31" s="86" t="s">
        <v>176</v>
      </c>
      <c r="D31" s="86" t="s">
        <v>154</v>
      </c>
      <c r="E31" s="86" t="s">
        <v>2448</v>
      </c>
      <c r="F31" s="90">
        <f>VLOOKUP(C31,'WSS-29'!$C$1:$AU$617,21,)</f>
        <v>548452177.96348798</v>
      </c>
      <c r="G31" s="89">
        <f t="shared" si="11"/>
        <v>440598863.86986119</v>
      </c>
      <c r="H31" s="89">
        <f t="shared" si="11"/>
        <v>82429963.888774082</v>
      </c>
      <c r="I31" s="89">
        <f t="shared" si="11"/>
        <v>422397.89784706431</v>
      </c>
      <c r="J31" s="89">
        <f t="shared" si="11"/>
        <v>4425215.7128223106</v>
      </c>
      <c r="K31" s="89">
        <f t="shared" si="11"/>
        <v>203229.17726604038</v>
      </c>
      <c r="L31" s="89">
        <f t="shared" si="11"/>
        <v>762109.41474765143</v>
      </c>
      <c r="M31" s="89">
        <f t="shared" si="11"/>
        <v>255032.69303973697</v>
      </c>
      <c r="N31" s="89">
        <f t="shared" si="11"/>
        <v>0</v>
      </c>
      <c r="O31" s="89">
        <f t="shared" si="11"/>
        <v>0</v>
      </c>
      <c r="P31" s="89">
        <f t="shared" si="11"/>
        <v>19182022.775579486</v>
      </c>
      <c r="Q31" s="89">
        <f t="shared" si="11"/>
        <v>11954.657486237669</v>
      </c>
      <c r="R31" s="89">
        <f t="shared" si="11"/>
        <v>147440.77566359792</v>
      </c>
      <c r="S31" s="89">
        <f t="shared" si="11"/>
        <v>3984.8858287458902</v>
      </c>
      <c r="T31" s="89">
        <f t="shared" si="11"/>
        <v>9962.2145718647243</v>
      </c>
      <c r="U31" s="89">
        <f t="shared" si="11"/>
        <v>0</v>
      </c>
      <c r="V31" s="89">
        <f t="shared" si="11"/>
        <v>0</v>
      </c>
      <c r="W31" s="91">
        <f t="shared" si="12"/>
        <v>548452177.96348798</v>
      </c>
      <c r="X31" s="87" t="str">
        <f t="shared" si="13"/>
        <v>ok</v>
      </c>
      <c r="Y31" s="203" t="str">
        <f t="shared" si="14"/>
        <v/>
      </c>
    </row>
    <row r="32" spans="1:25" ht="12" customHeight="1" x14ac:dyDescent="0.25">
      <c r="A32" s="96" t="s">
        <v>795</v>
      </c>
      <c r="C32" s="86" t="s">
        <v>176</v>
      </c>
      <c r="D32" s="86" t="s">
        <v>155</v>
      </c>
      <c r="E32" s="86" t="s">
        <v>734</v>
      </c>
      <c r="F32" s="90">
        <f>VLOOKUP(C32,'WSS-29'!$C$1:$AU$617,22,)</f>
        <v>127023976.71572234</v>
      </c>
      <c r="G32" s="89">
        <f t="shared" si="11"/>
        <v>105210533.10355996</v>
      </c>
      <c r="H32" s="89">
        <f t="shared" si="11"/>
        <v>19625863.723765031</v>
      </c>
      <c r="I32" s="89">
        <f t="shared" si="11"/>
        <v>1422586.1359600706</v>
      </c>
      <c r="J32" s="89">
        <f t="shared" si="11"/>
        <v>0</v>
      </c>
      <c r="K32" s="89">
        <f t="shared" si="11"/>
        <v>0</v>
      </c>
      <c r="L32" s="89">
        <f t="shared" si="11"/>
        <v>0</v>
      </c>
      <c r="M32" s="89">
        <f t="shared" si="11"/>
        <v>0</v>
      </c>
      <c r="N32" s="89">
        <f t="shared" si="11"/>
        <v>0</v>
      </c>
      <c r="O32" s="89">
        <f t="shared" si="11"/>
        <v>0</v>
      </c>
      <c r="P32" s="89">
        <f t="shared" si="11"/>
        <v>731161.65845896001</v>
      </c>
      <c r="Q32" s="89">
        <f t="shared" si="11"/>
        <v>26601.911742678294</v>
      </c>
      <c r="R32" s="89">
        <f t="shared" si="11"/>
        <v>7167.2047710358747</v>
      </c>
      <c r="S32" s="89">
        <f t="shared" si="11"/>
        <v>0</v>
      </c>
      <c r="T32" s="89">
        <f t="shared" si="11"/>
        <v>62.977464616766717</v>
      </c>
      <c r="U32" s="89">
        <f t="shared" si="11"/>
        <v>0</v>
      </c>
      <c r="V32" s="89">
        <f t="shared" si="11"/>
        <v>0</v>
      </c>
      <c r="W32" s="91">
        <f t="shared" si="12"/>
        <v>127023976.71572235</v>
      </c>
      <c r="X32" s="87" t="str">
        <f t="shared" si="13"/>
        <v>ok</v>
      </c>
      <c r="Y32" s="203" t="str">
        <f t="shared" si="14"/>
        <v/>
      </c>
    </row>
    <row r="33" spans="1:25" ht="12" customHeight="1" x14ac:dyDescent="0.25">
      <c r="A33" s="96" t="s">
        <v>796</v>
      </c>
      <c r="C33" s="86" t="s">
        <v>176</v>
      </c>
      <c r="D33" s="86" t="s">
        <v>156</v>
      </c>
      <c r="E33" s="86" t="s">
        <v>2447</v>
      </c>
      <c r="F33" s="90">
        <f>VLOOKUP(C33,'WSS-29'!$C$1:$AU$617,23,)</f>
        <v>256429859.49944761</v>
      </c>
      <c r="G33" s="89">
        <f t="shared" si="11"/>
        <v>208143125.92794776</v>
      </c>
      <c r="H33" s="89">
        <f t="shared" si="11"/>
        <v>38940704.937916011</v>
      </c>
      <c r="I33" s="89">
        <f t="shared" si="11"/>
        <v>199544.81514335101</v>
      </c>
      <c r="J33" s="89">
        <f t="shared" si="11"/>
        <v>0</v>
      </c>
      <c r="K33" s="89">
        <f t="shared" si="11"/>
        <v>0</v>
      </c>
      <c r="L33" s="89">
        <f t="shared" si="11"/>
        <v>0</v>
      </c>
      <c r="M33" s="89">
        <f t="shared" si="11"/>
        <v>0</v>
      </c>
      <c r="N33" s="89">
        <f t="shared" si="11"/>
        <v>0</v>
      </c>
      <c r="O33" s="89">
        <f t="shared" si="11"/>
        <v>0</v>
      </c>
      <c r="P33" s="89">
        <f t="shared" si="11"/>
        <v>9061771.3969173804</v>
      </c>
      <c r="Q33" s="89">
        <f t="shared" si="11"/>
        <v>5647.4947682080474</v>
      </c>
      <c r="R33" s="89">
        <f t="shared" si="11"/>
        <v>69652.435474565922</v>
      </c>
      <c r="S33" s="89">
        <f t="shared" si="11"/>
        <v>0</v>
      </c>
      <c r="T33" s="89">
        <f t="shared" si="11"/>
        <v>9412.491280346745</v>
      </c>
      <c r="U33" s="89">
        <f t="shared" si="11"/>
        <v>0</v>
      </c>
      <c r="V33" s="89">
        <f t="shared" si="11"/>
        <v>0</v>
      </c>
      <c r="W33" s="91">
        <f t="shared" si="12"/>
        <v>256429859.49944761</v>
      </c>
      <c r="X33" s="87" t="str">
        <f t="shared" si="13"/>
        <v>ok</v>
      </c>
      <c r="Y33" s="203" t="str">
        <f t="shared" si="14"/>
        <v/>
      </c>
    </row>
    <row r="34" spans="1:25" ht="12" customHeight="1" x14ac:dyDescent="0.25">
      <c r="A34" s="86" t="s">
        <v>151</v>
      </c>
      <c r="D34" s="86" t="s">
        <v>157</v>
      </c>
      <c r="F34" s="89">
        <f>SUM(F29:F33)</f>
        <v>1214065706.2843997</v>
      </c>
      <c r="G34" s="89">
        <f t="shared" ref="G34:T34" si="15">SUM(G29:G33)</f>
        <v>890220595.56474447</v>
      </c>
      <c r="H34" s="89">
        <f t="shared" si="15"/>
        <v>175973740.61652499</v>
      </c>
      <c r="I34" s="89">
        <f>SUM(I29:I33)</f>
        <v>5624246.434378623</v>
      </c>
      <c r="J34" s="89">
        <f>SUM(J29:J33)</f>
        <v>35627941.036418907</v>
      </c>
      <c r="K34" s="89">
        <f>SUM(K29:K33)</f>
        <v>1544035.7526080101</v>
      </c>
      <c r="L34" s="89">
        <f t="shared" si="15"/>
        <v>28366064.0516393</v>
      </c>
      <c r="M34" s="89">
        <f t="shared" si="15"/>
        <v>45211795.382170677</v>
      </c>
      <c r="N34" s="89">
        <f t="shared" si="15"/>
        <v>0</v>
      </c>
      <c r="O34" s="89">
        <f t="shared" si="15"/>
        <v>0</v>
      </c>
      <c r="P34" s="89">
        <f>SUM(P29:P33)</f>
        <v>31078999.539555039</v>
      </c>
      <c r="Q34" s="89">
        <f t="shared" si="15"/>
        <v>120755.65062827044</v>
      </c>
      <c r="R34" s="89">
        <f t="shared" si="15"/>
        <v>244885.28310823205</v>
      </c>
      <c r="S34" s="89">
        <f t="shared" si="15"/>
        <v>33028.060796080274</v>
      </c>
      <c r="T34" s="89">
        <f t="shared" si="15"/>
        <v>19618.911827209537</v>
      </c>
      <c r="U34" s="89">
        <f>SUM(U29:U33)</f>
        <v>0</v>
      </c>
      <c r="V34" s="89">
        <f>SUM(V29:V33)</f>
        <v>0</v>
      </c>
      <c r="W34" s="91">
        <f t="shared" si="12"/>
        <v>1214065706.2844</v>
      </c>
      <c r="X34" s="87" t="str">
        <f t="shared" si="13"/>
        <v>ok</v>
      </c>
      <c r="Y34" s="91" t="str">
        <f t="shared" si="14"/>
        <v/>
      </c>
    </row>
    <row r="35" spans="1:25" ht="12" customHeight="1" x14ac:dyDescent="0.25">
      <c r="F35" s="90"/>
    </row>
    <row r="36" spans="1:25" ht="12" customHeight="1" x14ac:dyDescent="0.25">
      <c r="A36" s="23" t="s">
        <v>791</v>
      </c>
      <c r="F36" s="90"/>
    </row>
    <row r="37" spans="1:25" ht="12" customHeight="1" x14ac:dyDescent="0.25">
      <c r="A37" s="96" t="s">
        <v>389</v>
      </c>
      <c r="C37" s="86" t="s">
        <v>176</v>
      </c>
      <c r="D37" s="86" t="s">
        <v>158</v>
      </c>
      <c r="E37" s="86" t="s">
        <v>2179</v>
      </c>
      <c r="F37" s="89">
        <f>VLOOKUP(C37,'WSS-29'!$C$1:$AU$617,24,)</f>
        <v>185167207.95059004</v>
      </c>
      <c r="G37" s="89">
        <f t="shared" ref="G37:V38" si="16">IF(VLOOKUP($E37,$D$5:$V$977,3,)=0,0,(VLOOKUP($E37,$D$5:$V$977,G$1,)/VLOOKUP($E37,$D$5:$V$977,3,))*$F37)</f>
        <v>126572322.92136003</v>
      </c>
      <c r="H37" s="89">
        <f t="shared" si="16"/>
        <v>23610669.840536524</v>
      </c>
      <c r="I37" s="89">
        <f t="shared" si="16"/>
        <v>1711425.9045427765</v>
      </c>
      <c r="J37" s="89">
        <f t="shared" si="16"/>
        <v>17444145.253177285</v>
      </c>
      <c r="K37" s="89">
        <f t="shared" si="16"/>
        <v>0</v>
      </c>
      <c r="L37" s="89">
        <f t="shared" si="16"/>
        <v>14887650.572577029</v>
      </c>
      <c r="M37" s="89">
        <f t="shared" si="16"/>
        <v>0</v>
      </c>
      <c r="N37" s="89">
        <f t="shared" si="16"/>
        <v>0</v>
      </c>
      <c r="O37" s="89">
        <f t="shared" si="16"/>
        <v>0</v>
      </c>
      <c r="P37" s="89">
        <f t="shared" si="16"/>
        <v>879615.63174565125</v>
      </c>
      <c r="Q37" s="89">
        <f t="shared" si="16"/>
        <v>32003.124250929839</v>
      </c>
      <c r="R37" s="89">
        <f t="shared" si="16"/>
        <v>8622.4233445345926</v>
      </c>
      <c r="S37" s="89">
        <f t="shared" si="16"/>
        <v>20676.514740123912</v>
      </c>
      <c r="T37" s="89">
        <f t="shared" si="16"/>
        <v>75.764315160305983</v>
      </c>
      <c r="U37" s="89">
        <f t="shared" si="16"/>
        <v>0</v>
      </c>
      <c r="V37" s="89">
        <f t="shared" si="16"/>
        <v>0</v>
      </c>
      <c r="W37" s="91">
        <f>SUM(G37:V37)</f>
        <v>185167207.95058998</v>
      </c>
      <c r="X37" s="87" t="str">
        <f>IF(ABS(F37-W37)&lt;0.01,"ok","err")</f>
        <v>ok</v>
      </c>
      <c r="Y37" s="203" t="str">
        <f>IF(X37="err",W37-F37,"")</f>
        <v/>
      </c>
    </row>
    <row r="38" spans="1:25" ht="12" customHeight="1" x14ac:dyDescent="0.25">
      <c r="A38" s="96" t="s">
        <v>392</v>
      </c>
      <c r="C38" s="86" t="s">
        <v>176</v>
      </c>
      <c r="D38" s="86" t="s">
        <v>159</v>
      </c>
      <c r="E38" s="86" t="s">
        <v>2449</v>
      </c>
      <c r="F38" s="90">
        <f>VLOOKUP(C38,'WSS-29'!$C$1:$AU$617,25,)</f>
        <v>153841916.13285938</v>
      </c>
      <c r="G38" s="89">
        <f t="shared" si="16"/>
        <v>123692200.72175837</v>
      </c>
      <c r="H38" s="89">
        <f t="shared" si="16"/>
        <v>23141102.882709868</v>
      </c>
      <c r="I38" s="89">
        <f t="shared" si="16"/>
        <v>118582.52448962297</v>
      </c>
      <c r="J38" s="89">
        <f t="shared" si="16"/>
        <v>1242319.749487984</v>
      </c>
      <c r="K38" s="89">
        <f t="shared" si="16"/>
        <v>0</v>
      </c>
      <c r="L38" s="89">
        <f t="shared" si="16"/>
        <v>213951.96045887165</v>
      </c>
      <c r="M38" s="89">
        <f t="shared" si="16"/>
        <v>0</v>
      </c>
      <c r="N38" s="89">
        <f t="shared" si="16"/>
        <v>0</v>
      </c>
      <c r="O38" s="89">
        <f t="shared" si="16"/>
        <v>0</v>
      </c>
      <c r="P38" s="89">
        <f t="shared" si="16"/>
        <v>5385094.7107914658</v>
      </c>
      <c r="Q38" s="89">
        <f t="shared" si="16"/>
        <v>3356.1091836685746</v>
      </c>
      <c r="R38" s="89">
        <f t="shared" si="16"/>
        <v>41392.013265245754</v>
      </c>
      <c r="S38" s="89">
        <f t="shared" si="16"/>
        <v>1118.7030612228582</v>
      </c>
      <c r="T38" s="89">
        <f t="shared" si="16"/>
        <v>2796.7576530571459</v>
      </c>
      <c r="U38" s="89">
        <f t="shared" si="16"/>
        <v>0</v>
      </c>
      <c r="V38" s="89">
        <f t="shared" si="16"/>
        <v>0</v>
      </c>
      <c r="W38" s="91">
        <f>SUM(G38:V38)</f>
        <v>153841916.13285938</v>
      </c>
      <c r="X38" s="87" t="str">
        <f>IF(ABS(F38-W38)&lt;0.01,"ok","err")</f>
        <v>ok</v>
      </c>
      <c r="Y38" s="203" t="str">
        <f>IF(X38="err",W38-F38,"")</f>
        <v/>
      </c>
    </row>
    <row r="39" spans="1:25" ht="12" customHeight="1" x14ac:dyDescent="0.25">
      <c r="A39" s="86" t="s">
        <v>1469</v>
      </c>
      <c r="D39" s="86" t="s">
        <v>162</v>
      </c>
      <c r="F39" s="89">
        <f t="shared" ref="F39:O39" si="17">F37+F38</f>
        <v>339009124.08344942</v>
      </c>
      <c r="G39" s="89">
        <f t="shared" si="17"/>
        <v>250264523.64311838</v>
      </c>
      <c r="H39" s="89">
        <f t="shared" si="17"/>
        <v>46751772.723246396</v>
      </c>
      <c r="I39" s="89">
        <f>I37+I38</f>
        <v>1830008.4290323996</v>
      </c>
      <c r="J39" s="89">
        <f>J37+J38</f>
        <v>18686465.00266527</v>
      </c>
      <c r="K39" s="89">
        <f>K37+K38</f>
        <v>0</v>
      </c>
      <c r="L39" s="89">
        <f t="shared" si="17"/>
        <v>15101602.5330359</v>
      </c>
      <c r="M39" s="89">
        <f t="shared" si="17"/>
        <v>0</v>
      </c>
      <c r="N39" s="89">
        <f t="shared" si="17"/>
        <v>0</v>
      </c>
      <c r="O39" s="89">
        <f t="shared" si="17"/>
        <v>0</v>
      </c>
      <c r="P39" s="89">
        <f t="shared" ref="P39:V39" si="18">P37+P38</f>
        <v>6264710.3425371172</v>
      </c>
      <c r="Q39" s="89">
        <f t="shared" si="18"/>
        <v>35359.233434598413</v>
      </c>
      <c r="R39" s="89">
        <f t="shared" si="18"/>
        <v>50014.436609780343</v>
      </c>
      <c r="S39" s="89">
        <f t="shared" si="18"/>
        <v>21795.217801346771</v>
      </c>
      <c r="T39" s="89">
        <f t="shared" si="18"/>
        <v>2872.521968217452</v>
      </c>
      <c r="U39" s="89">
        <f t="shared" si="18"/>
        <v>0</v>
      </c>
      <c r="V39" s="89">
        <f t="shared" si="18"/>
        <v>0</v>
      </c>
      <c r="W39" s="91">
        <f>SUM(G39:V39)</f>
        <v>339009124.08344942</v>
      </c>
      <c r="X39" s="87" t="str">
        <f>IF(ABS(F39-W39)&lt;0.01,"ok","err")</f>
        <v>ok</v>
      </c>
      <c r="Y39" s="91" t="str">
        <f>IF(X39="err",W39-F39,"")</f>
        <v/>
      </c>
    </row>
    <row r="40" spans="1:25" ht="12" customHeight="1" x14ac:dyDescent="0.25">
      <c r="F40" s="90"/>
    </row>
    <row r="41" spans="1:25" ht="12" customHeight="1" x14ac:dyDescent="0.25">
      <c r="A41" s="23" t="s">
        <v>128</v>
      </c>
      <c r="F41" s="90"/>
    </row>
    <row r="42" spans="1:25" ht="12" customHeight="1" x14ac:dyDescent="0.25">
      <c r="A42" s="96" t="s">
        <v>392</v>
      </c>
      <c r="C42" s="86" t="s">
        <v>176</v>
      </c>
      <c r="D42" s="86" t="s">
        <v>150</v>
      </c>
      <c r="E42" s="86" t="s">
        <v>393</v>
      </c>
      <c r="F42" s="89">
        <f>VLOOKUP(C42,'WSS-29'!$C$1:$AU$617,26,)</f>
        <v>129708296.27767788</v>
      </c>
      <c r="G42" s="89">
        <f t="shared" ref="G42:V42" si="19">IF(VLOOKUP($E42,$D$5:$V$977,3,)=0,0,(VLOOKUP($E42,$D$5:$V$977,G$1,)/VLOOKUP($E42,$D$5:$V$977,3,))*$F42)</f>
        <v>102581565.66093865</v>
      </c>
      <c r="H42" s="89">
        <f t="shared" si="19"/>
        <v>23061068.440535262</v>
      </c>
      <c r="I42" s="89">
        <f t="shared" si="19"/>
        <v>208650.37402228883</v>
      </c>
      <c r="J42" s="89">
        <f t="shared" si="19"/>
        <v>2996909.6050665663</v>
      </c>
      <c r="K42" s="89">
        <f t="shared" si="19"/>
        <v>0</v>
      </c>
      <c r="L42" s="89">
        <f t="shared" si="19"/>
        <v>857402.70498046023</v>
      </c>
      <c r="M42" s="89">
        <f t="shared" si="19"/>
        <v>0</v>
      </c>
      <c r="N42" s="89">
        <f t="shared" si="19"/>
        <v>0</v>
      </c>
      <c r="O42" s="89">
        <f t="shared" si="19"/>
        <v>0</v>
      </c>
      <c r="P42" s="89">
        <f t="shared" si="19"/>
        <v>0</v>
      </c>
      <c r="Q42" s="89">
        <f t="shared" si="19"/>
        <v>0</v>
      </c>
      <c r="R42" s="89">
        <f t="shared" si="19"/>
        <v>0</v>
      </c>
      <c r="S42" s="89">
        <f t="shared" si="19"/>
        <v>2699.4921346481037</v>
      </c>
      <c r="T42" s="89">
        <f t="shared" si="19"/>
        <v>0</v>
      </c>
      <c r="U42" s="89">
        <f t="shared" si="19"/>
        <v>0</v>
      </c>
      <c r="V42" s="89">
        <f t="shared" si="19"/>
        <v>0</v>
      </c>
      <c r="W42" s="91">
        <f>SUM(G42:V42)</f>
        <v>129708296.27767788</v>
      </c>
      <c r="X42" s="87" t="str">
        <f>IF(ABS(F42-W42)&lt;0.01,"ok","err")</f>
        <v>ok</v>
      </c>
      <c r="Y42" s="203" t="str">
        <f>IF(X42="err",W42-F42,"")</f>
        <v/>
      </c>
    </row>
    <row r="43" spans="1:25" ht="12" customHeight="1" x14ac:dyDescent="0.25">
      <c r="F43" s="90"/>
    </row>
    <row r="44" spans="1:25" ht="12" customHeight="1" x14ac:dyDescent="0.25">
      <c r="A44" s="23" t="s">
        <v>127</v>
      </c>
      <c r="F44" s="90"/>
    </row>
    <row r="45" spans="1:25" ht="12" customHeight="1" x14ac:dyDescent="0.25">
      <c r="A45" s="96" t="s">
        <v>392</v>
      </c>
      <c r="C45" s="86" t="s">
        <v>176</v>
      </c>
      <c r="D45" s="86" t="s">
        <v>161</v>
      </c>
      <c r="E45" s="86" t="s">
        <v>2416</v>
      </c>
      <c r="F45" s="89">
        <f>VLOOKUP(C45,'WSS-29'!$C$1:$AU$617,27,)</f>
        <v>77142556.667383939</v>
      </c>
      <c r="G45" s="89">
        <f t="shared" ref="G45:V45" si="20">IF(VLOOKUP($E45,$D$5:$V$977,3,)=0,0,(VLOOKUP($E45,$D$5:$V$977,G$1,)/VLOOKUP($E45,$D$5:$V$977,3,))*$F45)</f>
        <v>46508309.899316363</v>
      </c>
      <c r="H45" s="89">
        <f t="shared" si="20"/>
        <v>18767489.72352783</v>
      </c>
      <c r="I45" s="89">
        <f t="shared" si="20"/>
        <v>383083.96700659767</v>
      </c>
      <c r="J45" s="89">
        <f t="shared" si="20"/>
        <v>5867892.398915261</v>
      </c>
      <c r="K45" s="89">
        <f t="shared" si="20"/>
        <v>1147530.8324648007</v>
      </c>
      <c r="L45" s="89">
        <f t="shared" si="20"/>
        <v>1049542.8076051781</v>
      </c>
      <c r="M45" s="89">
        <f t="shared" si="20"/>
        <v>2032818.3349731425</v>
      </c>
      <c r="N45" s="89">
        <f t="shared" si="20"/>
        <v>1007856.8126575489</v>
      </c>
      <c r="O45" s="89">
        <f t="shared" si="20"/>
        <v>62214.559812965694</v>
      </c>
      <c r="P45" s="89">
        <f t="shared" si="20"/>
        <v>0</v>
      </c>
      <c r="Q45" s="89">
        <f t="shared" si="20"/>
        <v>11355.233065612381</v>
      </c>
      <c r="R45" s="89">
        <f t="shared" si="20"/>
        <v>139942.73342898223</v>
      </c>
      <c r="S45" s="89">
        <f t="shared" si="20"/>
        <v>5285.5546096730877</v>
      </c>
      <c r="T45" s="89">
        <f t="shared" si="20"/>
        <v>159233.81</v>
      </c>
      <c r="U45" s="89">
        <f t="shared" si="20"/>
        <v>0</v>
      </c>
      <c r="V45" s="89">
        <f t="shared" si="20"/>
        <v>0</v>
      </c>
      <c r="W45" s="91">
        <f>SUM(G45:V45)</f>
        <v>77142556.667383939</v>
      </c>
      <c r="X45" s="87" t="str">
        <f>IF(ABS(F45-W45)&lt;0.01,"ok","err")</f>
        <v>ok</v>
      </c>
      <c r="Y45" s="203" t="str">
        <f>IF(X45="err",W45-F45,"")</f>
        <v/>
      </c>
    </row>
    <row r="46" spans="1:25" ht="12" customHeight="1" x14ac:dyDescent="0.25">
      <c r="F46" s="90"/>
    </row>
    <row r="47" spans="1:25" ht="12" customHeight="1" x14ac:dyDescent="0.25">
      <c r="A47" s="23" t="s">
        <v>144</v>
      </c>
      <c r="F47" s="90"/>
    </row>
    <row r="48" spans="1:25" ht="12" customHeight="1" x14ac:dyDescent="0.25">
      <c r="A48" s="96" t="s">
        <v>392</v>
      </c>
      <c r="C48" s="86" t="s">
        <v>176</v>
      </c>
      <c r="D48" s="86" t="s">
        <v>163</v>
      </c>
      <c r="E48" s="86" t="s">
        <v>2444</v>
      </c>
      <c r="F48" s="89">
        <f>VLOOKUP(C48,'WSS-29'!$C$1:$AU$617,28,)</f>
        <v>148542745.59654084</v>
      </c>
      <c r="G48" s="89">
        <f t="shared" ref="G48:V48" si="21">IF(VLOOKUP($E48,$D$5:$V$977,3,)=0,0,(VLOOKUP($E48,$D$5:$V$977,G$1,)/VLOOKUP($E48,$D$5:$V$977,3,))*$F48)</f>
        <v>0</v>
      </c>
      <c r="H48" s="89">
        <f t="shared" si="21"/>
        <v>0</v>
      </c>
      <c r="I48" s="89">
        <f t="shared" si="21"/>
        <v>0</v>
      </c>
      <c r="J48" s="89">
        <f t="shared" si="21"/>
        <v>0</v>
      </c>
      <c r="K48" s="89">
        <f t="shared" si="21"/>
        <v>0</v>
      </c>
      <c r="L48" s="89">
        <f t="shared" si="21"/>
        <v>0</v>
      </c>
      <c r="M48" s="89">
        <f t="shared" si="21"/>
        <v>0</v>
      </c>
      <c r="N48" s="89">
        <f t="shared" si="21"/>
        <v>0</v>
      </c>
      <c r="O48" s="89">
        <f t="shared" si="21"/>
        <v>0</v>
      </c>
      <c r="P48" s="89">
        <f t="shared" si="21"/>
        <v>148542745.59654084</v>
      </c>
      <c r="Q48" s="89">
        <f t="shared" si="21"/>
        <v>0</v>
      </c>
      <c r="R48" s="89">
        <f t="shared" si="21"/>
        <v>0</v>
      </c>
      <c r="S48" s="89">
        <f t="shared" si="21"/>
        <v>0</v>
      </c>
      <c r="T48" s="89">
        <f t="shared" si="21"/>
        <v>0</v>
      </c>
      <c r="U48" s="89">
        <f t="shared" si="21"/>
        <v>0</v>
      </c>
      <c r="V48" s="89">
        <f t="shared" si="21"/>
        <v>0</v>
      </c>
      <c r="W48" s="91">
        <f>SUM(G48:V48)</f>
        <v>148542745.59654084</v>
      </c>
      <c r="X48" s="87" t="str">
        <f>IF(ABS(F48-W48)&lt;0.01,"ok","err")</f>
        <v>ok</v>
      </c>
      <c r="Y48" s="203" t="str">
        <f>IF(X48="err",W48-F48,"")</f>
        <v/>
      </c>
    </row>
    <row r="49" spans="1:25" ht="12" customHeight="1" x14ac:dyDescent="0.25">
      <c r="F49" s="90"/>
    </row>
    <row r="50" spans="1:25" ht="12" customHeight="1" x14ac:dyDescent="0.25">
      <c r="A50" s="23" t="s">
        <v>292</v>
      </c>
      <c r="F50" s="90"/>
    </row>
    <row r="51" spans="1:25" ht="12" customHeight="1" x14ac:dyDescent="0.25">
      <c r="A51" s="96" t="s">
        <v>392</v>
      </c>
      <c r="C51" s="86" t="s">
        <v>176</v>
      </c>
      <c r="D51" s="86" t="s">
        <v>164</v>
      </c>
      <c r="E51" s="86" t="s">
        <v>2443</v>
      </c>
      <c r="F51" s="89">
        <f>VLOOKUP(C51,'WSS-29'!$C$1:$AU$617,30,)</f>
        <v>0</v>
      </c>
      <c r="G51" s="89">
        <f t="shared" ref="G51:V51" si="22">IF(VLOOKUP($E51,$D$5:$V$977,3,)=0,0,(VLOOKUP($E51,$D$5:$V$977,G$1,)/VLOOKUP($E51,$D$5:$V$977,3,))*$F51)</f>
        <v>0</v>
      </c>
      <c r="H51" s="89">
        <f t="shared" si="22"/>
        <v>0</v>
      </c>
      <c r="I51" s="89">
        <f t="shared" si="22"/>
        <v>0</v>
      </c>
      <c r="J51" s="89">
        <f t="shared" si="22"/>
        <v>0</v>
      </c>
      <c r="K51" s="89">
        <f t="shared" si="22"/>
        <v>0</v>
      </c>
      <c r="L51" s="89">
        <f t="shared" si="22"/>
        <v>0</v>
      </c>
      <c r="M51" s="89">
        <f t="shared" si="22"/>
        <v>0</v>
      </c>
      <c r="N51" s="89">
        <f t="shared" si="22"/>
        <v>0</v>
      </c>
      <c r="O51" s="89">
        <f t="shared" si="22"/>
        <v>0</v>
      </c>
      <c r="P51" s="89">
        <f t="shared" si="22"/>
        <v>0</v>
      </c>
      <c r="Q51" s="89">
        <f t="shared" si="22"/>
        <v>0</v>
      </c>
      <c r="R51" s="89">
        <f t="shared" si="22"/>
        <v>0</v>
      </c>
      <c r="S51" s="89">
        <f t="shared" si="22"/>
        <v>0</v>
      </c>
      <c r="T51" s="89">
        <f t="shared" si="22"/>
        <v>0</v>
      </c>
      <c r="U51" s="89">
        <f t="shared" si="22"/>
        <v>0</v>
      </c>
      <c r="V51" s="89">
        <f t="shared" si="22"/>
        <v>0</v>
      </c>
      <c r="W51" s="91">
        <f>SUM(G51:V51)</f>
        <v>0</v>
      </c>
      <c r="X51" s="87" t="str">
        <f>IF(ABS(F51-W51)&lt;0.01,"ok","err")</f>
        <v>ok</v>
      </c>
      <c r="Y51" s="203" t="str">
        <f>IF(X51="err",W51-F51,"")</f>
        <v/>
      </c>
    </row>
    <row r="52" spans="1:25" ht="12" customHeight="1" x14ac:dyDescent="0.25">
      <c r="F52" s="90"/>
    </row>
    <row r="53" spans="1:25" ht="12" customHeight="1" x14ac:dyDescent="0.25">
      <c r="A53" s="23" t="s">
        <v>1631</v>
      </c>
      <c r="F53" s="90"/>
    </row>
    <row r="54" spans="1:25" ht="12" customHeight="1" x14ac:dyDescent="0.25">
      <c r="A54" s="96" t="s">
        <v>392</v>
      </c>
      <c r="C54" s="86" t="s">
        <v>176</v>
      </c>
      <c r="D54" s="86" t="s">
        <v>210</v>
      </c>
      <c r="E54" s="86" t="s">
        <v>2443</v>
      </c>
      <c r="F54" s="89">
        <f>VLOOKUP(C54,'WSS-29'!$C$1:$AU$617,32,)</f>
        <v>0</v>
      </c>
      <c r="G54" s="89">
        <f t="shared" ref="G54:V54" si="23">IF(VLOOKUP($E54,$D$5:$V$977,3,)=0,0,(VLOOKUP($E54,$D$5:$V$977,G$1,)/VLOOKUP($E54,$D$5:$V$977,3,))*$F54)</f>
        <v>0</v>
      </c>
      <c r="H54" s="89">
        <f t="shared" si="23"/>
        <v>0</v>
      </c>
      <c r="I54" s="89">
        <f t="shared" si="23"/>
        <v>0</v>
      </c>
      <c r="J54" s="89">
        <f t="shared" si="23"/>
        <v>0</v>
      </c>
      <c r="K54" s="89">
        <f t="shared" si="23"/>
        <v>0</v>
      </c>
      <c r="L54" s="89">
        <f t="shared" si="23"/>
        <v>0</v>
      </c>
      <c r="M54" s="89">
        <f t="shared" si="23"/>
        <v>0</v>
      </c>
      <c r="N54" s="89">
        <f t="shared" si="23"/>
        <v>0</v>
      </c>
      <c r="O54" s="89">
        <f t="shared" si="23"/>
        <v>0</v>
      </c>
      <c r="P54" s="89">
        <f t="shared" si="23"/>
        <v>0</v>
      </c>
      <c r="Q54" s="89">
        <f t="shared" si="23"/>
        <v>0</v>
      </c>
      <c r="R54" s="89">
        <f t="shared" si="23"/>
        <v>0</v>
      </c>
      <c r="S54" s="89">
        <f t="shared" si="23"/>
        <v>0</v>
      </c>
      <c r="T54" s="89">
        <f t="shared" si="23"/>
        <v>0</v>
      </c>
      <c r="U54" s="89">
        <f t="shared" si="23"/>
        <v>0</v>
      </c>
      <c r="V54" s="89">
        <f t="shared" si="23"/>
        <v>0</v>
      </c>
      <c r="W54" s="91">
        <f>SUM(G54:V54)</f>
        <v>0</v>
      </c>
      <c r="X54" s="87" t="str">
        <f>IF(ABS(F54-W54)&lt;0.01,"ok","err")</f>
        <v>ok</v>
      </c>
      <c r="Y54" s="203" t="str">
        <f>IF(X54="err",W54-F54,"")</f>
        <v/>
      </c>
    </row>
    <row r="55" spans="1:25" ht="12" customHeight="1" x14ac:dyDescent="0.25">
      <c r="F55" s="90"/>
    </row>
    <row r="56" spans="1:25" ht="12" customHeight="1" x14ac:dyDescent="0.25">
      <c r="A56" s="23" t="s">
        <v>1630</v>
      </c>
      <c r="F56" s="90"/>
    </row>
    <row r="57" spans="1:25" ht="12" customHeight="1" x14ac:dyDescent="0.25">
      <c r="A57" s="96" t="s">
        <v>392</v>
      </c>
      <c r="C57" s="86" t="s">
        <v>176</v>
      </c>
      <c r="D57" s="86" t="s">
        <v>211</v>
      </c>
      <c r="E57" s="86" t="s">
        <v>2446</v>
      </c>
      <c r="F57" s="89">
        <f>VLOOKUP(C57,'WSS-29'!$C$1:$AU$617,34,)</f>
        <v>0</v>
      </c>
      <c r="G57" s="89">
        <f t="shared" ref="G57:V57" si="24">IF(VLOOKUP($E57,$D$5:$V$977,3,)=0,0,(VLOOKUP($E57,$D$5:$V$977,G$1,)/VLOOKUP($E57,$D$5:$V$977,3,))*$F57)</f>
        <v>0</v>
      </c>
      <c r="H57" s="89">
        <f t="shared" si="24"/>
        <v>0</v>
      </c>
      <c r="I57" s="89">
        <f t="shared" si="24"/>
        <v>0</v>
      </c>
      <c r="J57" s="89">
        <f t="shared" si="24"/>
        <v>0</v>
      </c>
      <c r="K57" s="89">
        <f t="shared" si="24"/>
        <v>0</v>
      </c>
      <c r="L57" s="89">
        <f t="shared" si="24"/>
        <v>0</v>
      </c>
      <c r="M57" s="89">
        <f t="shared" si="24"/>
        <v>0</v>
      </c>
      <c r="N57" s="89">
        <f t="shared" si="24"/>
        <v>0</v>
      </c>
      <c r="O57" s="89">
        <f t="shared" si="24"/>
        <v>0</v>
      </c>
      <c r="P57" s="89">
        <f t="shared" si="24"/>
        <v>0</v>
      </c>
      <c r="Q57" s="89">
        <f t="shared" si="24"/>
        <v>0</v>
      </c>
      <c r="R57" s="89">
        <f t="shared" si="24"/>
        <v>0</v>
      </c>
      <c r="S57" s="89">
        <f t="shared" si="24"/>
        <v>0</v>
      </c>
      <c r="T57" s="89">
        <f t="shared" si="24"/>
        <v>0</v>
      </c>
      <c r="U57" s="89">
        <f t="shared" si="24"/>
        <v>0</v>
      </c>
      <c r="V57" s="89">
        <f t="shared" si="24"/>
        <v>0</v>
      </c>
      <c r="W57" s="91">
        <f>SUM(G57:V57)</f>
        <v>0</v>
      </c>
      <c r="X57" s="87" t="str">
        <f>IF(ABS(F57-W57)&lt;0.01,"ok","err")</f>
        <v>ok</v>
      </c>
      <c r="Y57" s="203" t="str">
        <f>IF(X57="err",W57-F57,"")</f>
        <v/>
      </c>
    </row>
    <row r="58" spans="1:25" ht="12" customHeight="1" x14ac:dyDescent="0.25">
      <c r="F58" s="90"/>
    </row>
    <row r="59" spans="1:25" ht="12" customHeight="1" x14ac:dyDescent="0.25">
      <c r="A59" s="86" t="s">
        <v>62</v>
      </c>
      <c r="D59" s="86" t="s">
        <v>398</v>
      </c>
      <c r="F59" s="89">
        <f>F14+F20+F23+F26+F34+F39+F42+F45+F48+F51+F54+F57</f>
        <v>9650773037.9999981</v>
      </c>
      <c r="G59" s="89">
        <f>G14+G20+G23+G26+G34+G39+G42+G45+G48+G51+G54+G57</f>
        <v>4532905364.0691433</v>
      </c>
      <c r="H59" s="89">
        <f t="shared" ref="H59:T59" si="25">H14+H20+H23+H26+H34+H39+H42+H45+H48+H51+H54+H57</f>
        <v>1128595930.7818613</v>
      </c>
      <c r="I59" s="89">
        <f>I14+I20+I23+I26+I34+I39+I42+I45+I48+I51+I54+I57</f>
        <v>70863585.616529122</v>
      </c>
      <c r="J59" s="89">
        <f>J14+J20+J23+J26+J34+J39+J42+J45+J48+J51+J54+J57</f>
        <v>861118867.56035566</v>
      </c>
      <c r="K59" s="89">
        <f>K14+K20+K23+K26+K34+K39+K42+K45+K48+K51+K54+K57</f>
        <v>37276458.168308854</v>
      </c>
      <c r="L59" s="89">
        <f t="shared" si="25"/>
        <v>799495189.48551214</v>
      </c>
      <c r="M59" s="89">
        <f t="shared" si="25"/>
        <v>1396955797.4165552</v>
      </c>
      <c r="N59" s="89">
        <f t="shared" si="25"/>
        <v>426036936.77071398</v>
      </c>
      <c r="O59" s="89">
        <f>O14+O20+O23+O26+O34+O39+O42+O45+O48+O51+O54+O57</f>
        <v>193087485.7526902</v>
      </c>
      <c r="P59" s="89">
        <f>P14+P20+P23+P26+P34+P39+P42+P45+P48+P51+P54+P57</f>
        <v>198473848.13803756</v>
      </c>
      <c r="Q59" s="89">
        <f t="shared" si="25"/>
        <v>625438.20766220044</v>
      </c>
      <c r="R59" s="89">
        <f t="shared" si="25"/>
        <v>1124488.8469643872</v>
      </c>
      <c r="S59" s="89">
        <f t="shared" si="25"/>
        <v>297308.6444575318</v>
      </c>
      <c r="T59" s="89">
        <f t="shared" si="25"/>
        <v>187737.39120814356</v>
      </c>
      <c r="U59" s="89">
        <f>U14+U20+U23+U26+U34+U39+U42+U45+U48+U51+U54+U57</f>
        <v>3325057.92</v>
      </c>
      <c r="V59" s="89">
        <f>V14+V20+V23+V26+V34+V39+V42+V45+V48+V51+V54+V57</f>
        <v>403543.23</v>
      </c>
      <c r="W59" s="91">
        <f>SUM(G59:V59)</f>
        <v>9650773037.9999962</v>
      </c>
      <c r="X59" s="87" t="str">
        <f>IF(ABS(F59-W59)&lt;0.01,"ok","err")</f>
        <v>ok</v>
      </c>
      <c r="Y59" s="203" t="str">
        <f>IF(X59="err",W59-F59,"")</f>
        <v/>
      </c>
    </row>
    <row r="63" spans="1:25" ht="12" customHeight="1" x14ac:dyDescent="0.25">
      <c r="A63" s="22" t="s">
        <v>190</v>
      </c>
    </row>
    <row r="65" spans="1:25" ht="12" customHeight="1" x14ac:dyDescent="0.25">
      <c r="A65" s="23" t="s">
        <v>137</v>
      </c>
    </row>
    <row r="66" spans="1:25" ht="12" customHeight="1" x14ac:dyDescent="0.25">
      <c r="A66" s="96" t="s">
        <v>2270</v>
      </c>
      <c r="C66" s="86" t="s">
        <v>191</v>
      </c>
      <c r="D66" s="86" t="s">
        <v>212</v>
      </c>
      <c r="E66" s="86" t="s">
        <v>2374</v>
      </c>
      <c r="F66" s="89">
        <f>VLOOKUP(C66,'WSS-29'!$C$1:$AU$617,6,)</f>
        <v>3680027941.1597633</v>
      </c>
      <c r="G66" s="89">
        <f t="shared" ref="G66:V71" si="26">IF(VLOOKUP($E66,$D$5:$V$977,3,)=0,0,(VLOOKUP($E66,$D$5:$V$977,G$1,)/VLOOKUP($E66,$D$5:$V$977,3,))*$F66)</f>
        <v>1508811049.6705251</v>
      </c>
      <c r="H66" s="89">
        <f t="shared" si="26"/>
        <v>406389792.76630765</v>
      </c>
      <c r="I66" s="89">
        <f t="shared" si="26"/>
        <v>26076922.899702147</v>
      </c>
      <c r="J66" s="89">
        <f t="shared" si="26"/>
        <v>378974748.86388576</v>
      </c>
      <c r="K66" s="89">
        <f t="shared" si="26"/>
        <v>16464626.796297237</v>
      </c>
      <c r="L66" s="89">
        <f t="shared" si="26"/>
        <v>364470055.12368256</v>
      </c>
      <c r="M66" s="89">
        <f t="shared" si="26"/>
        <v>667202773.05463302</v>
      </c>
      <c r="N66" s="89">
        <f t="shared" si="26"/>
        <v>217184546.68549713</v>
      </c>
      <c r="O66" s="89">
        <f t="shared" si="26"/>
        <v>89935821.959867105</v>
      </c>
      <c r="P66" s="89">
        <f t="shared" si="26"/>
        <v>586206.89015156042</v>
      </c>
      <c r="Q66" s="89">
        <f t="shared" si="26"/>
        <v>21328.011082568217</v>
      </c>
      <c r="R66" s="89">
        <f t="shared" si="26"/>
        <v>348761.62185156241</v>
      </c>
      <c r="S66" s="89">
        <f t="shared" si="26"/>
        <v>44891.590888015533</v>
      </c>
      <c r="T66" s="89">
        <f t="shared" si="26"/>
        <v>3035.6353914191163</v>
      </c>
      <c r="U66" s="89">
        <f t="shared" si="26"/>
        <v>3141952.7900000005</v>
      </c>
      <c r="V66" s="89">
        <f t="shared" si="26"/>
        <v>371426.8</v>
      </c>
      <c r="W66" s="91">
        <f t="shared" ref="W66:W71" si="27">SUM(G66:V66)</f>
        <v>3680027941.1597624</v>
      </c>
      <c r="X66" s="87" t="str">
        <f t="shared" ref="X66:X71" si="28">IF(ABS(F66-W66)&lt;0.01,"ok","err")</f>
        <v>ok</v>
      </c>
      <c r="Y66" s="203" t="str">
        <f t="shared" ref="Y66:Y71" si="29">IF(X66="err",W66-F66,"")</f>
        <v/>
      </c>
    </row>
    <row r="67" spans="1:25" ht="12" hidden="1" customHeight="1" x14ac:dyDescent="0.25">
      <c r="A67" s="96" t="s">
        <v>2271</v>
      </c>
      <c r="C67" s="86" t="s">
        <v>191</v>
      </c>
      <c r="D67" s="86" t="s">
        <v>213</v>
      </c>
      <c r="E67" s="86" t="s">
        <v>2269</v>
      </c>
      <c r="F67" s="90">
        <f>VLOOKUP(C67,'WSS-29'!$C$1:$AU$617,7,)</f>
        <v>0</v>
      </c>
      <c r="G67" s="89">
        <f t="shared" si="26"/>
        <v>0</v>
      </c>
      <c r="H67" s="89">
        <f t="shared" si="26"/>
        <v>0</v>
      </c>
      <c r="I67" s="89">
        <f t="shared" si="26"/>
        <v>0</v>
      </c>
      <c r="J67" s="89">
        <f t="shared" si="26"/>
        <v>0</v>
      </c>
      <c r="K67" s="89">
        <f t="shared" si="26"/>
        <v>0</v>
      </c>
      <c r="L67" s="89">
        <f t="shared" si="26"/>
        <v>0</v>
      </c>
      <c r="M67" s="89">
        <f t="shared" si="26"/>
        <v>0</v>
      </c>
      <c r="N67" s="89">
        <f t="shared" si="26"/>
        <v>0</v>
      </c>
      <c r="O67" s="89">
        <f t="shared" si="26"/>
        <v>0</v>
      </c>
      <c r="P67" s="89">
        <f t="shared" si="26"/>
        <v>0</v>
      </c>
      <c r="Q67" s="89">
        <f t="shared" si="26"/>
        <v>0</v>
      </c>
      <c r="R67" s="89">
        <f t="shared" si="26"/>
        <v>0</v>
      </c>
      <c r="S67" s="89">
        <f t="shared" si="26"/>
        <v>0</v>
      </c>
      <c r="T67" s="89">
        <f t="shared" si="26"/>
        <v>0</v>
      </c>
      <c r="U67" s="89">
        <f t="shared" si="26"/>
        <v>0</v>
      </c>
      <c r="V67" s="89">
        <f t="shared" si="26"/>
        <v>0</v>
      </c>
      <c r="W67" s="91">
        <f t="shared" si="27"/>
        <v>0</v>
      </c>
      <c r="X67" s="87" t="str">
        <f t="shared" si="28"/>
        <v>ok</v>
      </c>
      <c r="Y67" s="203" t="str">
        <f t="shared" si="29"/>
        <v/>
      </c>
    </row>
    <row r="68" spans="1:25" ht="12" hidden="1" customHeight="1" x14ac:dyDescent="0.25">
      <c r="A68" s="96" t="s">
        <v>2271</v>
      </c>
      <c r="C68" s="86" t="s">
        <v>191</v>
      </c>
      <c r="D68" s="86" t="s">
        <v>214</v>
      </c>
      <c r="E68" s="86" t="s">
        <v>2269</v>
      </c>
      <c r="F68" s="90">
        <f>VLOOKUP(C68,'WSS-29'!$C$1:$AU$617,8,)</f>
        <v>0</v>
      </c>
      <c r="G68" s="89">
        <f t="shared" si="26"/>
        <v>0</v>
      </c>
      <c r="H68" s="89">
        <f t="shared" si="26"/>
        <v>0</v>
      </c>
      <c r="I68" s="89">
        <f t="shared" si="26"/>
        <v>0</v>
      </c>
      <c r="J68" s="89">
        <f t="shared" si="26"/>
        <v>0</v>
      </c>
      <c r="K68" s="89">
        <f t="shared" si="26"/>
        <v>0</v>
      </c>
      <c r="L68" s="89">
        <f t="shared" si="26"/>
        <v>0</v>
      </c>
      <c r="M68" s="89">
        <f t="shared" si="26"/>
        <v>0</v>
      </c>
      <c r="N68" s="89">
        <f t="shared" si="26"/>
        <v>0</v>
      </c>
      <c r="O68" s="89">
        <f t="shared" si="26"/>
        <v>0</v>
      </c>
      <c r="P68" s="89">
        <f t="shared" si="26"/>
        <v>0</v>
      </c>
      <c r="Q68" s="89">
        <f t="shared" si="26"/>
        <v>0</v>
      </c>
      <c r="R68" s="89">
        <f t="shared" si="26"/>
        <v>0</v>
      </c>
      <c r="S68" s="89">
        <f t="shared" si="26"/>
        <v>0</v>
      </c>
      <c r="T68" s="89">
        <f t="shared" si="26"/>
        <v>0</v>
      </c>
      <c r="U68" s="89">
        <f t="shared" si="26"/>
        <v>0</v>
      </c>
      <c r="V68" s="89">
        <f t="shared" si="26"/>
        <v>0</v>
      </c>
      <c r="W68" s="91">
        <f t="shared" si="27"/>
        <v>0</v>
      </c>
      <c r="X68" s="87" t="str">
        <f t="shared" si="28"/>
        <v>ok</v>
      </c>
      <c r="Y68" s="203" t="str">
        <f t="shared" si="29"/>
        <v/>
      </c>
    </row>
    <row r="69" spans="1:25" ht="12" customHeight="1" x14ac:dyDescent="0.25">
      <c r="A69" s="96" t="s">
        <v>2273</v>
      </c>
      <c r="C69" s="86" t="s">
        <v>191</v>
      </c>
      <c r="D69" s="86" t="s">
        <v>215</v>
      </c>
      <c r="E69" s="86" t="s">
        <v>390</v>
      </c>
      <c r="F69" s="90">
        <f>VLOOKUP(C69,'WSS-29'!$C$1:$AU$617,9,)</f>
        <v>0</v>
      </c>
      <c r="G69" s="89">
        <f t="shared" si="26"/>
        <v>0</v>
      </c>
      <c r="H69" s="89">
        <f t="shared" si="26"/>
        <v>0</v>
      </c>
      <c r="I69" s="89">
        <f t="shared" si="26"/>
        <v>0</v>
      </c>
      <c r="J69" s="89">
        <f t="shared" si="26"/>
        <v>0</v>
      </c>
      <c r="K69" s="89">
        <f t="shared" si="26"/>
        <v>0</v>
      </c>
      <c r="L69" s="89">
        <f t="shared" si="26"/>
        <v>0</v>
      </c>
      <c r="M69" s="89">
        <f t="shared" si="26"/>
        <v>0</v>
      </c>
      <c r="N69" s="89">
        <f t="shared" si="26"/>
        <v>0</v>
      </c>
      <c r="O69" s="89">
        <f t="shared" si="26"/>
        <v>0</v>
      </c>
      <c r="P69" s="89">
        <f t="shared" si="26"/>
        <v>0</v>
      </c>
      <c r="Q69" s="89">
        <f t="shared" si="26"/>
        <v>0</v>
      </c>
      <c r="R69" s="89">
        <f t="shared" si="26"/>
        <v>0</v>
      </c>
      <c r="S69" s="89">
        <f t="shared" si="26"/>
        <v>0</v>
      </c>
      <c r="T69" s="89">
        <f t="shared" si="26"/>
        <v>0</v>
      </c>
      <c r="U69" s="89">
        <f t="shared" si="26"/>
        <v>0</v>
      </c>
      <c r="V69" s="89">
        <f t="shared" si="26"/>
        <v>0</v>
      </c>
      <c r="W69" s="91">
        <f t="shared" si="27"/>
        <v>0</v>
      </c>
      <c r="X69" s="87" t="str">
        <f t="shared" si="28"/>
        <v>ok</v>
      </c>
      <c r="Y69" s="203" t="str">
        <f t="shared" si="29"/>
        <v/>
      </c>
    </row>
    <row r="70" spans="1:25" ht="12" hidden="1" customHeight="1" x14ac:dyDescent="0.25">
      <c r="A70" s="96" t="s">
        <v>2272</v>
      </c>
      <c r="C70" s="86" t="s">
        <v>191</v>
      </c>
      <c r="D70" s="86" t="s">
        <v>216</v>
      </c>
      <c r="E70" s="86" t="s">
        <v>390</v>
      </c>
      <c r="F70" s="90">
        <f>VLOOKUP(C70,'WSS-29'!$C$1:$AU$617,10,)</f>
        <v>0</v>
      </c>
      <c r="G70" s="89">
        <f t="shared" si="26"/>
        <v>0</v>
      </c>
      <c r="H70" s="89">
        <f t="shared" si="26"/>
        <v>0</v>
      </c>
      <c r="I70" s="89">
        <f t="shared" si="26"/>
        <v>0</v>
      </c>
      <c r="J70" s="89">
        <f t="shared" si="26"/>
        <v>0</v>
      </c>
      <c r="K70" s="89">
        <f t="shared" si="26"/>
        <v>0</v>
      </c>
      <c r="L70" s="89">
        <f t="shared" si="26"/>
        <v>0</v>
      </c>
      <c r="M70" s="89">
        <f t="shared" si="26"/>
        <v>0</v>
      </c>
      <c r="N70" s="89">
        <f t="shared" si="26"/>
        <v>0</v>
      </c>
      <c r="O70" s="89">
        <f t="shared" si="26"/>
        <v>0</v>
      </c>
      <c r="P70" s="89">
        <f t="shared" si="26"/>
        <v>0</v>
      </c>
      <c r="Q70" s="89">
        <f t="shared" si="26"/>
        <v>0</v>
      </c>
      <c r="R70" s="89">
        <f t="shared" si="26"/>
        <v>0</v>
      </c>
      <c r="S70" s="89">
        <f t="shared" si="26"/>
        <v>0</v>
      </c>
      <c r="T70" s="89">
        <f t="shared" si="26"/>
        <v>0</v>
      </c>
      <c r="U70" s="89">
        <f t="shared" si="26"/>
        <v>0</v>
      </c>
      <c r="V70" s="89">
        <f t="shared" si="26"/>
        <v>0</v>
      </c>
      <c r="W70" s="91">
        <f t="shared" si="27"/>
        <v>0</v>
      </c>
      <c r="X70" s="87" t="str">
        <f t="shared" si="28"/>
        <v>ok</v>
      </c>
      <c r="Y70" s="203" t="str">
        <f t="shared" si="29"/>
        <v/>
      </c>
    </row>
    <row r="71" spans="1:25" ht="12" hidden="1" customHeight="1" x14ac:dyDescent="0.25">
      <c r="A71" s="96" t="s">
        <v>2272</v>
      </c>
      <c r="C71" s="86" t="s">
        <v>191</v>
      </c>
      <c r="D71" s="86" t="s">
        <v>217</v>
      </c>
      <c r="E71" s="86" t="s">
        <v>390</v>
      </c>
      <c r="F71" s="90">
        <f>VLOOKUP(C71,'WSS-29'!$C$1:$AU$617,11,)</f>
        <v>0</v>
      </c>
      <c r="G71" s="89">
        <f t="shared" si="26"/>
        <v>0</v>
      </c>
      <c r="H71" s="89">
        <f t="shared" si="26"/>
        <v>0</v>
      </c>
      <c r="I71" s="89">
        <f t="shared" si="26"/>
        <v>0</v>
      </c>
      <c r="J71" s="89">
        <f t="shared" si="26"/>
        <v>0</v>
      </c>
      <c r="K71" s="89">
        <f t="shared" si="26"/>
        <v>0</v>
      </c>
      <c r="L71" s="89">
        <f t="shared" si="26"/>
        <v>0</v>
      </c>
      <c r="M71" s="89">
        <f t="shared" si="26"/>
        <v>0</v>
      </c>
      <c r="N71" s="89">
        <f t="shared" si="26"/>
        <v>0</v>
      </c>
      <c r="O71" s="89">
        <f t="shared" si="26"/>
        <v>0</v>
      </c>
      <c r="P71" s="89">
        <f t="shared" si="26"/>
        <v>0</v>
      </c>
      <c r="Q71" s="89">
        <f t="shared" si="26"/>
        <v>0</v>
      </c>
      <c r="R71" s="89">
        <f t="shared" si="26"/>
        <v>0</v>
      </c>
      <c r="S71" s="89">
        <f t="shared" si="26"/>
        <v>0</v>
      </c>
      <c r="T71" s="89">
        <f t="shared" si="26"/>
        <v>0</v>
      </c>
      <c r="U71" s="89">
        <f t="shared" si="26"/>
        <v>0</v>
      </c>
      <c r="V71" s="89">
        <f t="shared" si="26"/>
        <v>0</v>
      </c>
      <c r="W71" s="91">
        <f t="shared" si="27"/>
        <v>0</v>
      </c>
      <c r="X71" s="87" t="str">
        <f t="shared" si="28"/>
        <v>ok</v>
      </c>
      <c r="Y71" s="203" t="str">
        <f t="shared" si="29"/>
        <v/>
      </c>
    </row>
    <row r="72" spans="1:25" ht="12" customHeight="1" x14ac:dyDescent="0.25">
      <c r="A72" s="86" t="s">
        <v>160</v>
      </c>
      <c r="D72" s="86" t="s">
        <v>218</v>
      </c>
      <c r="F72" s="89">
        <f t="shared" ref="F72:T72" si="30">SUM(F66:F71)</f>
        <v>3680027941.1597633</v>
      </c>
      <c r="G72" s="89">
        <f t="shared" si="30"/>
        <v>1508811049.6705251</v>
      </c>
      <c r="H72" s="89">
        <f t="shared" si="30"/>
        <v>406389792.76630765</v>
      </c>
      <c r="I72" s="89">
        <f>SUM(I66:I71)</f>
        <v>26076922.899702147</v>
      </c>
      <c r="J72" s="89">
        <f>SUM(J66:J71)</f>
        <v>378974748.86388576</v>
      </c>
      <c r="K72" s="89">
        <f>SUM(K66:K71)</f>
        <v>16464626.796297237</v>
      </c>
      <c r="L72" s="89">
        <f t="shared" si="30"/>
        <v>364470055.12368256</v>
      </c>
      <c r="M72" s="89">
        <f t="shared" si="30"/>
        <v>667202773.05463302</v>
      </c>
      <c r="N72" s="89">
        <f t="shared" si="30"/>
        <v>217184546.68549713</v>
      </c>
      <c r="O72" s="89">
        <f t="shared" si="30"/>
        <v>89935821.959867105</v>
      </c>
      <c r="P72" s="89">
        <f>SUM(P66:P71)</f>
        <v>586206.89015156042</v>
      </c>
      <c r="Q72" s="89">
        <f t="shared" si="30"/>
        <v>21328.011082568217</v>
      </c>
      <c r="R72" s="89">
        <f t="shared" si="30"/>
        <v>348761.62185156241</v>
      </c>
      <c r="S72" s="89">
        <f t="shared" si="30"/>
        <v>44891.590888015533</v>
      </c>
      <c r="T72" s="89">
        <f t="shared" si="30"/>
        <v>3035.6353914191163</v>
      </c>
      <c r="U72" s="89">
        <f>SUM(U66:U71)</f>
        <v>3141952.7900000005</v>
      </c>
      <c r="V72" s="89">
        <f>SUM(V66:V71)</f>
        <v>371426.8</v>
      </c>
      <c r="W72" s="91">
        <f>SUM(G72:V72)</f>
        <v>3680027941.1597624</v>
      </c>
      <c r="X72" s="87" t="str">
        <f>IF(ABS(F72-W72)&lt;0.01,"ok","err")</f>
        <v>ok</v>
      </c>
      <c r="Y72" s="203" t="str">
        <f>IF(X72="err",W72-F72,"")</f>
        <v/>
      </c>
    </row>
    <row r="73" spans="1:25" ht="12" customHeight="1" x14ac:dyDescent="0.25">
      <c r="F73" s="90"/>
      <c r="G73" s="90"/>
    </row>
    <row r="74" spans="1:25" ht="12" customHeight="1" x14ac:dyDescent="0.25">
      <c r="A74" s="23" t="s">
        <v>441</v>
      </c>
      <c r="F74" s="90"/>
      <c r="G74" s="90"/>
    </row>
    <row r="75" spans="1:25" ht="12" customHeight="1" x14ac:dyDescent="0.25">
      <c r="A75" s="96" t="s">
        <v>2249</v>
      </c>
      <c r="C75" s="86" t="s">
        <v>191</v>
      </c>
      <c r="D75" s="86" t="s">
        <v>219</v>
      </c>
      <c r="E75" s="86" t="s">
        <v>2250</v>
      </c>
      <c r="F75" s="89">
        <f>VLOOKUP(C75,'WSS-29'!$C$1:$AU$617,13,)</f>
        <v>1036890044.1655744</v>
      </c>
      <c r="G75" s="89">
        <f t="shared" ref="G75:V77" si="31">IF(VLOOKUP($E75,$D$5:$V$977,3,)=0,0,(VLOOKUP($E75,$D$5:$V$977,G$1,)/VLOOKUP($E75,$D$5:$V$977,3,))*$F75)</f>
        <v>458457916.86893129</v>
      </c>
      <c r="H75" s="89">
        <f t="shared" si="31"/>
        <v>117676706.17514659</v>
      </c>
      <c r="I75" s="89">
        <f t="shared" si="31"/>
        <v>12043539.143968178</v>
      </c>
      <c r="J75" s="89">
        <f t="shared" si="31"/>
        <v>104977902.54821959</v>
      </c>
      <c r="K75" s="89">
        <f t="shared" si="31"/>
        <v>4510986.1572193308</v>
      </c>
      <c r="L75" s="89">
        <f t="shared" si="31"/>
        <v>92870261.484039769</v>
      </c>
      <c r="M75" s="89">
        <f t="shared" si="31"/>
        <v>151251744.95235503</v>
      </c>
      <c r="N75" s="89">
        <f t="shared" si="31"/>
        <v>52450835.359306768</v>
      </c>
      <c r="O75" s="89">
        <f t="shared" si="31"/>
        <v>35146082.846141212</v>
      </c>
      <c r="P75" s="89">
        <f t="shared" si="31"/>
        <v>7078807.7998906998</v>
      </c>
      <c r="Q75" s="89">
        <f t="shared" si="31"/>
        <v>257548.81722459043</v>
      </c>
      <c r="R75" s="89">
        <f t="shared" si="31"/>
        <v>69389.941950122578</v>
      </c>
      <c r="S75" s="89">
        <f t="shared" si="31"/>
        <v>97712.349155156669</v>
      </c>
      <c r="T75" s="89">
        <f t="shared" si="31"/>
        <v>609.72202602378627</v>
      </c>
      <c r="U75" s="89">
        <f t="shared" si="31"/>
        <v>0</v>
      </c>
      <c r="V75" s="89">
        <f t="shared" si="31"/>
        <v>0</v>
      </c>
      <c r="W75" s="91">
        <f>SUM(G75:V75)</f>
        <v>1036890044.1655744</v>
      </c>
      <c r="X75" s="87" t="str">
        <f>IF(ABS(F75-W75)&lt;0.01,"ok","err")</f>
        <v>ok</v>
      </c>
      <c r="Y75" s="203" t="str">
        <f>IF(X75="err",W75-F75,"")</f>
        <v/>
      </c>
    </row>
    <row r="76" spans="1:25" ht="12" hidden="1" customHeight="1" x14ac:dyDescent="0.25">
      <c r="A76" s="96" t="s">
        <v>2248</v>
      </c>
      <c r="C76" s="86" t="s">
        <v>191</v>
      </c>
      <c r="D76" s="86" t="s">
        <v>220</v>
      </c>
      <c r="E76" s="86" t="s">
        <v>2250</v>
      </c>
      <c r="F76" s="90">
        <f>VLOOKUP(C76,'WSS-29'!$C$1:$AU$617,14,)</f>
        <v>0</v>
      </c>
      <c r="G76" s="89">
        <f t="shared" si="31"/>
        <v>0</v>
      </c>
      <c r="H76" s="89">
        <f t="shared" si="31"/>
        <v>0</v>
      </c>
      <c r="I76" s="89">
        <f t="shared" si="31"/>
        <v>0</v>
      </c>
      <c r="J76" s="89">
        <f t="shared" si="31"/>
        <v>0</v>
      </c>
      <c r="K76" s="89">
        <f t="shared" si="31"/>
        <v>0</v>
      </c>
      <c r="L76" s="89">
        <f t="shared" si="31"/>
        <v>0</v>
      </c>
      <c r="M76" s="89">
        <f t="shared" si="31"/>
        <v>0</v>
      </c>
      <c r="N76" s="89">
        <f t="shared" si="31"/>
        <v>0</v>
      </c>
      <c r="O76" s="89">
        <f t="shared" si="31"/>
        <v>0</v>
      </c>
      <c r="P76" s="89">
        <f t="shared" si="31"/>
        <v>0</v>
      </c>
      <c r="Q76" s="89">
        <f t="shared" si="31"/>
        <v>0</v>
      </c>
      <c r="R76" s="89">
        <f t="shared" si="31"/>
        <v>0</v>
      </c>
      <c r="S76" s="89">
        <f t="shared" si="31"/>
        <v>0</v>
      </c>
      <c r="T76" s="89">
        <f t="shared" si="31"/>
        <v>0</v>
      </c>
      <c r="U76" s="89">
        <f t="shared" si="31"/>
        <v>0</v>
      </c>
      <c r="V76" s="89">
        <f t="shared" si="31"/>
        <v>0</v>
      </c>
      <c r="W76" s="91">
        <f>SUM(G76:V76)</f>
        <v>0</v>
      </c>
      <c r="X76" s="87" t="str">
        <f>IF(ABS(F76-W76)&lt;0.01,"ok","err")</f>
        <v>ok</v>
      </c>
      <c r="Y76" s="203" t="str">
        <f>IF(X76="err",W76-F76,"")</f>
        <v/>
      </c>
    </row>
    <row r="77" spans="1:25" ht="12" hidden="1" customHeight="1" x14ac:dyDescent="0.25">
      <c r="A77" s="96" t="s">
        <v>2248</v>
      </c>
      <c r="C77" s="86" t="s">
        <v>191</v>
      </c>
      <c r="D77" s="86" t="s">
        <v>221</v>
      </c>
      <c r="E77" s="86" t="s">
        <v>2250</v>
      </c>
      <c r="F77" s="90">
        <f>VLOOKUP(C77,'WSS-29'!$C$1:$AU$617,15,)</f>
        <v>0</v>
      </c>
      <c r="G77" s="89">
        <f t="shared" si="31"/>
        <v>0</v>
      </c>
      <c r="H77" s="89">
        <f t="shared" si="31"/>
        <v>0</v>
      </c>
      <c r="I77" s="89">
        <f t="shared" si="31"/>
        <v>0</v>
      </c>
      <c r="J77" s="89">
        <f t="shared" si="31"/>
        <v>0</v>
      </c>
      <c r="K77" s="89">
        <f t="shared" si="31"/>
        <v>0</v>
      </c>
      <c r="L77" s="89">
        <f t="shared" si="31"/>
        <v>0</v>
      </c>
      <c r="M77" s="89">
        <f t="shared" si="31"/>
        <v>0</v>
      </c>
      <c r="N77" s="89">
        <f t="shared" si="31"/>
        <v>0</v>
      </c>
      <c r="O77" s="89">
        <f t="shared" si="31"/>
        <v>0</v>
      </c>
      <c r="P77" s="89">
        <f t="shared" si="31"/>
        <v>0</v>
      </c>
      <c r="Q77" s="89">
        <f t="shared" si="31"/>
        <v>0</v>
      </c>
      <c r="R77" s="89">
        <f t="shared" si="31"/>
        <v>0</v>
      </c>
      <c r="S77" s="89">
        <f t="shared" si="31"/>
        <v>0</v>
      </c>
      <c r="T77" s="89">
        <f t="shared" si="31"/>
        <v>0</v>
      </c>
      <c r="U77" s="89">
        <f t="shared" si="31"/>
        <v>0</v>
      </c>
      <c r="V77" s="89">
        <f t="shared" si="31"/>
        <v>0</v>
      </c>
      <c r="W77" s="91">
        <f>SUM(G77:V77)</f>
        <v>0</v>
      </c>
      <c r="X77" s="87" t="str">
        <f>IF(ABS(F77-W77)&lt;0.01,"ok","err")</f>
        <v>ok</v>
      </c>
      <c r="Y77" s="203" t="str">
        <f>IF(X77="err",W77-F77,"")</f>
        <v/>
      </c>
    </row>
    <row r="78" spans="1:25" ht="12" hidden="1" customHeight="1" x14ac:dyDescent="0.25">
      <c r="A78" s="86" t="s">
        <v>443</v>
      </c>
      <c r="D78" s="86" t="s">
        <v>222</v>
      </c>
      <c r="F78" s="89">
        <f t="shared" ref="F78:T78" si="32">SUM(F75:F77)</f>
        <v>1036890044.1655744</v>
      </c>
      <c r="G78" s="89">
        <f t="shared" si="32"/>
        <v>458457916.86893129</v>
      </c>
      <c r="H78" s="89">
        <f t="shared" si="32"/>
        <v>117676706.17514659</v>
      </c>
      <c r="I78" s="89">
        <f>SUM(I75:I77)</f>
        <v>12043539.143968178</v>
      </c>
      <c r="J78" s="89">
        <f>SUM(J75:J77)</f>
        <v>104977902.54821959</v>
      </c>
      <c r="K78" s="89">
        <f>SUM(K75:K77)</f>
        <v>4510986.1572193308</v>
      </c>
      <c r="L78" s="89">
        <f t="shared" si="32"/>
        <v>92870261.484039769</v>
      </c>
      <c r="M78" s="89">
        <f t="shared" si="32"/>
        <v>151251744.95235503</v>
      </c>
      <c r="N78" s="89">
        <f t="shared" si="32"/>
        <v>52450835.359306768</v>
      </c>
      <c r="O78" s="89">
        <f t="shared" si="32"/>
        <v>35146082.846141212</v>
      </c>
      <c r="P78" s="89">
        <f>SUM(P75:P77)</f>
        <v>7078807.7998906998</v>
      </c>
      <c r="Q78" s="89">
        <f t="shared" si="32"/>
        <v>257548.81722459043</v>
      </c>
      <c r="R78" s="89">
        <f t="shared" si="32"/>
        <v>69389.941950122578</v>
      </c>
      <c r="S78" s="89">
        <f t="shared" si="32"/>
        <v>97712.349155156669</v>
      </c>
      <c r="T78" s="89">
        <f t="shared" si="32"/>
        <v>609.72202602378627</v>
      </c>
      <c r="U78" s="89">
        <f>SUM(U75:U77)</f>
        <v>0</v>
      </c>
      <c r="V78" s="89">
        <f>SUM(V75:V77)</f>
        <v>0</v>
      </c>
      <c r="W78" s="91">
        <f>SUM(G78:V78)</f>
        <v>1036890044.1655744</v>
      </c>
      <c r="X78" s="87" t="str">
        <f>IF(ABS(F78-W78)&lt;0.01,"ok","err")</f>
        <v>ok</v>
      </c>
      <c r="Y78" s="203" t="str">
        <f>IF(X78="err",W78-F78,"")</f>
        <v/>
      </c>
    </row>
    <row r="79" spans="1:25" ht="12" customHeight="1" x14ac:dyDescent="0.25">
      <c r="F79" s="90"/>
      <c r="G79" s="90"/>
    </row>
    <row r="80" spans="1:25" ht="12" customHeight="1" x14ac:dyDescent="0.25">
      <c r="A80" s="23" t="s">
        <v>1628</v>
      </c>
      <c r="F80" s="90"/>
      <c r="G80" s="90"/>
    </row>
    <row r="81" spans="1:25" ht="12" customHeight="1" x14ac:dyDescent="0.25">
      <c r="A81" s="96" t="s">
        <v>145</v>
      </c>
      <c r="C81" s="86" t="s">
        <v>191</v>
      </c>
      <c r="D81" s="86" t="s">
        <v>223</v>
      </c>
      <c r="E81" s="86" t="s">
        <v>2254</v>
      </c>
      <c r="F81" s="89">
        <f>VLOOKUP(C81,'WSS-29'!$C$1:$AU$617,17,)</f>
        <v>0</v>
      </c>
      <c r="G81" s="89">
        <f t="shared" ref="G81:V81" si="33">IF(VLOOKUP($E81,$D$5:$V$977,3,)=0,0,(VLOOKUP($E81,$D$5:$V$977,G$1,)/VLOOKUP($E81,$D$5:$V$977,3,))*$F81)</f>
        <v>0</v>
      </c>
      <c r="H81" s="89">
        <f t="shared" si="33"/>
        <v>0</v>
      </c>
      <c r="I81" s="89">
        <f t="shared" si="33"/>
        <v>0</v>
      </c>
      <c r="J81" s="89">
        <f t="shared" si="33"/>
        <v>0</v>
      </c>
      <c r="K81" s="89">
        <f t="shared" si="33"/>
        <v>0</v>
      </c>
      <c r="L81" s="89">
        <f t="shared" si="33"/>
        <v>0</v>
      </c>
      <c r="M81" s="89">
        <f t="shared" si="33"/>
        <v>0</v>
      </c>
      <c r="N81" s="89">
        <f t="shared" si="33"/>
        <v>0</v>
      </c>
      <c r="O81" s="89">
        <f t="shared" si="33"/>
        <v>0</v>
      </c>
      <c r="P81" s="89">
        <f t="shared" si="33"/>
        <v>0</v>
      </c>
      <c r="Q81" s="89">
        <f t="shared" si="33"/>
        <v>0</v>
      </c>
      <c r="R81" s="89">
        <f t="shared" si="33"/>
        <v>0</v>
      </c>
      <c r="S81" s="89">
        <f t="shared" si="33"/>
        <v>0</v>
      </c>
      <c r="T81" s="89">
        <f t="shared" si="33"/>
        <v>0</v>
      </c>
      <c r="U81" s="89">
        <f t="shared" si="33"/>
        <v>0</v>
      </c>
      <c r="V81" s="89">
        <f t="shared" si="33"/>
        <v>0</v>
      </c>
      <c r="W81" s="91">
        <f>SUM(G81:V81)</f>
        <v>0</v>
      </c>
      <c r="X81" s="87" t="str">
        <f>IF(ABS(F81-W81)&lt;0.01,"ok","err")</f>
        <v>ok</v>
      </c>
      <c r="Y81" s="203" t="str">
        <f>IF(X81="err",W81-F81,"")</f>
        <v/>
      </c>
    </row>
    <row r="82" spans="1:25" ht="12" customHeight="1" x14ac:dyDescent="0.25">
      <c r="F82" s="90"/>
    </row>
    <row r="83" spans="1:25" ht="12" customHeight="1" x14ac:dyDescent="0.25">
      <c r="A83" s="23" t="s">
        <v>1629</v>
      </c>
      <c r="F83" s="90"/>
      <c r="G83" s="90"/>
    </row>
    <row r="84" spans="1:25" ht="12" customHeight="1" x14ac:dyDescent="0.25">
      <c r="A84" s="96" t="s">
        <v>147</v>
      </c>
      <c r="C84" s="86" t="s">
        <v>191</v>
      </c>
      <c r="D84" s="86" t="s">
        <v>224</v>
      </c>
      <c r="E84" s="86" t="s">
        <v>2254</v>
      </c>
      <c r="F84" s="89">
        <f>VLOOKUP(C84,'WSS-29'!$C$1:$AU$617,18,)</f>
        <v>246738026.82718259</v>
      </c>
      <c r="G84" s="89">
        <f t="shared" ref="G84:V84" si="34">IF(VLOOKUP($E84,$D$5:$V$977,3,)=0,0,(VLOOKUP($E84,$D$5:$V$977,G$1,)/VLOOKUP($E84,$D$5:$V$977,3,))*$F84)</f>
        <v>119161298.75809507</v>
      </c>
      <c r="H84" s="89">
        <f t="shared" si="34"/>
        <v>30586251.486663964</v>
      </c>
      <c r="I84" s="89">
        <f t="shared" si="34"/>
        <v>3130328.2443904066</v>
      </c>
      <c r="J84" s="89">
        <f t="shared" si="34"/>
        <v>27285608.445764657</v>
      </c>
      <c r="K84" s="89">
        <f t="shared" si="34"/>
        <v>1172484.8658851276</v>
      </c>
      <c r="L84" s="89">
        <f t="shared" si="34"/>
        <v>24138618.981697921</v>
      </c>
      <c r="M84" s="89">
        <f t="shared" si="34"/>
        <v>39312996.252834864</v>
      </c>
      <c r="N84" s="89">
        <f t="shared" si="34"/>
        <v>0</v>
      </c>
      <c r="O84" s="89">
        <f t="shared" si="34"/>
        <v>0</v>
      </c>
      <c r="P84" s="89">
        <f t="shared" si="34"/>
        <v>1839907.0013989166</v>
      </c>
      <c r="Q84" s="89">
        <f t="shared" si="34"/>
        <v>66941.4801770505</v>
      </c>
      <c r="R84" s="89">
        <f t="shared" si="34"/>
        <v>18035.669794942904</v>
      </c>
      <c r="S84" s="89">
        <f t="shared" si="34"/>
        <v>25397.162970929116</v>
      </c>
      <c r="T84" s="89">
        <f t="shared" si="34"/>
        <v>158.4775086852363</v>
      </c>
      <c r="U84" s="89">
        <f t="shared" si="34"/>
        <v>0</v>
      </c>
      <c r="V84" s="89">
        <f t="shared" si="34"/>
        <v>0</v>
      </c>
      <c r="W84" s="91">
        <f>SUM(G84:V84)</f>
        <v>246738026.82718253</v>
      </c>
      <c r="X84" s="87" t="str">
        <f>IF(ABS(F84-W84)&lt;0.01,"ok","err")</f>
        <v>ok</v>
      </c>
      <c r="Y84" s="203" t="str">
        <f>IF(X84="err",W84-F84,"")</f>
        <v/>
      </c>
    </row>
    <row r="85" spans="1:25" ht="12" customHeight="1" x14ac:dyDescent="0.25">
      <c r="F85" s="90"/>
    </row>
    <row r="86" spans="1:25" ht="12" customHeight="1" x14ac:dyDescent="0.25">
      <c r="A86" s="23" t="s">
        <v>146</v>
      </c>
      <c r="F86" s="90"/>
    </row>
    <row r="87" spans="1:25" ht="12" customHeight="1" x14ac:dyDescent="0.25">
      <c r="A87" s="96" t="s">
        <v>792</v>
      </c>
      <c r="C87" s="86" t="s">
        <v>191</v>
      </c>
      <c r="D87" s="86" t="s">
        <v>225</v>
      </c>
      <c r="E87" s="86" t="s">
        <v>2254</v>
      </c>
      <c r="F87" s="89">
        <f>VLOOKUP(C87,'WSS-29'!$C$1:$AU$617,19,)</f>
        <v>0</v>
      </c>
      <c r="G87" s="89">
        <f t="shared" ref="G87:V91" si="35">IF(VLOOKUP($E87,$D$5:$V$977,3,)=0,0,(VLOOKUP($E87,$D$5:$V$977,G$1,)/VLOOKUP($E87,$D$5:$V$977,3,))*$F87)</f>
        <v>0</v>
      </c>
      <c r="H87" s="89">
        <f t="shared" si="35"/>
        <v>0</v>
      </c>
      <c r="I87" s="89">
        <f t="shared" si="35"/>
        <v>0</v>
      </c>
      <c r="J87" s="89">
        <f t="shared" si="35"/>
        <v>0</v>
      </c>
      <c r="K87" s="89">
        <f t="shared" si="35"/>
        <v>0</v>
      </c>
      <c r="L87" s="89">
        <f t="shared" si="35"/>
        <v>0</v>
      </c>
      <c r="M87" s="89">
        <f t="shared" si="35"/>
        <v>0</v>
      </c>
      <c r="N87" s="89">
        <f t="shared" si="35"/>
        <v>0</v>
      </c>
      <c r="O87" s="89">
        <f t="shared" si="35"/>
        <v>0</v>
      </c>
      <c r="P87" s="89">
        <f t="shared" si="35"/>
        <v>0</v>
      </c>
      <c r="Q87" s="89">
        <f t="shared" si="35"/>
        <v>0</v>
      </c>
      <c r="R87" s="89">
        <f t="shared" si="35"/>
        <v>0</v>
      </c>
      <c r="S87" s="89">
        <f t="shared" si="35"/>
        <v>0</v>
      </c>
      <c r="T87" s="89">
        <f t="shared" si="35"/>
        <v>0</v>
      </c>
      <c r="U87" s="89">
        <f t="shared" si="35"/>
        <v>0</v>
      </c>
      <c r="V87" s="89">
        <f t="shared" si="35"/>
        <v>0</v>
      </c>
      <c r="W87" s="91">
        <f t="shared" ref="W87:W92" si="36">SUM(G87:V87)</f>
        <v>0</v>
      </c>
      <c r="X87" s="87" t="str">
        <f t="shared" ref="X87:X92" si="37">IF(ABS(F87-W87)&lt;0.01,"ok","err")</f>
        <v>ok</v>
      </c>
      <c r="Y87" s="203" t="str">
        <f t="shared" ref="Y87:Y92" si="38">IF(X87="err",W87-F87,"")</f>
        <v/>
      </c>
    </row>
    <row r="88" spans="1:25" ht="12" customHeight="1" x14ac:dyDescent="0.25">
      <c r="A88" s="96" t="s">
        <v>793</v>
      </c>
      <c r="C88" s="86" t="s">
        <v>191</v>
      </c>
      <c r="D88" s="86" t="s">
        <v>226</v>
      </c>
      <c r="E88" s="86" t="s">
        <v>2254</v>
      </c>
      <c r="F88" s="90">
        <f>VLOOKUP(C88,'WSS-29'!$C$1:$AU$617,20,)</f>
        <v>196243910.46797469</v>
      </c>
      <c r="G88" s="89">
        <f t="shared" si="35"/>
        <v>94775335.3848048</v>
      </c>
      <c r="H88" s="89">
        <f t="shared" si="35"/>
        <v>24326876.872140784</v>
      </c>
      <c r="I88" s="89">
        <f t="shared" si="35"/>
        <v>2489716.9829350617</v>
      </c>
      <c r="J88" s="89">
        <f t="shared" si="35"/>
        <v>21701699.449210901</v>
      </c>
      <c r="K88" s="89">
        <f t="shared" si="35"/>
        <v>932539.73862316494</v>
      </c>
      <c r="L88" s="89">
        <f t="shared" si="35"/>
        <v>19198730.909778878</v>
      </c>
      <c r="M88" s="89">
        <f t="shared" si="35"/>
        <v>31267722.353444759</v>
      </c>
      <c r="N88" s="89">
        <f t="shared" si="35"/>
        <v>0</v>
      </c>
      <c r="O88" s="89">
        <f t="shared" si="35"/>
        <v>0</v>
      </c>
      <c r="P88" s="89">
        <f t="shared" si="35"/>
        <v>1463376.1544377822</v>
      </c>
      <c r="Q88" s="89">
        <f t="shared" si="35"/>
        <v>53242.128955096043</v>
      </c>
      <c r="R88" s="89">
        <f t="shared" si="35"/>
        <v>14344.729971224702</v>
      </c>
      <c r="S88" s="89">
        <f t="shared" si="35"/>
        <v>20199.718058450871</v>
      </c>
      <c r="T88" s="89">
        <f t="shared" si="35"/>
        <v>126.04561374480016</v>
      </c>
      <c r="U88" s="89">
        <f t="shared" si="35"/>
        <v>0</v>
      </c>
      <c r="V88" s="89">
        <f t="shared" si="35"/>
        <v>0</v>
      </c>
      <c r="W88" s="91">
        <f t="shared" si="36"/>
        <v>196243910.46797463</v>
      </c>
      <c r="X88" s="87" t="str">
        <f t="shared" si="37"/>
        <v>ok</v>
      </c>
      <c r="Y88" s="203" t="str">
        <f t="shared" si="38"/>
        <v/>
      </c>
    </row>
    <row r="89" spans="1:25" ht="12" customHeight="1" x14ac:dyDescent="0.25">
      <c r="A89" s="96" t="s">
        <v>794</v>
      </c>
      <c r="C89" s="86" t="s">
        <v>191</v>
      </c>
      <c r="D89" s="86" t="s">
        <v>227</v>
      </c>
      <c r="E89" s="86" t="s">
        <v>2448</v>
      </c>
      <c r="F89" s="90">
        <f>VLOOKUP(C89,'WSS-29'!$C$1:$AU$617,21,)</f>
        <v>381452075.25920105</v>
      </c>
      <c r="G89" s="89">
        <f t="shared" si="35"/>
        <v>306439390.22007763</v>
      </c>
      <c r="H89" s="89">
        <f t="shared" si="35"/>
        <v>57330578.767447487</v>
      </c>
      <c r="I89" s="89">
        <f t="shared" si="35"/>
        <v>293780.49936308799</v>
      </c>
      <c r="J89" s="89">
        <f t="shared" si="35"/>
        <v>3077766.4579500868</v>
      </c>
      <c r="K89" s="89">
        <f t="shared" si="35"/>
        <v>141347.22139167442</v>
      </c>
      <c r="L89" s="89">
        <f t="shared" si="35"/>
        <v>530052.08021877904</v>
      </c>
      <c r="M89" s="89">
        <f t="shared" si="35"/>
        <v>177376.90527582672</v>
      </c>
      <c r="N89" s="89">
        <f t="shared" si="35"/>
        <v>0</v>
      </c>
      <c r="O89" s="89">
        <f t="shared" si="35"/>
        <v>0</v>
      </c>
      <c r="P89" s="89">
        <f t="shared" si="35"/>
        <v>13341222.242171803</v>
      </c>
      <c r="Q89" s="89">
        <f t="shared" si="35"/>
        <v>8314.5424348043762</v>
      </c>
      <c r="R89" s="89">
        <f t="shared" si="35"/>
        <v>102546.02336258731</v>
      </c>
      <c r="S89" s="89">
        <f t="shared" si="35"/>
        <v>2771.5141449347925</v>
      </c>
      <c r="T89" s="89">
        <f t="shared" si="35"/>
        <v>6928.7853623369801</v>
      </c>
      <c r="U89" s="89">
        <f t="shared" si="35"/>
        <v>0</v>
      </c>
      <c r="V89" s="89">
        <f t="shared" si="35"/>
        <v>0</v>
      </c>
      <c r="W89" s="91">
        <f t="shared" si="36"/>
        <v>381452075.25920111</v>
      </c>
      <c r="X89" s="87" t="str">
        <f t="shared" si="37"/>
        <v>ok</v>
      </c>
      <c r="Y89" s="203" t="str">
        <f t="shared" si="38"/>
        <v/>
      </c>
    </row>
    <row r="90" spans="1:25" ht="12" customHeight="1" x14ac:dyDescent="0.25">
      <c r="A90" s="96" t="s">
        <v>795</v>
      </c>
      <c r="C90" s="86" t="s">
        <v>191</v>
      </c>
      <c r="D90" s="86" t="s">
        <v>228</v>
      </c>
      <c r="E90" s="86" t="s">
        <v>734</v>
      </c>
      <c r="F90" s="90">
        <f>VLOOKUP(C90,'WSS-29'!$C$1:$AU$617,22,)</f>
        <v>88346006.220280528</v>
      </c>
      <c r="G90" s="89">
        <f t="shared" si="35"/>
        <v>73174613.583450049</v>
      </c>
      <c r="H90" s="89">
        <f t="shared" si="35"/>
        <v>13649916.523228444</v>
      </c>
      <c r="I90" s="89">
        <f t="shared" si="35"/>
        <v>989417.95766387216</v>
      </c>
      <c r="J90" s="89">
        <f t="shared" si="35"/>
        <v>0</v>
      </c>
      <c r="K90" s="89">
        <f t="shared" si="35"/>
        <v>0</v>
      </c>
      <c r="L90" s="89">
        <f t="shared" si="35"/>
        <v>0</v>
      </c>
      <c r="M90" s="89">
        <f t="shared" si="35"/>
        <v>0</v>
      </c>
      <c r="N90" s="89">
        <f t="shared" si="35"/>
        <v>0</v>
      </c>
      <c r="O90" s="89">
        <f t="shared" si="35"/>
        <v>0</v>
      </c>
      <c r="P90" s="89">
        <f t="shared" si="35"/>
        <v>508527.71340019512</v>
      </c>
      <c r="Q90" s="89">
        <f t="shared" si="35"/>
        <v>18501.803526035557</v>
      </c>
      <c r="R90" s="89">
        <f t="shared" si="35"/>
        <v>4984.8377735885069</v>
      </c>
      <c r="S90" s="89">
        <f t="shared" si="35"/>
        <v>0</v>
      </c>
      <c r="T90" s="89">
        <f t="shared" si="35"/>
        <v>43.801238353780114</v>
      </c>
      <c r="U90" s="89">
        <f t="shared" si="35"/>
        <v>0</v>
      </c>
      <c r="V90" s="89">
        <f t="shared" si="35"/>
        <v>0</v>
      </c>
      <c r="W90" s="91">
        <f t="shared" si="36"/>
        <v>88346006.220280543</v>
      </c>
      <c r="X90" s="87" t="str">
        <f t="shared" si="37"/>
        <v>ok</v>
      </c>
      <c r="Y90" s="203" t="str">
        <f t="shared" si="38"/>
        <v/>
      </c>
    </row>
    <row r="91" spans="1:25" ht="12" customHeight="1" x14ac:dyDescent="0.25">
      <c r="A91" s="96" t="s">
        <v>796</v>
      </c>
      <c r="C91" s="86" t="s">
        <v>191</v>
      </c>
      <c r="D91" s="86" t="s">
        <v>229</v>
      </c>
      <c r="E91" s="86" t="s">
        <v>2447</v>
      </c>
      <c r="F91" s="90">
        <f>VLOOKUP(C91,'WSS-29'!$C$1:$AU$617,23,)</f>
        <v>178348643.68247896</v>
      </c>
      <c r="G91" s="89">
        <f t="shared" si="35"/>
        <v>144764904.81078658</v>
      </c>
      <c r="H91" s="89">
        <f t="shared" si="35"/>
        <v>27083514.857722305</v>
      </c>
      <c r="I91" s="89">
        <f t="shared" si="35"/>
        <v>138784.72344896445</v>
      </c>
      <c r="J91" s="89">
        <f t="shared" si="35"/>
        <v>0</v>
      </c>
      <c r="K91" s="89">
        <f t="shared" si="35"/>
        <v>0</v>
      </c>
      <c r="L91" s="89">
        <f t="shared" si="35"/>
        <v>0</v>
      </c>
      <c r="M91" s="89">
        <f t="shared" si="35"/>
        <v>0</v>
      </c>
      <c r="N91" s="89">
        <f t="shared" si="35"/>
        <v>0</v>
      </c>
      <c r="O91" s="89">
        <f t="shared" si="35"/>
        <v>0</v>
      </c>
      <c r="P91" s="89">
        <f t="shared" si="35"/>
        <v>6302521.2475475352</v>
      </c>
      <c r="Q91" s="89">
        <f t="shared" si="35"/>
        <v>3927.8695315744653</v>
      </c>
      <c r="R91" s="89">
        <f t="shared" si="35"/>
        <v>48443.724222751742</v>
      </c>
      <c r="S91" s="89">
        <f t="shared" si="35"/>
        <v>0</v>
      </c>
      <c r="T91" s="89">
        <f t="shared" si="35"/>
        <v>6546.4492192907746</v>
      </c>
      <c r="U91" s="89">
        <f t="shared" si="35"/>
        <v>0</v>
      </c>
      <c r="V91" s="89">
        <f t="shared" si="35"/>
        <v>0</v>
      </c>
      <c r="W91" s="91">
        <f t="shared" si="36"/>
        <v>178348643.68247899</v>
      </c>
      <c r="X91" s="87" t="str">
        <f t="shared" si="37"/>
        <v>ok</v>
      </c>
      <c r="Y91" s="203" t="str">
        <f t="shared" si="38"/>
        <v/>
      </c>
    </row>
    <row r="92" spans="1:25" ht="12" customHeight="1" x14ac:dyDescent="0.25">
      <c r="A92" s="86" t="s">
        <v>151</v>
      </c>
      <c r="D92" s="86" t="s">
        <v>230</v>
      </c>
      <c r="F92" s="89">
        <f>SUM(F87:F91)</f>
        <v>844390635.62993526</v>
      </c>
      <c r="G92" s="89">
        <f t="shared" ref="G92:T92" si="39">SUM(G87:G91)</f>
        <v>619154243.99911904</v>
      </c>
      <c r="H92" s="89">
        <f t="shared" si="39"/>
        <v>122390887.02053902</v>
      </c>
      <c r="I92" s="89">
        <f>SUM(I87:I91)</f>
        <v>3911700.1634109863</v>
      </c>
      <c r="J92" s="89">
        <f>SUM(J87:J91)</f>
        <v>24779465.907160986</v>
      </c>
      <c r="K92" s="89">
        <f>SUM(K87:K91)</f>
        <v>1073886.9600148394</v>
      </c>
      <c r="L92" s="89">
        <f t="shared" si="39"/>
        <v>19728782.989997659</v>
      </c>
      <c r="M92" s="89">
        <f t="shared" si="39"/>
        <v>31445099.258720584</v>
      </c>
      <c r="N92" s="89">
        <f t="shared" si="39"/>
        <v>0</v>
      </c>
      <c r="O92" s="89">
        <f t="shared" si="39"/>
        <v>0</v>
      </c>
      <c r="P92" s="89">
        <f>SUM(P87:P91)</f>
        <v>21615647.357557315</v>
      </c>
      <c r="Q92" s="89">
        <f t="shared" si="39"/>
        <v>83986.344447510448</v>
      </c>
      <c r="R92" s="89">
        <f t="shared" si="39"/>
        <v>170319.31533015225</v>
      </c>
      <c r="S92" s="89">
        <f t="shared" si="39"/>
        <v>22971.232203385665</v>
      </c>
      <c r="T92" s="89">
        <f t="shared" si="39"/>
        <v>13645.081433726335</v>
      </c>
      <c r="U92" s="89">
        <f>SUM(U87:U91)</f>
        <v>0</v>
      </c>
      <c r="V92" s="89">
        <f>SUM(V87:V91)</f>
        <v>0</v>
      </c>
      <c r="W92" s="91">
        <f t="shared" si="36"/>
        <v>844390635.62993526</v>
      </c>
      <c r="X92" s="87" t="str">
        <f t="shared" si="37"/>
        <v>ok</v>
      </c>
      <c r="Y92" s="91" t="str">
        <f t="shared" si="38"/>
        <v/>
      </c>
    </row>
    <row r="93" spans="1:25" ht="12" customHeight="1" x14ac:dyDescent="0.25">
      <c r="F93" s="90"/>
    </row>
    <row r="94" spans="1:25" ht="12" customHeight="1" x14ac:dyDescent="0.25">
      <c r="A94" s="23" t="s">
        <v>791</v>
      </c>
      <c r="F94" s="90"/>
    </row>
    <row r="95" spans="1:25" ht="12" customHeight="1" x14ac:dyDescent="0.25">
      <c r="A95" s="96" t="s">
        <v>389</v>
      </c>
      <c r="C95" s="86" t="s">
        <v>191</v>
      </c>
      <c r="D95" s="86" t="s">
        <v>231</v>
      </c>
      <c r="E95" s="86" t="s">
        <v>2179</v>
      </c>
      <c r="F95" s="89">
        <f>VLOOKUP(C95,'WSS-29'!$C$1:$AU$617,24,)</f>
        <v>128785003.65333001</v>
      </c>
      <c r="G95" s="89">
        <f t="shared" ref="G95:V96" si="40">IF(VLOOKUP($E95,$D$5:$V$977,3,)=0,0,(VLOOKUP($E95,$D$5:$V$977,G$1,)/VLOOKUP($E95,$D$5:$V$977,3,))*$F95)</f>
        <v>88031878.053631768</v>
      </c>
      <c r="H95" s="89">
        <f t="shared" si="40"/>
        <v>16421375.22796393</v>
      </c>
      <c r="I95" s="89">
        <f t="shared" si="40"/>
        <v>1190307.9049923255</v>
      </c>
      <c r="J95" s="89">
        <f t="shared" si="40"/>
        <v>12132517.064031787</v>
      </c>
      <c r="K95" s="89">
        <f t="shared" si="40"/>
        <v>0</v>
      </c>
      <c r="L95" s="89">
        <f t="shared" si="40"/>
        <v>10354458.300685976</v>
      </c>
      <c r="M95" s="89">
        <f t="shared" si="40"/>
        <v>0</v>
      </c>
      <c r="N95" s="89">
        <f t="shared" si="40"/>
        <v>0</v>
      </c>
      <c r="O95" s="89">
        <f t="shared" si="40"/>
        <v>0</v>
      </c>
      <c r="P95" s="89">
        <f t="shared" si="40"/>
        <v>611778.42233338545</v>
      </c>
      <c r="Q95" s="89">
        <f t="shared" si="40"/>
        <v>22258.382135749216</v>
      </c>
      <c r="R95" s="89">
        <f t="shared" si="40"/>
        <v>5996.9518048938489</v>
      </c>
      <c r="S95" s="89">
        <f t="shared" si="40"/>
        <v>14380.651173697759</v>
      </c>
      <c r="T95" s="89">
        <f t="shared" si="40"/>
        <v>52.694576500368733</v>
      </c>
      <c r="U95" s="89">
        <f t="shared" si="40"/>
        <v>0</v>
      </c>
      <c r="V95" s="89">
        <f t="shared" si="40"/>
        <v>0</v>
      </c>
      <c r="W95" s="91">
        <f>SUM(G95:V95)</f>
        <v>128785003.65333</v>
      </c>
      <c r="X95" s="87" t="str">
        <f>IF(ABS(F95-W95)&lt;0.01,"ok","err")</f>
        <v>ok</v>
      </c>
      <c r="Y95" s="203" t="str">
        <f>IF(X95="err",W95-F95,"")</f>
        <v/>
      </c>
    </row>
    <row r="96" spans="1:25" ht="12" customHeight="1" x14ac:dyDescent="0.25">
      <c r="A96" s="96" t="s">
        <v>392</v>
      </c>
      <c r="C96" s="86" t="s">
        <v>191</v>
      </c>
      <c r="D96" s="86" t="s">
        <v>232</v>
      </c>
      <c r="E96" s="86" t="s">
        <v>2449</v>
      </c>
      <c r="F96" s="90">
        <f>VLOOKUP(C96,'WSS-29'!$C$1:$AU$617,25,)</f>
        <v>106998058.40617499</v>
      </c>
      <c r="G96" s="89">
        <f t="shared" si="40"/>
        <v>86028734.235117674</v>
      </c>
      <c r="H96" s="89">
        <f t="shared" si="40"/>
        <v>16094788.339019071</v>
      </c>
      <c r="I96" s="89">
        <f t="shared" si="40"/>
        <v>82474.921011350307</v>
      </c>
      <c r="J96" s="89">
        <f t="shared" si="40"/>
        <v>864041.50738777837</v>
      </c>
      <c r="K96" s="89">
        <f t="shared" si="40"/>
        <v>0</v>
      </c>
      <c r="L96" s="89">
        <f t="shared" si="40"/>
        <v>148804.9872020825</v>
      </c>
      <c r="M96" s="89">
        <f t="shared" si="40"/>
        <v>0</v>
      </c>
      <c r="N96" s="89">
        <f t="shared" si="40"/>
        <v>0</v>
      </c>
      <c r="O96" s="89">
        <f t="shared" si="40"/>
        <v>0</v>
      </c>
      <c r="P96" s="89">
        <f t="shared" si="40"/>
        <v>3745368.576210673</v>
      </c>
      <c r="Q96" s="89">
        <f t="shared" si="40"/>
        <v>2334.1958776797255</v>
      </c>
      <c r="R96" s="89">
        <f t="shared" si="40"/>
        <v>28788.415824716612</v>
      </c>
      <c r="S96" s="89">
        <f t="shared" si="40"/>
        <v>778.06529255990847</v>
      </c>
      <c r="T96" s="89">
        <f t="shared" si="40"/>
        <v>1945.1632313997713</v>
      </c>
      <c r="U96" s="89">
        <f t="shared" si="40"/>
        <v>0</v>
      </c>
      <c r="V96" s="89">
        <f t="shared" si="40"/>
        <v>0</v>
      </c>
      <c r="W96" s="91">
        <f>SUM(G96:V96)</f>
        <v>106998058.40617499</v>
      </c>
      <c r="X96" s="87" t="str">
        <f>IF(ABS(F96-W96)&lt;0.01,"ok","err")</f>
        <v>ok</v>
      </c>
      <c r="Y96" s="203" t="str">
        <f>IF(X96="err",W96-F96,"")</f>
        <v/>
      </c>
    </row>
    <row r="97" spans="1:25" ht="12" customHeight="1" x14ac:dyDescent="0.25">
      <c r="A97" s="86" t="s">
        <v>1469</v>
      </c>
      <c r="D97" s="86" t="s">
        <v>233</v>
      </c>
      <c r="F97" s="89">
        <f t="shared" ref="F97:T97" si="41">F95+F96</f>
        <v>235783062.05950499</v>
      </c>
      <c r="G97" s="89">
        <f t="shared" si="41"/>
        <v>174060612.28874946</v>
      </c>
      <c r="H97" s="89">
        <f t="shared" si="41"/>
        <v>32516163.566982999</v>
      </c>
      <c r="I97" s="89">
        <f>I95+I96</f>
        <v>1272782.8260036758</v>
      </c>
      <c r="J97" s="89">
        <f>J95+J96</f>
        <v>12996558.571419565</v>
      </c>
      <c r="K97" s="89">
        <f>K95+K96</f>
        <v>0</v>
      </c>
      <c r="L97" s="89">
        <f t="shared" si="41"/>
        <v>10503263.287888058</v>
      </c>
      <c r="M97" s="89">
        <f t="shared" si="41"/>
        <v>0</v>
      </c>
      <c r="N97" s="89">
        <f t="shared" si="41"/>
        <v>0</v>
      </c>
      <c r="O97" s="89">
        <f t="shared" si="41"/>
        <v>0</v>
      </c>
      <c r="P97" s="89">
        <f>P95+P96</f>
        <v>4357146.9985440588</v>
      </c>
      <c r="Q97" s="89">
        <f t="shared" si="41"/>
        <v>24592.578013428942</v>
      </c>
      <c r="R97" s="89">
        <f t="shared" si="41"/>
        <v>34785.36762961046</v>
      </c>
      <c r="S97" s="89">
        <f t="shared" si="41"/>
        <v>15158.716466257667</v>
      </c>
      <c r="T97" s="89">
        <f t="shared" si="41"/>
        <v>1997.8578079001402</v>
      </c>
      <c r="U97" s="89">
        <f>U95+U96</f>
        <v>0</v>
      </c>
      <c r="V97" s="89">
        <f>V95+V96</f>
        <v>0</v>
      </c>
      <c r="W97" s="91">
        <f>SUM(G97:V97)</f>
        <v>235783062.05950499</v>
      </c>
      <c r="X97" s="87" t="str">
        <f>IF(ABS(F97-W97)&lt;0.01,"ok","err")</f>
        <v>ok</v>
      </c>
      <c r="Y97" s="91" t="str">
        <f>IF(X97="err",W97-F97,"")</f>
        <v/>
      </c>
    </row>
    <row r="98" spans="1:25" ht="12" customHeight="1" x14ac:dyDescent="0.25">
      <c r="F98" s="90"/>
    </row>
    <row r="99" spans="1:25" ht="12" customHeight="1" x14ac:dyDescent="0.25">
      <c r="A99" s="23" t="s">
        <v>128</v>
      </c>
      <c r="F99" s="90"/>
    </row>
    <row r="100" spans="1:25" ht="12" customHeight="1" x14ac:dyDescent="0.25">
      <c r="A100" s="96" t="s">
        <v>392</v>
      </c>
      <c r="C100" s="86" t="s">
        <v>191</v>
      </c>
      <c r="D100" s="86" t="s">
        <v>234</v>
      </c>
      <c r="E100" s="86" t="s">
        <v>393</v>
      </c>
      <c r="F100" s="89">
        <f>VLOOKUP(C100,'WSS-29'!$C$1:$AU$617,26,)</f>
        <v>90212968.024259329</v>
      </c>
      <c r="G100" s="89">
        <f t="shared" ref="G100:V100" si="42">IF(VLOOKUP($E100,$D$5:$V$977,3,)=0,0,(VLOOKUP($E100,$D$5:$V$977,G$1,)/VLOOKUP($E100,$D$5:$V$977,3,))*$F100)</f>
        <v>71346149.540330634</v>
      </c>
      <c r="H100" s="89">
        <f t="shared" si="42"/>
        <v>16039123.861264462</v>
      </c>
      <c r="I100" s="89">
        <f t="shared" si="42"/>
        <v>145117.69917651618</v>
      </c>
      <c r="J100" s="89">
        <f t="shared" si="42"/>
        <v>2084370.2225082219</v>
      </c>
      <c r="K100" s="89">
        <f t="shared" si="42"/>
        <v>0</v>
      </c>
      <c r="L100" s="89">
        <f t="shared" si="42"/>
        <v>596329.18655201746</v>
      </c>
      <c r="M100" s="89">
        <f t="shared" si="42"/>
        <v>0</v>
      </c>
      <c r="N100" s="89">
        <f t="shared" si="42"/>
        <v>0</v>
      </c>
      <c r="O100" s="89">
        <f t="shared" si="42"/>
        <v>0</v>
      </c>
      <c r="P100" s="89">
        <f t="shared" si="42"/>
        <v>0</v>
      </c>
      <c r="Q100" s="89">
        <f t="shared" si="42"/>
        <v>0</v>
      </c>
      <c r="R100" s="89">
        <f t="shared" si="42"/>
        <v>0</v>
      </c>
      <c r="S100" s="89">
        <f t="shared" si="42"/>
        <v>1877.5144274765951</v>
      </c>
      <c r="T100" s="89">
        <f t="shared" si="42"/>
        <v>0</v>
      </c>
      <c r="U100" s="89">
        <f t="shared" si="42"/>
        <v>0</v>
      </c>
      <c r="V100" s="89">
        <f t="shared" si="42"/>
        <v>0</v>
      </c>
      <c r="W100" s="91">
        <f>SUM(G100:V100)</f>
        <v>90212968.024259344</v>
      </c>
      <c r="X100" s="87" t="str">
        <f>IF(ABS(F100-W100)&lt;0.01,"ok","err")</f>
        <v>ok</v>
      </c>
      <c r="Y100" s="203" t="str">
        <f>IF(X100="err",W100-F100,"")</f>
        <v/>
      </c>
    </row>
    <row r="101" spans="1:25" ht="12" customHeight="1" x14ac:dyDescent="0.25">
      <c r="F101" s="90"/>
    </row>
    <row r="102" spans="1:25" ht="12" customHeight="1" x14ac:dyDescent="0.25">
      <c r="A102" s="23" t="s">
        <v>127</v>
      </c>
      <c r="F102" s="90"/>
    </row>
    <row r="103" spans="1:25" ht="12" customHeight="1" x14ac:dyDescent="0.25">
      <c r="A103" s="96" t="s">
        <v>392</v>
      </c>
      <c r="C103" s="86" t="s">
        <v>191</v>
      </c>
      <c r="D103" s="86" t="s">
        <v>235</v>
      </c>
      <c r="E103" s="86" t="s">
        <v>2429</v>
      </c>
      <c r="F103" s="89">
        <f>VLOOKUP(C103,'WSS-29'!$C$1:$AU$617,27,)</f>
        <v>53653152.478743747</v>
      </c>
      <c r="G103" s="89">
        <f t="shared" ref="G103:V103" si="43">IF(VLOOKUP($E103,$D$5:$V$977,3,)=0,0,(VLOOKUP($E103,$D$5:$V$977,G$1,)/VLOOKUP($E103,$D$5:$V$977,3,))*$F103)</f>
        <v>32341236.474614337</v>
      </c>
      <c r="H103" s="89">
        <f t="shared" si="43"/>
        <v>13050653.195041817</v>
      </c>
      <c r="I103" s="89">
        <f t="shared" si="43"/>
        <v>266391.30068185617</v>
      </c>
      <c r="J103" s="89">
        <f t="shared" si="43"/>
        <v>4080451.3449692144</v>
      </c>
      <c r="K103" s="89">
        <f t="shared" si="43"/>
        <v>797977.09473851882</v>
      </c>
      <c r="L103" s="89">
        <f t="shared" si="43"/>
        <v>729837.57535959559</v>
      </c>
      <c r="M103" s="89">
        <f t="shared" si="43"/>
        <v>1413593.7991215752</v>
      </c>
      <c r="N103" s="89">
        <f t="shared" si="43"/>
        <v>700849.71011143969</v>
      </c>
      <c r="O103" s="89">
        <f t="shared" si="43"/>
        <v>43263.145778271719</v>
      </c>
      <c r="P103" s="89">
        <f t="shared" si="43"/>
        <v>0</v>
      </c>
      <c r="Q103" s="89">
        <f t="shared" si="43"/>
        <v>7896.2722703610461</v>
      </c>
      <c r="R103" s="89">
        <f t="shared" si="43"/>
        <v>97314.244368986605</v>
      </c>
      <c r="S103" s="89">
        <f t="shared" si="43"/>
        <v>3675.5016877841422</v>
      </c>
      <c r="T103" s="89">
        <f t="shared" si="43"/>
        <v>120012.82</v>
      </c>
      <c r="U103" s="89">
        <f t="shared" si="43"/>
        <v>0</v>
      </c>
      <c r="V103" s="89">
        <f t="shared" si="43"/>
        <v>0</v>
      </c>
      <c r="W103" s="91">
        <f>SUM(G103:V103)</f>
        <v>53653152.478743762</v>
      </c>
      <c r="X103" s="87" t="str">
        <f>IF(ABS(F103-W103)&lt;0.01,"ok","err")</f>
        <v>ok</v>
      </c>
      <c r="Y103" s="203" t="str">
        <f>IF(X103="err",W103-F103,"")</f>
        <v/>
      </c>
    </row>
    <row r="104" spans="1:25" ht="12" customHeight="1" x14ac:dyDescent="0.25">
      <c r="F104" s="90"/>
    </row>
    <row r="105" spans="1:25" ht="12" customHeight="1" x14ac:dyDescent="0.25">
      <c r="A105" s="23" t="s">
        <v>144</v>
      </c>
      <c r="F105" s="90"/>
    </row>
    <row r="106" spans="1:25" ht="12" customHeight="1" x14ac:dyDescent="0.25">
      <c r="A106" s="96" t="s">
        <v>392</v>
      </c>
      <c r="C106" s="86" t="s">
        <v>191</v>
      </c>
      <c r="D106" s="86" t="s">
        <v>236</v>
      </c>
      <c r="E106" s="86" t="s">
        <v>2444</v>
      </c>
      <c r="F106" s="89">
        <f>VLOOKUP(C106,'WSS-29'!$C$1:$AU$617,28,)</f>
        <v>103312450.6550363</v>
      </c>
      <c r="G106" s="89">
        <f t="shared" ref="G106:V106" si="44">IF(VLOOKUP($E106,$D$5:$V$977,3,)=0,0,(VLOOKUP($E106,$D$5:$V$977,G$1,)/VLOOKUP($E106,$D$5:$V$977,3,))*$F106)</f>
        <v>0</v>
      </c>
      <c r="H106" s="89">
        <f t="shared" si="44"/>
        <v>0</v>
      </c>
      <c r="I106" s="89">
        <f t="shared" si="44"/>
        <v>0</v>
      </c>
      <c r="J106" s="89">
        <f t="shared" si="44"/>
        <v>0</v>
      </c>
      <c r="K106" s="89">
        <f t="shared" si="44"/>
        <v>0</v>
      </c>
      <c r="L106" s="89">
        <f t="shared" si="44"/>
        <v>0</v>
      </c>
      <c r="M106" s="89">
        <f t="shared" si="44"/>
        <v>0</v>
      </c>
      <c r="N106" s="89">
        <f t="shared" si="44"/>
        <v>0</v>
      </c>
      <c r="O106" s="89">
        <f t="shared" si="44"/>
        <v>0</v>
      </c>
      <c r="P106" s="89">
        <f t="shared" si="44"/>
        <v>103312450.6550363</v>
      </c>
      <c r="Q106" s="89">
        <f t="shared" si="44"/>
        <v>0</v>
      </c>
      <c r="R106" s="89">
        <f t="shared" si="44"/>
        <v>0</v>
      </c>
      <c r="S106" s="89">
        <f t="shared" si="44"/>
        <v>0</v>
      </c>
      <c r="T106" s="89">
        <f t="shared" si="44"/>
        <v>0</v>
      </c>
      <c r="U106" s="89">
        <f t="shared" si="44"/>
        <v>0</v>
      </c>
      <c r="V106" s="89">
        <f t="shared" si="44"/>
        <v>0</v>
      </c>
      <c r="W106" s="91">
        <f>SUM(G106:V106)</f>
        <v>103312450.6550363</v>
      </c>
      <c r="X106" s="87" t="str">
        <f>IF(ABS(F106-W106)&lt;0.01,"ok","err")</f>
        <v>ok</v>
      </c>
      <c r="Y106" s="203" t="str">
        <f>IF(X106="err",W106-F106,"")</f>
        <v/>
      </c>
    </row>
    <row r="107" spans="1:25" ht="12" customHeight="1" x14ac:dyDescent="0.25">
      <c r="F107" s="90"/>
    </row>
    <row r="108" spans="1:25" ht="12" customHeight="1" x14ac:dyDescent="0.25">
      <c r="A108" s="23" t="s">
        <v>292</v>
      </c>
      <c r="F108" s="90"/>
    </row>
    <row r="109" spans="1:25" ht="12" customHeight="1" x14ac:dyDescent="0.25">
      <c r="A109" s="96" t="s">
        <v>392</v>
      </c>
      <c r="C109" s="86" t="s">
        <v>191</v>
      </c>
      <c r="D109" s="86" t="s">
        <v>237</v>
      </c>
      <c r="E109" s="86" t="s">
        <v>2443</v>
      </c>
      <c r="F109" s="89">
        <f>VLOOKUP(C109,'WSS-29'!$C$1:$AU$617,30,)</f>
        <v>0</v>
      </c>
      <c r="G109" s="89">
        <f t="shared" ref="G109:V109" si="45">IF(VLOOKUP($E109,$D$5:$V$977,3,)=0,0,(VLOOKUP($E109,$D$5:$V$977,G$1,)/VLOOKUP($E109,$D$5:$V$977,3,))*$F109)</f>
        <v>0</v>
      </c>
      <c r="H109" s="89">
        <f t="shared" si="45"/>
        <v>0</v>
      </c>
      <c r="I109" s="89">
        <f t="shared" si="45"/>
        <v>0</v>
      </c>
      <c r="J109" s="89">
        <f t="shared" si="45"/>
        <v>0</v>
      </c>
      <c r="K109" s="89">
        <f t="shared" si="45"/>
        <v>0</v>
      </c>
      <c r="L109" s="89">
        <f t="shared" si="45"/>
        <v>0</v>
      </c>
      <c r="M109" s="89">
        <f t="shared" si="45"/>
        <v>0</v>
      </c>
      <c r="N109" s="89">
        <f t="shared" si="45"/>
        <v>0</v>
      </c>
      <c r="O109" s="89">
        <f t="shared" si="45"/>
        <v>0</v>
      </c>
      <c r="P109" s="89">
        <f t="shared" si="45"/>
        <v>0</v>
      </c>
      <c r="Q109" s="89">
        <f t="shared" si="45"/>
        <v>0</v>
      </c>
      <c r="R109" s="89">
        <f t="shared" si="45"/>
        <v>0</v>
      </c>
      <c r="S109" s="89">
        <f t="shared" si="45"/>
        <v>0</v>
      </c>
      <c r="T109" s="89">
        <f t="shared" si="45"/>
        <v>0</v>
      </c>
      <c r="U109" s="89">
        <f t="shared" si="45"/>
        <v>0</v>
      </c>
      <c r="V109" s="89">
        <f t="shared" si="45"/>
        <v>0</v>
      </c>
      <c r="W109" s="91">
        <f>SUM(G109:V109)</f>
        <v>0</v>
      </c>
      <c r="X109" s="87" t="str">
        <f>IF(ABS(F109-W109)&lt;0.01,"ok","err")</f>
        <v>ok</v>
      </c>
      <c r="Y109" s="203" t="str">
        <f>IF(X109="err",W109-F109,"")</f>
        <v/>
      </c>
    </row>
    <row r="110" spans="1:25" ht="12" customHeight="1" x14ac:dyDescent="0.25">
      <c r="F110" s="90"/>
    </row>
    <row r="111" spans="1:25" ht="12" customHeight="1" x14ac:dyDescent="0.25">
      <c r="A111" s="23" t="s">
        <v>1631</v>
      </c>
      <c r="F111" s="90"/>
    </row>
    <row r="112" spans="1:25" ht="12" customHeight="1" x14ac:dyDescent="0.25">
      <c r="A112" s="96" t="s">
        <v>392</v>
      </c>
      <c r="C112" s="86" t="s">
        <v>191</v>
      </c>
      <c r="D112" s="86" t="s">
        <v>238</v>
      </c>
      <c r="E112" s="86" t="s">
        <v>2443</v>
      </c>
      <c r="F112" s="89">
        <f>VLOOKUP(C112,'WSS-29'!$C$1:$AU$617,32,)</f>
        <v>0</v>
      </c>
      <c r="G112" s="89">
        <f t="shared" ref="G112:V112" si="46">IF(VLOOKUP($E112,$D$5:$V$977,3,)=0,0,(VLOOKUP($E112,$D$5:$V$977,G$1,)/VLOOKUP($E112,$D$5:$V$977,3,))*$F112)</f>
        <v>0</v>
      </c>
      <c r="H112" s="89">
        <f t="shared" si="46"/>
        <v>0</v>
      </c>
      <c r="I112" s="89">
        <f t="shared" si="46"/>
        <v>0</v>
      </c>
      <c r="J112" s="89">
        <f t="shared" si="46"/>
        <v>0</v>
      </c>
      <c r="K112" s="89">
        <f t="shared" si="46"/>
        <v>0</v>
      </c>
      <c r="L112" s="89">
        <f t="shared" si="46"/>
        <v>0</v>
      </c>
      <c r="M112" s="89">
        <f t="shared" si="46"/>
        <v>0</v>
      </c>
      <c r="N112" s="89">
        <f t="shared" si="46"/>
        <v>0</v>
      </c>
      <c r="O112" s="89">
        <f t="shared" si="46"/>
        <v>0</v>
      </c>
      <c r="P112" s="89">
        <f t="shared" si="46"/>
        <v>0</v>
      </c>
      <c r="Q112" s="89">
        <f t="shared" si="46"/>
        <v>0</v>
      </c>
      <c r="R112" s="89">
        <f t="shared" si="46"/>
        <v>0</v>
      </c>
      <c r="S112" s="89">
        <f t="shared" si="46"/>
        <v>0</v>
      </c>
      <c r="T112" s="89">
        <f t="shared" si="46"/>
        <v>0</v>
      </c>
      <c r="U112" s="89">
        <f t="shared" si="46"/>
        <v>0</v>
      </c>
      <c r="V112" s="89">
        <f t="shared" si="46"/>
        <v>0</v>
      </c>
      <c r="W112" s="91">
        <f>SUM(G112:V112)</f>
        <v>0</v>
      </c>
      <c r="X112" s="87" t="str">
        <f>IF(ABS(F112-W112)&lt;0.01,"ok","err")</f>
        <v>ok</v>
      </c>
      <c r="Y112" s="203" t="str">
        <f>IF(X112="err",W112-F112,"")</f>
        <v/>
      </c>
    </row>
    <row r="113" spans="1:25" ht="12" customHeight="1" x14ac:dyDescent="0.25">
      <c r="F113" s="90"/>
    </row>
    <row r="114" spans="1:25" ht="12" customHeight="1" x14ac:dyDescent="0.25">
      <c r="A114" s="23" t="s">
        <v>1630</v>
      </c>
      <c r="F114" s="90"/>
    </row>
    <row r="115" spans="1:25" ht="12" customHeight="1" x14ac:dyDescent="0.25">
      <c r="A115" s="96" t="s">
        <v>392</v>
      </c>
      <c r="C115" s="86" t="s">
        <v>191</v>
      </c>
      <c r="D115" s="86" t="s">
        <v>239</v>
      </c>
      <c r="E115" s="86" t="s">
        <v>2446</v>
      </c>
      <c r="F115" s="89">
        <f>VLOOKUP(C115,'WSS-29'!$C$1:$AU$617,34,)</f>
        <v>0</v>
      </c>
      <c r="G115" s="89">
        <f t="shared" ref="G115:V115" si="47">IF(VLOOKUP($E115,$D$5:$V$977,3,)=0,0,(VLOOKUP($E115,$D$5:$V$977,G$1,)/VLOOKUP($E115,$D$5:$V$977,3,))*$F115)</f>
        <v>0</v>
      </c>
      <c r="H115" s="89">
        <f t="shared" si="47"/>
        <v>0</v>
      </c>
      <c r="I115" s="89">
        <f t="shared" si="47"/>
        <v>0</v>
      </c>
      <c r="J115" s="89">
        <f t="shared" si="47"/>
        <v>0</v>
      </c>
      <c r="K115" s="89">
        <f t="shared" si="47"/>
        <v>0</v>
      </c>
      <c r="L115" s="89">
        <f t="shared" si="47"/>
        <v>0</v>
      </c>
      <c r="M115" s="89">
        <f t="shared" si="47"/>
        <v>0</v>
      </c>
      <c r="N115" s="89">
        <f t="shared" si="47"/>
        <v>0</v>
      </c>
      <c r="O115" s="89">
        <f t="shared" si="47"/>
        <v>0</v>
      </c>
      <c r="P115" s="89">
        <f t="shared" si="47"/>
        <v>0</v>
      </c>
      <c r="Q115" s="89">
        <f t="shared" si="47"/>
        <v>0</v>
      </c>
      <c r="R115" s="89">
        <f t="shared" si="47"/>
        <v>0</v>
      </c>
      <c r="S115" s="89">
        <f t="shared" si="47"/>
        <v>0</v>
      </c>
      <c r="T115" s="89">
        <f t="shared" si="47"/>
        <v>0</v>
      </c>
      <c r="U115" s="89">
        <f t="shared" si="47"/>
        <v>0</v>
      </c>
      <c r="V115" s="89">
        <f t="shared" si="47"/>
        <v>0</v>
      </c>
      <c r="W115" s="91">
        <f>SUM(G115:V115)</f>
        <v>0</v>
      </c>
      <c r="X115" s="87" t="str">
        <f>IF(ABS(F115-W115)&lt;0.01,"ok","err")</f>
        <v>ok</v>
      </c>
      <c r="Y115" s="203" t="str">
        <f>IF(X115="err",W115-F115,"")</f>
        <v/>
      </c>
    </row>
    <row r="116" spans="1:25" ht="12" customHeight="1" x14ac:dyDescent="0.25">
      <c r="F116" s="90"/>
    </row>
    <row r="117" spans="1:25" ht="12" customHeight="1" x14ac:dyDescent="0.25">
      <c r="A117" s="86" t="s">
        <v>62</v>
      </c>
      <c r="D117" s="86" t="s">
        <v>240</v>
      </c>
      <c r="F117" s="89">
        <f>F72+F78+F81+F84+F92+F97+F100+F103+F106+F109+F112+F115</f>
        <v>6291008281</v>
      </c>
      <c r="G117" s="89">
        <f t="shared" ref="G117:T117" si="48">G72+G78+G81+G84+G92+G97+G100+G103+G106+G109+G112+G115</f>
        <v>2983332507.6003642</v>
      </c>
      <c r="H117" s="89">
        <f t="shared" si="48"/>
        <v>738649578.0719465</v>
      </c>
      <c r="I117" s="89">
        <f>I72+I78+I81+I84+I92+I97+I100+I103+I106+I109+I112+I115</f>
        <v>46846782.277333766</v>
      </c>
      <c r="J117" s="89">
        <f>J72+J78+J81+J84+J92+J97+J100+J103+J106+J109+J112+J115</f>
        <v>555179105.90392804</v>
      </c>
      <c r="K117" s="89">
        <f>K72+K78+K81+K84+K92+K97+K100+K103+K106+K109+K112+K115</f>
        <v>24019961.874155052</v>
      </c>
      <c r="L117" s="89">
        <f t="shared" si="48"/>
        <v>513037148.62921757</v>
      </c>
      <c r="M117" s="89">
        <f t="shared" si="48"/>
        <v>890626207.31766522</v>
      </c>
      <c r="N117" s="89">
        <f t="shared" si="48"/>
        <v>270336231.75491536</v>
      </c>
      <c r="O117" s="89">
        <f>O72+O78+O81+O84+O92+O97+O100+O103+O106+O109+O112+O115</f>
        <v>125125167.95178658</v>
      </c>
      <c r="P117" s="89">
        <f>P72+P78+P81+P84+P92+P97+P100+P103+P106+P109+P112+P115</f>
        <v>138790166.70257884</v>
      </c>
      <c r="Q117" s="89">
        <f t="shared" si="48"/>
        <v>462293.50321550958</v>
      </c>
      <c r="R117" s="89">
        <f t="shared" si="48"/>
        <v>738606.16092537716</v>
      </c>
      <c r="S117" s="89">
        <f t="shared" si="48"/>
        <v>211684.06779900542</v>
      </c>
      <c r="T117" s="89">
        <f t="shared" si="48"/>
        <v>139459.59416775464</v>
      </c>
      <c r="U117" s="89">
        <f>U72+U78+U81+U84+U92+U97+U100+U103+U106+U109+U112+U115</f>
        <v>3141952.7900000005</v>
      </c>
      <c r="V117" s="89">
        <f>V72+V78+V81+V84+V92+V97+V100+V103+V106+V109+V112+V115</f>
        <v>371426.8</v>
      </c>
      <c r="W117" s="91">
        <f>SUM(G117:V117)</f>
        <v>6291008280.9999981</v>
      </c>
      <c r="X117" s="87" t="str">
        <f>IF(ABS(F117-W117)&lt;0.01,"ok","err")</f>
        <v>ok</v>
      </c>
      <c r="Y117" s="203" t="str">
        <f>IF(X117="err",W117-F117,"")</f>
        <v/>
      </c>
    </row>
    <row r="118" spans="1:25" ht="12" customHeight="1" x14ac:dyDescent="0.25">
      <c r="Y118" s="203"/>
    </row>
    <row r="120" spans="1:25" ht="12" customHeight="1" x14ac:dyDescent="0.25">
      <c r="A120" s="22" t="s">
        <v>400</v>
      </c>
    </row>
    <row r="122" spans="1:25" ht="12" customHeight="1" x14ac:dyDescent="0.25">
      <c r="A122" s="23" t="s">
        <v>137</v>
      </c>
    </row>
    <row r="123" spans="1:25" ht="12" customHeight="1" x14ac:dyDescent="0.25">
      <c r="A123" s="96" t="s">
        <v>2270</v>
      </c>
      <c r="C123" s="86" t="s">
        <v>778</v>
      </c>
      <c r="D123" s="86" t="s">
        <v>241</v>
      </c>
      <c r="E123" s="86" t="s">
        <v>2382</v>
      </c>
      <c r="F123" s="89">
        <f>VLOOKUP(C123,'WSS-29'!$C$1:$AU$617,6,)</f>
        <v>2975438420.0715351</v>
      </c>
      <c r="G123" s="89">
        <f t="shared" ref="G123:V128" si="49">IF(VLOOKUP($E123,$D$5:$V$977,3,)=0,0,(VLOOKUP($E123,$D$5:$V$977,G$1,)/VLOOKUP($E123,$D$5:$V$977,3,))*$F123)</f>
        <v>1219918258.3844647</v>
      </c>
      <c r="H123" s="89">
        <f t="shared" si="49"/>
        <v>328578139.93671095</v>
      </c>
      <c r="I123" s="89">
        <f t="shared" si="49"/>
        <v>21083961.68942244</v>
      </c>
      <c r="J123" s="89">
        <f t="shared" si="49"/>
        <v>306412267.92889446</v>
      </c>
      <c r="K123" s="89">
        <f t="shared" si="49"/>
        <v>13312136.632797809</v>
      </c>
      <c r="L123" s="89">
        <f t="shared" si="49"/>
        <v>294684795.00919878</v>
      </c>
      <c r="M123" s="89">
        <f t="shared" si="49"/>
        <v>539453131.04104686</v>
      </c>
      <c r="N123" s="89">
        <f t="shared" si="49"/>
        <v>175600115.06970802</v>
      </c>
      <c r="O123" s="89">
        <f t="shared" si="49"/>
        <v>72715766.043478012</v>
      </c>
      <c r="P123" s="89">
        <f t="shared" si="49"/>
        <v>473965.56954088091</v>
      </c>
      <c r="Q123" s="89">
        <f t="shared" si="49"/>
        <v>17244.326345789126</v>
      </c>
      <c r="R123" s="89">
        <f t="shared" si="49"/>
        <v>281984.06315582455</v>
      </c>
      <c r="S123" s="89">
        <f t="shared" si="49"/>
        <v>36296.175975231949</v>
      </c>
      <c r="T123" s="89">
        <f t="shared" si="49"/>
        <v>2454.4007949828538</v>
      </c>
      <c r="U123" s="89">
        <f t="shared" si="49"/>
        <v>2576969.3631635425</v>
      </c>
      <c r="V123" s="89">
        <f t="shared" si="49"/>
        <v>290934.43683645804</v>
      </c>
      <c r="W123" s="91">
        <f t="shared" ref="W123:W128" si="50">SUM(G123:V123)</f>
        <v>2975438420.0715342</v>
      </c>
      <c r="X123" s="87" t="str">
        <f t="shared" ref="X123:X128" si="51">IF(ABS(F123-W123)&lt;0.01,"ok","err")</f>
        <v>ok</v>
      </c>
      <c r="Y123" s="203" t="str">
        <f t="shared" ref="Y123:Y128" si="52">IF(X123="err",W123-F123,"")</f>
        <v/>
      </c>
    </row>
    <row r="124" spans="1:25" ht="12" hidden="1" customHeight="1" x14ac:dyDescent="0.25">
      <c r="A124" s="96" t="s">
        <v>2271</v>
      </c>
      <c r="C124" s="86" t="s">
        <v>778</v>
      </c>
      <c r="D124" s="86" t="s">
        <v>242</v>
      </c>
      <c r="E124" s="86" t="s">
        <v>2269</v>
      </c>
      <c r="F124" s="90">
        <f>VLOOKUP(C124,'WSS-29'!$C$1:$AU$617,7,)</f>
        <v>0</v>
      </c>
      <c r="G124" s="89">
        <f t="shared" si="49"/>
        <v>0</v>
      </c>
      <c r="H124" s="89">
        <f t="shared" si="49"/>
        <v>0</v>
      </c>
      <c r="I124" s="89">
        <f t="shared" si="49"/>
        <v>0</v>
      </c>
      <c r="J124" s="89">
        <f t="shared" si="49"/>
        <v>0</v>
      </c>
      <c r="K124" s="89">
        <f t="shared" si="49"/>
        <v>0</v>
      </c>
      <c r="L124" s="89">
        <f t="shared" si="49"/>
        <v>0</v>
      </c>
      <c r="M124" s="89">
        <f t="shared" si="49"/>
        <v>0</v>
      </c>
      <c r="N124" s="89">
        <f t="shared" si="49"/>
        <v>0</v>
      </c>
      <c r="O124" s="89">
        <f t="shared" si="49"/>
        <v>0</v>
      </c>
      <c r="P124" s="89">
        <f t="shared" si="49"/>
        <v>0</v>
      </c>
      <c r="Q124" s="89">
        <f t="shared" si="49"/>
        <v>0</v>
      </c>
      <c r="R124" s="89">
        <f t="shared" si="49"/>
        <v>0</v>
      </c>
      <c r="S124" s="89">
        <f t="shared" si="49"/>
        <v>0</v>
      </c>
      <c r="T124" s="89">
        <f t="shared" si="49"/>
        <v>0</v>
      </c>
      <c r="U124" s="89">
        <f t="shared" si="49"/>
        <v>0</v>
      </c>
      <c r="V124" s="89">
        <f t="shared" si="49"/>
        <v>0</v>
      </c>
      <c r="W124" s="91">
        <f t="shared" si="50"/>
        <v>0</v>
      </c>
      <c r="X124" s="87" t="str">
        <f t="shared" si="51"/>
        <v>ok</v>
      </c>
      <c r="Y124" s="203" t="str">
        <f t="shared" si="52"/>
        <v/>
      </c>
    </row>
    <row r="125" spans="1:25" ht="12" hidden="1" customHeight="1" x14ac:dyDescent="0.25">
      <c r="A125" s="96" t="s">
        <v>2271</v>
      </c>
      <c r="C125" s="86" t="s">
        <v>778</v>
      </c>
      <c r="D125" s="86" t="s">
        <v>243</v>
      </c>
      <c r="E125" s="86" t="s">
        <v>2269</v>
      </c>
      <c r="F125" s="90">
        <f>VLOOKUP(C125,'WSS-29'!$C$1:$AU$617,8,)</f>
        <v>0</v>
      </c>
      <c r="G125" s="89">
        <f t="shared" si="49"/>
        <v>0</v>
      </c>
      <c r="H125" s="89">
        <f t="shared" si="49"/>
        <v>0</v>
      </c>
      <c r="I125" s="89">
        <f t="shared" si="49"/>
        <v>0</v>
      </c>
      <c r="J125" s="89">
        <f t="shared" si="49"/>
        <v>0</v>
      </c>
      <c r="K125" s="89">
        <f t="shared" si="49"/>
        <v>0</v>
      </c>
      <c r="L125" s="89">
        <f t="shared" si="49"/>
        <v>0</v>
      </c>
      <c r="M125" s="89">
        <f t="shared" si="49"/>
        <v>0</v>
      </c>
      <c r="N125" s="89">
        <f t="shared" si="49"/>
        <v>0</v>
      </c>
      <c r="O125" s="89">
        <f t="shared" si="49"/>
        <v>0</v>
      </c>
      <c r="P125" s="89">
        <f t="shared" si="49"/>
        <v>0</v>
      </c>
      <c r="Q125" s="89">
        <f t="shared" si="49"/>
        <v>0</v>
      </c>
      <c r="R125" s="89">
        <f t="shared" si="49"/>
        <v>0</v>
      </c>
      <c r="S125" s="89">
        <f t="shared" si="49"/>
        <v>0</v>
      </c>
      <c r="T125" s="89">
        <f t="shared" si="49"/>
        <v>0</v>
      </c>
      <c r="U125" s="89">
        <f t="shared" si="49"/>
        <v>0</v>
      </c>
      <c r="V125" s="89">
        <f t="shared" si="49"/>
        <v>0</v>
      </c>
      <c r="W125" s="91">
        <f t="shared" si="50"/>
        <v>0</v>
      </c>
      <c r="X125" s="87" t="str">
        <f t="shared" si="51"/>
        <v>ok</v>
      </c>
      <c r="Y125" s="203" t="str">
        <f t="shared" si="52"/>
        <v/>
      </c>
    </row>
    <row r="126" spans="1:25" ht="12" customHeight="1" x14ac:dyDescent="0.25">
      <c r="A126" s="96" t="s">
        <v>2273</v>
      </c>
      <c r="C126" s="86" t="s">
        <v>778</v>
      </c>
      <c r="D126" s="86" t="s">
        <v>244</v>
      </c>
      <c r="E126" s="86" t="s">
        <v>390</v>
      </c>
      <c r="F126" s="90">
        <f>VLOOKUP(C126,'WSS-29'!$C$1:$AU$617,9,)</f>
        <v>79624711.105574101</v>
      </c>
      <c r="G126" s="89">
        <f t="shared" si="49"/>
        <v>27493895.591666382</v>
      </c>
      <c r="H126" s="89">
        <f t="shared" si="49"/>
        <v>7762757.2657228718</v>
      </c>
      <c r="I126" s="89">
        <f t="shared" si="49"/>
        <v>594639.77465136524</v>
      </c>
      <c r="J126" s="89">
        <f t="shared" si="49"/>
        <v>7860099.5094042588</v>
      </c>
      <c r="K126" s="89">
        <f t="shared" si="49"/>
        <v>355222.00691100291</v>
      </c>
      <c r="L126" s="89">
        <f t="shared" si="49"/>
        <v>8253333.2471906664</v>
      </c>
      <c r="M126" s="89">
        <f t="shared" si="49"/>
        <v>17832601.081429161</v>
      </c>
      <c r="N126" s="89">
        <f t="shared" si="49"/>
        <v>6206391.0166964289</v>
      </c>
      <c r="O126" s="89">
        <f t="shared" si="49"/>
        <v>2677141.4367464744</v>
      </c>
      <c r="P126" s="89">
        <f t="shared" si="49"/>
        <v>555780.73225228756</v>
      </c>
      <c r="Q126" s="89">
        <f t="shared" si="49"/>
        <v>20221.013672440287</v>
      </c>
      <c r="R126" s="89">
        <f t="shared" si="49"/>
        <v>11067.898205715999</v>
      </c>
      <c r="S126" s="89">
        <f t="shared" si="49"/>
        <v>1509.8787011564273</v>
      </c>
      <c r="T126" s="89">
        <f t="shared" si="49"/>
        <v>50.652323884937054</v>
      </c>
      <c r="U126" s="89">
        <f t="shared" si="49"/>
        <v>0</v>
      </c>
      <c r="V126" s="89">
        <f t="shared" si="49"/>
        <v>0</v>
      </c>
      <c r="W126" s="91">
        <f t="shared" si="50"/>
        <v>79624711.105574086</v>
      </c>
      <c r="X126" s="87" t="str">
        <f t="shared" si="51"/>
        <v>ok</v>
      </c>
      <c r="Y126" s="203" t="str">
        <f t="shared" si="52"/>
        <v/>
      </c>
    </row>
    <row r="127" spans="1:25" ht="12" hidden="1" customHeight="1" x14ac:dyDescent="0.25">
      <c r="A127" s="96" t="s">
        <v>2272</v>
      </c>
      <c r="C127" s="86" t="s">
        <v>778</v>
      </c>
      <c r="D127" s="86" t="s">
        <v>245</v>
      </c>
      <c r="E127" s="86" t="s">
        <v>390</v>
      </c>
      <c r="F127" s="90">
        <f>VLOOKUP(C127,'WSS-29'!$C$1:$AU$617,10,)</f>
        <v>0</v>
      </c>
      <c r="G127" s="89">
        <f t="shared" si="49"/>
        <v>0</v>
      </c>
      <c r="H127" s="89">
        <f t="shared" si="49"/>
        <v>0</v>
      </c>
      <c r="I127" s="89">
        <f t="shared" si="49"/>
        <v>0</v>
      </c>
      <c r="J127" s="89">
        <f t="shared" si="49"/>
        <v>0</v>
      </c>
      <c r="K127" s="89">
        <f t="shared" si="49"/>
        <v>0</v>
      </c>
      <c r="L127" s="89">
        <f t="shared" si="49"/>
        <v>0</v>
      </c>
      <c r="M127" s="89">
        <f t="shared" si="49"/>
        <v>0</v>
      </c>
      <c r="N127" s="89">
        <f t="shared" si="49"/>
        <v>0</v>
      </c>
      <c r="O127" s="89">
        <f t="shared" si="49"/>
        <v>0</v>
      </c>
      <c r="P127" s="89">
        <f t="shared" si="49"/>
        <v>0</v>
      </c>
      <c r="Q127" s="89">
        <f t="shared" si="49"/>
        <v>0</v>
      </c>
      <c r="R127" s="89">
        <f t="shared" si="49"/>
        <v>0</v>
      </c>
      <c r="S127" s="89">
        <f t="shared" si="49"/>
        <v>0</v>
      </c>
      <c r="T127" s="89">
        <f t="shared" si="49"/>
        <v>0</v>
      </c>
      <c r="U127" s="89">
        <f t="shared" si="49"/>
        <v>0</v>
      </c>
      <c r="V127" s="89">
        <f t="shared" si="49"/>
        <v>0</v>
      </c>
      <c r="W127" s="91">
        <f t="shared" si="50"/>
        <v>0</v>
      </c>
      <c r="X127" s="87" t="str">
        <f t="shared" si="51"/>
        <v>ok</v>
      </c>
      <c r="Y127" s="203" t="str">
        <f t="shared" si="52"/>
        <v/>
      </c>
    </row>
    <row r="128" spans="1:25" ht="12" hidden="1" customHeight="1" x14ac:dyDescent="0.25">
      <c r="A128" s="96" t="s">
        <v>2272</v>
      </c>
      <c r="C128" s="86" t="s">
        <v>778</v>
      </c>
      <c r="D128" s="86" t="s">
        <v>246</v>
      </c>
      <c r="E128" s="86" t="s">
        <v>390</v>
      </c>
      <c r="F128" s="90">
        <f>VLOOKUP(C128,'WSS-29'!$C$1:$AU$617,11,)</f>
        <v>0</v>
      </c>
      <c r="G128" s="89">
        <f t="shared" si="49"/>
        <v>0</v>
      </c>
      <c r="H128" s="89">
        <f t="shared" si="49"/>
        <v>0</v>
      </c>
      <c r="I128" s="89">
        <f t="shared" si="49"/>
        <v>0</v>
      </c>
      <c r="J128" s="89">
        <f t="shared" si="49"/>
        <v>0</v>
      </c>
      <c r="K128" s="89">
        <f t="shared" si="49"/>
        <v>0</v>
      </c>
      <c r="L128" s="89">
        <f t="shared" si="49"/>
        <v>0</v>
      </c>
      <c r="M128" s="89">
        <f t="shared" si="49"/>
        <v>0</v>
      </c>
      <c r="N128" s="89">
        <f t="shared" si="49"/>
        <v>0</v>
      </c>
      <c r="O128" s="89">
        <f t="shared" si="49"/>
        <v>0</v>
      </c>
      <c r="P128" s="89">
        <f t="shared" si="49"/>
        <v>0</v>
      </c>
      <c r="Q128" s="89">
        <f t="shared" si="49"/>
        <v>0</v>
      </c>
      <c r="R128" s="89">
        <f t="shared" si="49"/>
        <v>0</v>
      </c>
      <c r="S128" s="89">
        <f t="shared" si="49"/>
        <v>0</v>
      </c>
      <c r="T128" s="89">
        <f t="shared" si="49"/>
        <v>0</v>
      </c>
      <c r="U128" s="89">
        <f t="shared" si="49"/>
        <v>0</v>
      </c>
      <c r="V128" s="89">
        <f t="shared" si="49"/>
        <v>0</v>
      </c>
      <c r="W128" s="91">
        <f t="shared" si="50"/>
        <v>0</v>
      </c>
      <c r="X128" s="87" t="str">
        <f t="shared" si="51"/>
        <v>ok</v>
      </c>
      <c r="Y128" s="203" t="str">
        <f t="shared" si="52"/>
        <v/>
      </c>
    </row>
    <row r="129" spans="1:26" ht="12" customHeight="1" x14ac:dyDescent="0.25">
      <c r="A129" s="86" t="s">
        <v>160</v>
      </c>
      <c r="D129" s="86" t="s">
        <v>401</v>
      </c>
      <c r="F129" s="89">
        <f t="shared" ref="F129:T129" si="53">SUM(F123:F128)</f>
        <v>3055063131.1771092</v>
      </c>
      <c r="G129" s="89">
        <f t="shared" si="53"/>
        <v>1247412153.9761312</v>
      </c>
      <c r="H129" s="89">
        <f t="shared" si="53"/>
        <v>336340897.20243382</v>
      </c>
      <c r="I129" s="89">
        <f>SUM(I123:I128)</f>
        <v>21678601.464073803</v>
      </c>
      <c r="J129" s="89">
        <f>SUM(J123:J128)</f>
        <v>314272367.4382987</v>
      </c>
      <c r="K129" s="89">
        <f>SUM(K123:K128)</f>
        <v>13667358.639708811</v>
      </c>
      <c r="L129" s="89">
        <f t="shared" si="53"/>
        <v>302938128.25638944</v>
      </c>
      <c r="M129" s="89">
        <f t="shared" si="53"/>
        <v>557285732.12247598</v>
      </c>
      <c r="N129" s="89">
        <f t="shared" si="53"/>
        <v>181806506.08640444</v>
      </c>
      <c r="O129" s="89">
        <f t="shared" si="53"/>
        <v>75392907.48022449</v>
      </c>
      <c r="P129" s="89">
        <f>SUM(P123:P128)</f>
        <v>1029746.3017931685</v>
      </c>
      <c r="Q129" s="89">
        <f t="shared" si="53"/>
        <v>37465.340018229414</v>
      </c>
      <c r="R129" s="89">
        <f t="shared" si="53"/>
        <v>293051.96136154054</v>
      </c>
      <c r="S129" s="89">
        <f t="shared" si="53"/>
        <v>37806.054676388376</v>
      </c>
      <c r="T129" s="89">
        <f t="shared" si="53"/>
        <v>2505.053118867791</v>
      </c>
      <c r="U129" s="89">
        <f>SUM(U123:U128)</f>
        <v>2576969.3631635425</v>
      </c>
      <c r="V129" s="89">
        <f>SUM(V123:V128)</f>
        <v>290934.43683645804</v>
      </c>
      <c r="W129" s="91">
        <f>SUM(G129:V129)</f>
        <v>3055063131.1771088</v>
      </c>
      <c r="X129" s="87" t="str">
        <f>IF(ABS(F129-W129)&lt;0.01,"ok","err")</f>
        <v>ok</v>
      </c>
      <c r="Y129" s="203" t="str">
        <f>IF(X129="err",W129-F129,"")</f>
        <v/>
      </c>
    </row>
    <row r="130" spans="1:26" ht="12" customHeight="1" x14ac:dyDescent="0.25">
      <c r="F130" s="90"/>
      <c r="G130" s="90"/>
    </row>
    <row r="131" spans="1:26" ht="12" customHeight="1" x14ac:dyDescent="0.25">
      <c r="A131" s="23" t="s">
        <v>441</v>
      </c>
      <c r="F131" s="90"/>
      <c r="G131" s="90"/>
    </row>
    <row r="132" spans="1:26" ht="12" customHeight="1" x14ac:dyDescent="0.25">
      <c r="A132" s="96" t="s">
        <v>2249</v>
      </c>
      <c r="C132" s="86" t="s">
        <v>778</v>
      </c>
      <c r="D132" s="86" t="s">
        <v>247</v>
      </c>
      <c r="E132" s="86" t="s">
        <v>2250</v>
      </c>
      <c r="F132" s="89">
        <f>VLOOKUP(C132,'WSS-29'!$C$1:$AU$617,13,)</f>
        <v>853028865.43738949</v>
      </c>
      <c r="G132" s="89">
        <f t="shared" ref="G132:V134" si="54">IF(VLOOKUP($E132,$D$5:$V$977,3,)=0,0,(VLOOKUP($E132,$D$5:$V$977,G$1,)/VLOOKUP($E132,$D$5:$V$977,3,))*$F132)</f>
        <v>377164231.51907974</v>
      </c>
      <c r="H132" s="89">
        <f t="shared" si="54"/>
        <v>96810291.237558678</v>
      </c>
      <c r="I132" s="89">
        <f t="shared" si="54"/>
        <v>9907980.6867057309</v>
      </c>
      <c r="J132" s="89">
        <f t="shared" si="54"/>
        <v>86363237.462433428</v>
      </c>
      <c r="K132" s="89">
        <f t="shared" si="54"/>
        <v>3711098.8048816794</v>
      </c>
      <c r="L132" s="89">
        <f t="shared" si="54"/>
        <v>76402521.397875264</v>
      </c>
      <c r="M132" s="89">
        <f t="shared" si="54"/>
        <v>124431809.44606513</v>
      </c>
      <c r="N132" s="89">
        <f t="shared" si="54"/>
        <v>43150261.524401501</v>
      </c>
      <c r="O132" s="89">
        <f t="shared" si="54"/>
        <v>28913984.991474099</v>
      </c>
      <c r="P132" s="89">
        <f t="shared" si="54"/>
        <v>5823594.7197751934</v>
      </c>
      <c r="Q132" s="89">
        <f t="shared" si="54"/>
        <v>211880.30166557565</v>
      </c>
      <c r="R132" s="89">
        <f t="shared" si="54"/>
        <v>57085.728412131844</v>
      </c>
      <c r="S132" s="89">
        <f t="shared" si="54"/>
        <v>80386.010848548074</v>
      </c>
      <c r="T132" s="89">
        <f t="shared" si="54"/>
        <v>501.60621274921192</v>
      </c>
      <c r="U132" s="89">
        <f t="shared" si="54"/>
        <v>0</v>
      </c>
      <c r="V132" s="89">
        <f t="shared" si="54"/>
        <v>0</v>
      </c>
      <c r="W132" s="91">
        <f>SUM(G132:V132)</f>
        <v>853028865.43738961</v>
      </c>
      <c r="X132" s="87" t="str">
        <f>IF(ABS(F132-W132)&lt;0.01,"ok","err")</f>
        <v>ok</v>
      </c>
      <c r="Y132" s="203" t="str">
        <f>IF(X132="err",W132-F132,"")</f>
        <v/>
      </c>
    </row>
    <row r="133" spans="1:26" ht="12" hidden="1" customHeight="1" x14ac:dyDescent="0.25">
      <c r="A133" s="96" t="s">
        <v>2248</v>
      </c>
      <c r="C133" s="86" t="s">
        <v>778</v>
      </c>
      <c r="D133" s="86" t="s">
        <v>248</v>
      </c>
      <c r="E133" s="86" t="s">
        <v>2250</v>
      </c>
      <c r="F133" s="90">
        <f>VLOOKUP(C133,'WSS-29'!$C$1:$AU$617,14,)</f>
        <v>0</v>
      </c>
      <c r="G133" s="89">
        <f t="shared" si="54"/>
        <v>0</v>
      </c>
      <c r="H133" s="89">
        <f t="shared" si="54"/>
        <v>0</v>
      </c>
      <c r="I133" s="89">
        <f t="shared" si="54"/>
        <v>0</v>
      </c>
      <c r="J133" s="89">
        <f t="shared" si="54"/>
        <v>0</v>
      </c>
      <c r="K133" s="89">
        <f t="shared" si="54"/>
        <v>0</v>
      </c>
      <c r="L133" s="89">
        <f t="shared" si="54"/>
        <v>0</v>
      </c>
      <c r="M133" s="89">
        <f t="shared" si="54"/>
        <v>0</v>
      </c>
      <c r="N133" s="89">
        <f t="shared" si="54"/>
        <v>0</v>
      </c>
      <c r="O133" s="89">
        <f t="shared" si="54"/>
        <v>0</v>
      </c>
      <c r="P133" s="89">
        <f t="shared" si="54"/>
        <v>0</v>
      </c>
      <c r="Q133" s="89">
        <f t="shared" si="54"/>
        <v>0</v>
      </c>
      <c r="R133" s="89">
        <f t="shared" si="54"/>
        <v>0</v>
      </c>
      <c r="S133" s="89">
        <f t="shared" si="54"/>
        <v>0</v>
      </c>
      <c r="T133" s="89">
        <f t="shared" si="54"/>
        <v>0</v>
      </c>
      <c r="U133" s="89">
        <f t="shared" si="54"/>
        <v>0</v>
      </c>
      <c r="V133" s="89">
        <f t="shared" si="54"/>
        <v>0</v>
      </c>
      <c r="W133" s="91">
        <f>SUM(G133:V133)</f>
        <v>0</v>
      </c>
      <c r="X133" s="87" t="str">
        <f>IF(ABS(F133-W133)&lt;0.01,"ok","err")</f>
        <v>ok</v>
      </c>
      <c r="Y133" s="203" t="str">
        <f>IF(X133="err",W133-F133,"")</f>
        <v/>
      </c>
    </row>
    <row r="134" spans="1:26" ht="12" hidden="1" customHeight="1" x14ac:dyDescent="0.25">
      <c r="A134" s="96" t="s">
        <v>2248</v>
      </c>
      <c r="C134" s="86" t="s">
        <v>778</v>
      </c>
      <c r="D134" s="86" t="s">
        <v>249</v>
      </c>
      <c r="E134" s="86" t="s">
        <v>2250</v>
      </c>
      <c r="F134" s="90">
        <f>VLOOKUP(C134,'WSS-29'!$C$1:$AU$617,15,)</f>
        <v>0</v>
      </c>
      <c r="G134" s="89">
        <f t="shared" si="54"/>
        <v>0</v>
      </c>
      <c r="H134" s="89">
        <f t="shared" si="54"/>
        <v>0</v>
      </c>
      <c r="I134" s="89">
        <f t="shared" si="54"/>
        <v>0</v>
      </c>
      <c r="J134" s="89">
        <f t="shared" si="54"/>
        <v>0</v>
      </c>
      <c r="K134" s="89">
        <f t="shared" si="54"/>
        <v>0</v>
      </c>
      <c r="L134" s="89">
        <f t="shared" si="54"/>
        <v>0</v>
      </c>
      <c r="M134" s="89">
        <f t="shared" si="54"/>
        <v>0</v>
      </c>
      <c r="N134" s="89">
        <f t="shared" si="54"/>
        <v>0</v>
      </c>
      <c r="O134" s="89">
        <f t="shared" si="54"/>
        <v>0</v>
      </c>
      <c r="P134" s="89">
        <f t="shared" si="54"/>
        <v>0</v>
      </c>
      <c r="Q134" s="89">
        <f t="shared" si="54"/>
        <v>0</v>
      </c>
      <c r="R134" s="89">
        <f t="shared" si="54"/>
        <v>0</v>
      </c>
      <c r="S134" s="89">
        <f t="shared" si="54"/>
        <v>0</v>
      </c>
      <c r="T134" s="89">
        <f t="shared" si="54"/>
        <v>0</v>
      </c>
      <c r="U134" s="89">
        <f t="shared" si="54"/>
        <v>0</v>
      </c>
      <c r="V134" s="89">
        <f t="shared" si="54"/>
        <v>0</v>
      </c>
      <c r="W134" s="91">
        <f>SUM(G134:V134)</f>
        <v>0</v>
      </c>
      <c r="X134" s="87" t="str">
        <f>IF(ABS(F134-W134)&lt;0.01,"ok","err")</f>
        <v>ok</v>
      </c>
      <c r="Y134" s="203" t="str">
        <f>IF(X134="err",W134-F134,"")</f>
        <v/>
      </c>
    </row>
    <row r="135" spans="1:26" ht="12" hidden="1" customHeight="1" x14ac:dyDescent="0.25">
      <c r="A135" s="86" t="s">
        <v>443</v>
      </c>
      <c r="D135" s="86" t="s">
        <v>624</v>
      </c>
      <c r="F135" s="89">
        <f>SUM(F132:F134)</f>
        <v>853028865.43738949</v>
      </c>
      <c r="G135" s="89">
        <f t="shared" ref="G135:T135" si="55">SUM(G132:G134)</f>
        <v>377164231.51907974</v>
      </c>
      <c r="H135" s="89">
        <f t="shared" si="55"/>
        <v>96810291.237558678</v>
      </c>
      <c r="I135" s="89">
        <f>SUM(I132:I134)</f>
        <v>9907980.6867057309</v>
      </c>
      <c r="J135" s="89">
        <f>SUM(J132:J134)</f>
        <v>86363237.462433428</v>
      </c>
      <c r="K135" s="89">
        <f>SUM(K132:K134)</f>
        <v>3711098.8048816794</v>
      </c>
      <c r="L135" s="89">
        <f t="shared" si="55"/>
        <v>76402521.397875264</v>
      </c>
      <c r="M135" s="89">
        <f t="shared" si="55"/>
        <v>124431809.44606513</v>
      </c>
      <c r="N135" s="89">
        <f t="shared" si="55"/>
        <v>43150261.524401501</v>
      </c>
      <c r="O135" s="89">
        <f t="shared" si="55"/>
        <v>28913984.991474099</v>
      </c>
      <c r="P135" s="89">
        <f>SUM(P132:P134)</f>
        <v>5823594.7197751934</v>
      </c>
      <c r="Q135" s="89">
        <f t="shared" si="55"/>
        <v>211880.30166557565</v>
      </c>
      <c r="R135" s="89">
        <f t="shared" si="55"/>
        <v>57085.728412131844</v>
      </c>
      <c r="S135" s="89">
        <f t="shared" si="55"/>
        <v>80386.010848548074</v>
      </c>
      <c r="T135" s="89">
        <f t="shared" si="55"/>
        <v>501.60621274921192</v>
      </c>
      <c r="U135" s="89">
        <f>SUM(U132:U134)</f>
        <v>0</v>
      </c>
      <c r="V135" s="89">
        <f>SUM(V132:V134)</f>
        <v>0</v>
      </c>
      <c r="W135" s="91">
        <f>SUM(G135:V135)</f>
        <v>853028865.43738961</v>
      </c>
      <c r="X135" s="87" t="str">
        <f>IF(ABS(F135-W135)&lt;0.01,"ok","err")</f>
        <v>ok</v>
      </c>
      <c r="Y135" s="203" t="str">
        <f>IF(X135="err",W135-F135,"")</f>
        <v/>
      </c>
    </row>
    <row r="136" spans="1:26" ht="12" customHeight="1" x14ac:dyDescent="0.25">
      <c r="F136" s="90"/>
      <c r="G136" s="90"/>
    </row>
    <row r="137" spans="1:26" ht="12" customHeight="1" x14ac:dyDescent="0.25">
      <c r="A137" s="23" t="s">
        <v>1628</v>
      </c>
      <c r="F137" s="90"/>
      <c r="G137" s="90"/>
    </row>
    <row r="138" spans="1:26" ht="12" customHeight="1" x14ac:dyDescent="0.25">
      <c r="A138" s="96" t="s">
        <v>145</v>
      </c>
      <c r="C138" s="86" t="s">
        <v>778</v>
      </c>
      <c r="D138" s="86" t="s">
        <v>625</v>
      </c>
      <c r="E138" s="86" t="s">
        <v>2254</v>
      </c>
      <c r="F138" s="89">
        <f>VLOOKUP(C138,'WSS-29'!$C$1:$AU$617,17,)</f>
        <v>0</v>
      </c>
      <c r="G138" s="89">
        <f t="shared" ref="G138:V138" si="56">IF(VLOOKUP($E138,$D$5:$V$977,3,)=0,0,(VLOOKUP($E138,$D$5:$V$977,G$1,)/VLOOKUP($E138,$D$5:$V$977,3,))*$F138)</f>
        <v>0</v>
      </c>
      <c r="H138" s="89">
        <f t="shared" si="56"/>
        <v>0</v>
      </c>
      <c r="I138" s="89">
        <f t="shared" si="56"/>
        <v>0</v>
      </c>
      <c r="J138" s="89">
        <f t="shared" si="56"/>
        <v>0</v>
      </c>
      <c r="K138" s="89">
        <f t="shared" si="56"/>
        <v>0</v>
      </c>
      <c r="L138" s="89">
        <f t="shared" si="56"/>
        <v>0</v>
      </c>
      <c r="M138" s="89">
        <f t="shared" si="56"/>
        <v>0</v>
      </c>
      <c r="N138" s="89">
        <f t="shared" si="56"/>
        <v>0</v>
      </c>
      <c r="O138" s="89">
        <f t="shared" si="56"/>
        <v>0</v>
      </c>
      <c r="P138" s="89">
        <f t="shared" si="56"/>
        <v>0</v>
      </c>
      <c r="Q138" s="89">
        <f t="shared" si="56"/>
        <v>0</v>
      </c>
      <c r="R138" s="89">
        <f t="shared" si="56"/>
        <v>0</v>
      </c>
      <c r="S138" s="89">
        <f t="shared" si="56"/>
        <v>0</v>
      </c>
      <c r="T138" s="89">
        <f t="shared" si="56"/>
        <v>0</v>
      </c>
      <c r="U138" s="89">
        <f t="shared" si="56"/>
        <v>0</v>
      </c>
      <c r="V138" s="89">
        <f t="shared" si="56"/>
        <v>0</v>
      </c>
      <c r="W138" s="91">
        <f>SUM(G138:V138)</f>
        <v>0</v>
      </c>
      <c r="X138" s="87" t="str">
        <f>IF(ABS(F138-W138)&lt;0.01,"ok","err")</f>
        <v>ok</v>
      </c>
      <c r="Y138" s="203" t="str">
        <f>IF(X138="err",W138-F138,"")</f>
        <v/>
      </c>
    </row>
    <row r="139" spans="1:26" ht="12" customHeight="1" x14ac:dyDescent="0.25">
      <c r="F139" s="90"/>
    </row>
    <row r="140" spans="1:26" ht="12" customHeight="1" x14ac:dyDescent="0.25">
      <c r="A140" s="23" t="s">
        <v>1629</v>
      </c>
      <c r="F140" s="90"/>
      <c r="G140" s="90"/>
    </row>
    <row r="141" spans="1:26" ht="12" customHeight="1" x14ac:dyDescent="0.25">
      <c r="A141" s="96" t="s">
        <v>147</v>
      </c>
      <c r="C141" s="86" t="s">
        <v>778</v>
      </c>
      <c r="D141" s="86" t="s">
        <v>626</v>
      </c>
      <c r="E141" s="86" t="s">
        <v>2254</v>
      </c>
      <c r="F141" s="89">
        <f>VLOOKUP(C141,'WSS-29'!$C$1:$AU$617,18,)</f>
        <v>200340313.18001348</v>
      </c>
      <c r="G141" s="89">
        <f t="shared" ref="G141:V141" si="57">IF(VLOOKUP($E141,$D$5:$V$977,3,)=0,0,(VLOOKUP($E141,$D$5:$V$977,G$1,)/VLOOKUP($E141,$D$5:$V$977,3,))*$F141)</f>
        <v>96753679.273177609</v>
      </c>
      <c r="H141" s="89">
        <f t="shared" si="57"/>
        <v>24834677.007986188</v>
      </c>
      <c r="I141" s="89">
        <f t="shared" si="57"/>
        <v>2541687.4281671373</v>
      </c>
      <c r="J141" s="89">
        <f t="shared" si="57"/>
        <v>22154701.533543631</v>
      </c>
      <c r="K141" s="89">
        <f t="shared" si="57"/>
        <v>952005.60793483083</v>
      </c>
      <c r="L141" s="89">
        <f t="shared" si="57"/>
        <v>19599485.935394593</v>
      </c>
      <c r="M141" s="89">
        <f t="shared" si="57"/>
        <v>31920405.956938431</v>
      </c>
      <c r="N141" s="89">
        <f t="shared" si="57"/>
        <v>0</v>
      </c>
      <c r="O141" s="89">
        <f t="shared" si="57"/>
        <v>0</v>
      </c>
      <c r="P141" s="89">
        <f t="shared" si="57"/>
        <v>1493922.7229069734</v>
      </c>
      <c r="Q141" s="89">
        <f t="shared" si="57"/>
        <v>54353.507142201452</v>
      </c>
      <c r="R141" s="89">
        <f t="shared" si="57"/>
        <v>14644.162400070327</v>
      </c>
      <c r="S141" s="89">
        <f t="shared" si="57"/>
        <v>20621.367727170455</v>
      </c>
      <c r="T141" s="89">
        <f t="shared" si="57"/>
        <v>128.6766945908428</v>
      </c>
      <c r="U141" s="89">
        <f t="shared" si="57"/>
        <v>0</v>
      </c>
      <c r="V141" s="89">
        <f t="shared" si="57"/>
        <v>0</v>
      </c>
      <c r="W141" s="91">
        <f>SUM(G141:V141)</f>
        <v>200340313.18001345</v>
      </c>
      <c r="X141" s="87" t="str">
        <f>IF(ABS(F141-W141)&lt;0.01,"ok","err")</f>
        <v>ok</v>
      </c>
      <c r="Y141" s="203" t="str">
        <f>IF(X141="err",W141-F141,"")</f>
        <v/>
      </c>
      <c r="Z141" s="91"/>
    </row>
    <row r="142" spans="1:26" ht="12" customHeight="1" x14ac:dyDescent="0.25">
      <c r="F142" s="90"/>
    </row>
    <row r="143" spans="1:26" ht="12" customHeight="1" x14ac:dyDescent="0.25">
      <c r="A143" s="23" t="s">
        <v>146</v>
      </c>
      <c r="F143" s="90"/>
    </row>
    <row r="144" spans="1:26" ht="12" customHeight="1" x14ac:dyDescent="0.25">
      <c r="A144" s="96" t="s">
        <v>792</v>
      </c>
      <c r="C144" s="86" t="s">
        <v>778</v>
      </c>
      <c r="D144" s="86" t="s">
        <v>627</v>
      </c>
      <c r="E144" s="86" t="s">
        <v>2254</v>
      </c>
      <c r="F144" s="89">
        <f>VLOOKUP(C144,'WSS-29'!$C$1:$AU$617,19,)</f>
        <v>0</v>
      </c>
      <c r="G144" s="89">
        <f t="shared" ref="G144:V148" si="58">IF(VLOOKUP($E144,$D$5:$V$977,3,)=0,0,(VLOOKUP($E144,$D$5:$V$977,G$1,)/VLOOKUP($E144,$D$5:$V$977,3,))*$F144)</f>
        <v>0</v>
      </c>
      <c r="H144" s="89">
        <f t="shared" si="58"/>
        <v>0</v>
      </c>
      <c r="I144" s="89">
        <f t="shared" si="58"/>
        <v>0</v>
      </c>
      <c r="J144" s="89">
        <f t="shared" si="58"/>
        <v>0</v>
      </c>
      <c r="K144" s="89">
        <f t="shared" si="58"/>
        <v>0</v>
      </c>
      <c r="L144" s="89">
        <f t="shared" si="58"/>
        <v>0</v>
      </c>
      <c r="M144" s="89">
        <f t="shared" si="58"/>
        <v>0</v>
      </c>
      <c r="N144" s="89">
        <f t="shared" si="58"/>
        <v>0</v>
      </c>
      <c r="O144" s="89">
        <f t="shared" si="58"/>
        <v>0</v>
      </c>
      <c r="P144" s="89">
        <f t="shared" si="58"/>
        <v>0</v>
      </c>
      <c r="Q144" s="89">
        <f t="shared" si="58"/>
        <v>0</v>
      </c>
      <c r="R144" s="89">
        <f t="shared" si="58"/>
        <v>0</v>
      </c>
      <c r="S144" s="89">
        <f t="shared" si="58"/>
        <v>0</v>
      </c>
      <c r="T144" s="89">
        <f t="shared" si="58"/>
        <v>0</v>
      </c>
      <c r="U144" s="89">
        <f t="shared" si="58"/>
        <v>0</v>
      </c>
      <c r="V144" s="89">
        <f t="shared" si="58"/>
        <v>0</v>
      </c>
      <c r="W144" s="91">
        <f t="shared" ref="W144:W149" si="59">SUM(G144:V144)</f>
        <v>0</v>
      </c>
      <c r="X144" s="87" t="str">
        <f t="shared" ref="X144:X149" si="60">IF(ABS(F144-W144)&lt;0.01,"ok","err")</f>
        <v>ok</v>
      </c>
      <c r="Y144" s="203" t="str">
        <f t="shared" ref="Y144:Y149" si="61">IF(X144="err",W144-F144,"")</f>
        <v/>
      </c>
    </row>
    <row r="145" spans="1:25" ht="12" customHeight="1" x14ac:dyDescent="0.25">
      <c r="A145" s="96" t="s">
        <v>793</v>
      </c>
      <c r="C145" s="86" t="s">
        <v>778</v>
      </c>
      <c r="D145" s="86" t="s">
        <v>628</v>
      </c>
      <c r="E145" s="86" t="s">
        <v>2254</v>
      </c>
      <c r="F145" s="90">
        <f>VLOOKUP(C145,'WSS-29'!$C$1:$AU$617,20,)</f>
        <v>159803701.92078391</v>
      </c>
      <c r="G145" s="89">
        <f t="shared" si="58"/>
        <v>77176659.439566538</v>
      </c>
      <c r="H145" s="89">
        <f t="shared" si="58"/>
        <v>19809659.168882124</v>
      </c>
      <c r="I145" s="89">
        <f t="shared" si="58"/>
        <v>2027405.536606428</v>
      </c>
      <c r="J145" s="89">
        <f t="shared" si="58"/>
        <v>17671946.618298195</v>
      </c>
      <c r="K145" s="89">
        <f t="shared" si="58"/>
        <v>759377.97032709094</v>
      </c>
      <c r="L145" s="89">
        <f t="shared" si="58"/>
        <v>15633750.184897177</v>
      </c>
      <c r="M145" s="89">
        <f t="shared" si="58"/>
        <v>25461670.483411692</v>
      </c>
      <c r="N145" s="89">
        <f t="shared" si="58"/>
        <v>0</v>
      </c>
      <c r="O145" s="89">
        <f t="shared" si="58"/>
        <v>0</v>
      </c>
      <c r="P145" s="89">
        <f t="shared" si="58"/>
        <v>1191644.2463060333</v>
      </c>
      <c r="Q145" s="89">
        <f t="shared" si="58"/>
        <v>43355.685712126011</v>
      </c>
      <c r="R145" s="89">
        <f t="shared" si="58"/>
        <v>11681.080686729476</v>
      </c>
      <c r="S145" s="89">
        <f t="shared" si="58"/>
        <v>16448.865678424907</v>
      </c>
      <c r="T145" s="89">
        <f t="shared" si="58"/>
        <v>102.64041130888185</v>
      </c>
      <c r="U145" s="89">
        <f t="shared" si="58"/>
        <v>0</v>
      </c>
      <c r="V145" s="89">
        <f t="shared" si="58"/>
        <v>0</v>
      </c>
      <c r="W145" s="91">
        <f t="shared" si="59"/>
        <v>159803701.92078388</v>
      </c>
      <c r="X145" s="87" t="str">
        <f t="shared" si="60"/>
        <v>ok</v>
      </c>
      <c r="Y145" s="203" t="str">
        <f t="shared" si="61"/>
        <v/>
      </c>
    </row>
    <row r="146" spans="1:25" ht="12" customHeight="1" x14ac:dyDescent="0.25">
      <c r="A146" s="96" t="s">
        <v>794</v>
      </c>
      <c r="C146" s="86" t="s">
        <v>778</v>
      </c>
      <c r="D146" s="86" t="s">
        <v>629</v>
      </c>
      <c r="E146" s="86" t="s">
        <v>2448</v>
      </c>
      <c r="F146" s="90">
        <f>VLOOKUP(C146,'WSS-29'!$C$1:$AU$617,21,)</f>
        <v>310404047.83882767</v>
      </c>
      <c r="G146" s="89">
        <f t="shared" si="58"/>
        <v>249362982.43216795</v>
      </c>
      <c r="H146" s="89">
        <f t="shared" si="58"/>
        <v>46652370.949263036</v>
      </c>
      <c r="I146" s="89">
        <f t="shared" si="58"/>
        <v>239061.89556433677</v>
      </c>
      <c r="J146" s="89">
        <f t="shared" si="58"/>
        <v>2504511.6511716601</v>
      </c>
      <c r="K146" s="89">
        <f t="shared" si="58"/>
        <v>115020.34597906769</v>
      </c>
      <c r="L146" s="89">
        <f t="shared" si="58"/>
        <v>431326.29742150381</v>
      </c>
      <c r="M146" s="89">
        <f t="shared" si="58"/>
        <v>144339.25769922219</v>
      </c>
      <c r="N146" s="89">
        <f t="shared" si="58"/>
        <v>0</v>
      </c>
      <c r="O146" s="89">
        <f t="shared" si="58"/>
        <v>0</v>
      </c>
      <c r="P146" s="89">
        <f t="shared" si="58"/>
        <v>10856329.420343451</v>
      </c>
      <c r="Q146" s="89">
        <f t="shared" si="58"/>
        <v>6765.90270465104</v>
      </c>
      <c r="R146" s="89">
        <f t="shared" si="58"/>
        <v>83446.133357362822</v>
      </c>
      <c r="S146" s="89">
        <f t="shared" si="58"/>
        <v>2255.3009015503467</v>
      </c>
      <c r="T146" s="89">
        <f t="shared" si="58"/>
        <v>5638.2522538758667</v>
      </c>
      <c r="U146" s="89">
        <f t="shared" si="58"/>
        <v>0</v>
      </c>
      <c r="V146" s="89">
        <f t="shared" si="58"/>
        <v>0</v>
      </c>
      <c r="W146" s="91">
        <f t="shared" si="59"/>
        <v>310404047.83882773</v>
      </c>
      <c r="X146" s="87" t="str">
        <f t="shared" si="60"/>
        <v>ok</v>
      </c>
      <c r="Y146" s="203" t="str">
        <f t="shared" si="61"/>
        <v/>
      </c>
    </row>
    <row r="147" spans="1:25" ht="12" customHeight="1" x14ac:dyDescent="0.25">
      <c r="A147" s="96" t="s">
        <v>795</v>
      </c>
      <c r="C147" s="86" t="s">
        <v>778</v>
      </c>
      <c r="D147" s="86" t="s">
        <v>630</v>
      </c>
      <c r="E147" s="86" t="s">
        <v>734</v>
      </c>
      <c r="F147" s="90">
        <f>VLOOKUP(C147,'WSS-29'!$C$1:$AU$617,22,)</f>
        <v>71898861.194295272</v>
      </c>
      <c r="G147" s="89">
        <f t="shared" si="58"/>
        <v>59551887.06396696</v>
      </c>
      <c r="H147" s="89">
        <f t="shared" si="58"/>
        <v>11108747.247388622</v>
      </c>
      <c r="I147" s="89">
        <f t="shared" si="58"/>
        <v>805220.60299866227</v>
      </c>
      <c r="J147" s="89">
        <f t="shared" si="58"/>
        <v>0</v>
      </c>
      <c r="K147" s="89">
        <f t="shared" si="58"/>
        <v>0</v>
      </c>
      <c r="L147" s="89">
        <f t="shared" si="58"/>
        <v>0</v>
      </c>
      <c r="M147" s="89">
        <f t="shared" si="58"/>
        <v>0</v>
      </c>
      <c r="N147" s="89">
        <f t="shared" si="58"/>
        <v>0</v>
      </c>
      <c r="O147" s="89">
        <f t="shared" si="58"/>
        <v>0</v>
      </c>
      <c r="P147" s="89">
        <f t="shared" si="58"/>
        <v>413856.43837762723</v>
      </c>
      <c r="Q147" s="89">
        <f t="shared" si="58"/>
        <v>15057.371130571628</v>
      </c>
      <c r="R147" s="89">
        <f t="shared" si="58"/>
        <v>4056.8235565247933</v>
      </c>
      <c r="S147" s="89">
        <f t="shared" si="58"/>
        <v>0</v>
      </c>
      <c r="T147" s="89">
        <f t="shared" si="58"/>
        <v>35.646876313620403</v>
      </c>
      <c r="U147" s="89">
        <f t="shared" si="58"/>
        <v>0</v>
      </c>
      <c r="V147" s="89">
        <f t="shared" si="58"/>
        <v>0</v>
      </c>
      <c r="W147" s="91">
        <f t="shared" si="59"/>
        <v>71898861.194295287</v>
      </c>
      <c r="X147" s="87" t="str">
        <f t="shared" si="60"/>
        <v>ok</v>
      </c>
      <c r="Y147" s="203" t="str">
        <f t="shared" si="61"/>
        <v/>
      </c>
    </row>
    <row r="148" spans="1:25" ht="12" customHeight="1" x14ac:dyDescent="0.25">
      <c r="A148" s="96" t="s">
        <v>796</v>
      </c>
      <c r="C148" s="86" t="s">
        <v>778</v>
      </c>
      <c r="D148" s="86" t="s">
        <v>631</v>
      </c>
      <c r="E148" s="86" t="s">
        <v>2447</v>
      </c>
      <c r="F148" s="90">
        <f>VLOOKUP(C148,'WSS-29'!$C$1:$AU$617,23,)</f>
        <v>145014672.9463568</v>
      </c>
      <c r="G148" s="89">
        <f t="shared" si="58"/>
        <v>117707849.59049875</v>
      </c>
      <c r="H148" s="89">
        <f t="shared" si="58"/>
        <v>22021513.414605435</v>
      </c>
      <c r="I148" s="89">
        <f t="shared" si="58"/>
        <v>112845.38455326263</v>
      </c>
      <c r="J148" s="89">
        <f t="shared" si="58"/>
        <v>0</v>
      </c>
      <c r="K148" s="89">
        <f t="shared" si="58"/>
        <v>0</v>
      </c>
      <c r="L148" s="89">
        <f t="shared" si="58"/>
        <v>0</v>
      </c>
      <c r="M148" s="89">
        <f t="shared" si="58"/>
        <v>0</v>
      </c>
      <c r="N148" s="89">
        <f t="shared" si="58"/>
        <v>0</v>
      </c>
      <c r="O148" s="89">
        <f t="shared" si="58"/>
        <v>0</v>
      </c>
      <c r="P148" s="89">
        <f t="shared" si="58"/>
        <v>5124558.4972192198</v>
      </c>
      <c r="Q148" s="89">
        <f t="shared" si="58"/>
        <v>3193.7372986772443</v>
      </c>
      <c r="R148" s="89">
        <f t="shared" si="58"/>
        <v>39389.426683686019</v>
      </c>
      <c r="S148" s="89">
        <f t="shared" si="58"/>
        <v>0</v>
      </c>
      <c r="T148" s="89">
        <f t="shared" si="58"/>
        <v>5322.8954977954063</v>
      </c>
      <c r="U148" s="89">
        <f t="shared" si="58"/>
        <v>0</v>
      </c>
      <c r="V148" s="89">
        <f t="shared" si="58"/>
        <v>0</v>
      </c>
      <c r="W148" s="91">
        <f t="shared" si="59"/>
        <v>145014672.9463568</v>
      </c>
      <c r="X148" s="87" t="str">
        <f t="shared" si="60"/>
        <v>ok</v>
      </c>
      <c r="Y148" s="203" t="str">
        <f t="shared" si="61"/>
        <v/>
      </c>
    </row>
    <row r="149" spans="1:25" ht="12" customHeight="1" x14ac:dyDescent="0.25">
      <c r="A149" s="86" t="s">
        <v>151</v>
      </c>
      <c r="D149" s="86" t="s">
        <v>632</v>
      </c>
      <c r="F149" s="89">
        <f>SUM(F144:F148)</f>
        <v>687121283.90026367</v>
      </c>
      <c r="G149" s="89">
        <f t="shared" ref="G149:T149" si="62">SUM(G144:G148)</f>
        <v>503799378.52620023</v>
      </c>
      <c r="H149" s="89">
        <f t="shared" si="62"/>
        <v>99592290.780139223</v>
      </c>
      <c r="I149" s="89">
        <f>SUM(I144:I148)</f>
        <v>3184533.4197226893</v>
      </c>
      <c r="J149" s="89">
        <f>SUM(J144:J148)</f>
        <v>20176458.269469857</v>
      </c>
      <c r="K149" s="89">
        <f>SUM(K144:K148)</f>
        <v>874398.31630615867</v>
      </c>
      <c r="L149" s="89">
        <f t="shared" si="62"/>
        <v>16065076.482318681</v>
      </c>
      <c r="M149" s="89">
        <f t="shared" si="62"/>
        <v>25606009.741110913</v>
      </c>
      <c r="N149" s="89">
        <f t="shared" si="62"/>
        <v>0</v>
      </c>
      <c r="O149" s="89">
        <f t="shared" si="62"/>
        <v>0</v>
      </c>
      <c r="P149" s="89">
        <f>SUM(P144:P148)</f>
        <v>17586388.602246333</v>
      </c>
      <c r="Q149" s="89">
        <f t="shared" si="62"/>
        <v>68372.696846025923</v>
      </c>
      <c r="R149" s="89">
        <f t="shared" si="62"/>
        <v>138573.4642843031</v>
      </c>
      <c r="S149" s="89">
        <f t="shared" si="62"/>
        <v>18704.166579975252</v>
      </c>
      <c r="T149" s="89">
        <f t="shared" si="62"/>
        <v>11099.435039293776</v>
      </c>
      <c r="U149" s="89">
        <f>SUM(U144:U148)</f>
        <v>0</v>
      </c>
      <c r="V149" s="89">
        <f>SUM(V144:V148)</f>
        <v>0</v>
      </c>
      <c r="W149" s="91">
        <f t="shared" si="59"/>
        <v>687121283.90026355</v>
      </c>
      <c r="X149" s="87" t="str">
        <f t="shared" si="60"/>
        <v>ok</v>
      </c>
      <c r="Y149" s="91" t="str">
        <f t="shared" si="61"/>
        <v/>
      </c>
    </row>
    <row r="150" spans="1:25" ht="12" customHeight="1" x14ac:dyDescent="0.25">
      <c r="F150" s="90"/>
    </row>
    <row r="151" spans="1:25" ht="12" customHeight="1" x14ac:dyDescent="0.25">
      <c r="A151" s="23" t="s">
        <v>791</v>
      </c>
      <c r="F151" s="90"/>
    </row>
    <row r="152" spans="1:25" ht="12" customHeight="1" x14ac:dyDescent="0.25">
      <c r="A152" s="96" t="s">
        <v>389</v>
      </c>
      <c r="C152" s="86" t="s">
        <v>778</v>
      </c>
      <c r="D152" s="86" t="s">
        <v>633</v>
      </c>
      <c r="E152" s="86" t="s">
        <v>2179</v>
      </c>
      <c r="F152" s="89">
        <f>VLOOKUP(C152,'WSS-29'!$C$1:$AU$617,24,)</f>
        <v>104229017.66068386</v>
      </c>
      <c r="G152" s="89">
        <f t="shared" ref="G152:V153" si="63">IF(VLOOKUP($E152,$D$5:$V$977,3,)=0,0,(VLOOKUP($E152,$D$5:$V$977,G$1,)/VLOOKUP($E152,$D$5:$V$977,3,))*$F152)</f>
        <v>71246464.355851278</v>
      </c>
      <c r="H152" s="89">
        <f t="shared" si="63"/>
        <v>13290241.566133715</v>
      </c>
      <c r="I152" s="89">
        <f t="shared" si="63"/>
        <v>963346.81936306891</v>
      </c>
      <c r="J152" s="89">
        <f t="shared" si="63"/>
        <v>9819158.2828970123</v>
      </c>
      <c r="K152" s="89">
        <f t="shared" si="63"/>
        <v>0</v>
      </c>
      <c r="L152" s="89">
        <f t="shared" si="63"/>
        <v>8380129.5684562195</v>
      </c>
      <c r="M152" s="89">
        <f t="shared" si="63"/>
        <v>0</v>
      </c>
      <c r="N152" s="89">
        <f t="shared" si="63"/>
        <v>0</v>
      </c>
      <c r="O152" s="89">
        <f t="shared" si="63"/>
        <v>0</v>
      </c>
      <c r="P152" s="89">
        <f t="shared" si="63"/>
        <v>495128.02094145806</v>
      </c>
      <c r="Q152" s="89">
        <f t="shared" si="63"/>
        <v>18014.281468440731</v>
      </c>
      <c r="R152" s="89">
        <f t="shared" si="63"/>
        <v>4853.4874236220021</v>
      </c>
      <c r="S152" s="89">
        <f t="shared" si="63"/>
        <v>11638.63107221895</v>
      </c>
      <c r="T152" s="89">
        <f t="shared" si="63"/>
        <v>42.647076824749334</v>
      </c>
      <c r="U152" s="89">
        <f t="shared" si="63"/>
        <v>0</v>
      </c>
      <c r="V152" s="89">
        <f t="shared" si="63"/>
        <v>0</v>
      </c>
      <c r="W152" s="91">
        <f>SUM(G152:V152)</f>
        <v>104229017.66068387</v>
      </c>
      <c r="X152" s="87" t="str">
        <f>IF(ABS(F152-W152)&lt;0.01,"ok","err")</f>
        <v>ok</v>
      </c>
      <c r="Y152" s="203" t="str">
        <f>IF(X152="err",W152-F152,"")</f>
        <v/>
      </c>
    </row>
    <row r="153" spans="1:25" ht="12" customHeight="1" x14ac:dyDescent="0.25">
      <c r="A153" s="96" t="s">
        <v>392</v>
      </c>
      <c r="C153" s="86" t="s">
        <v>778</v>
      </c>
      <c r="D153" s="86" t="s">
        <v>634</v>
      </c>
      <c r="E153" s="86" t="s">
        <v>2449</v>
      </c>
      <c r="F153" s="90">
        <f>VLOOKUP(C153,'WSS-29'!$C$1:$AU$617,25,)</f>
        <v>86596282.198325098</v>
      </c>
      <c r="G153" s="89">
        <f t="shared" si="63"/>
        <v>69625268.513835266</v>
      </c>
      <c r="H153" s="89">
        <f t="shared" si="63"/>
        <v>13025926.392394917</v>
      </c>
      <c r="I153" s="89">
        <f t="shared" si="63"/>
        <v>66749.07601661011</v>
      </c>
      <c r="J153" s="89">
        <f t="shared" si="63"/>
        <v>699291.02751363697</v>
      </c>
      <c r="K153" s="89">
        <f t="shared" si="63"/>
        <v>0</v>
      </c>
      <c r="L153" s="89">
        <f t="shared" si="63"/>
        <v>120431.70554883663</v>
      </c>
      <c r="M153" s="89">
        <f t="shared" si="63"/>
        <v>0</v>
      </c>
      <c r="N153" s="89">
        <f t="shared" si="63"/>
        <v>0</v>
      </c>
      <c r="O153" s="89">
        <f t="shared" si="63"/>
        <v>0</v>
      </c>
      <c r="P153" s="89">
        <f t="shared" si="63"/>
        <v>3031223.1735184528</v>
      </c>
      <c r="Q153" s="89">
        <f t="shared" si="63"/>
        <v>1889.1247929229276</v>
      </c>
      <c r="R153" s="89">
        <f t="shared" si="63"/>
        <v>23299.205779382773</v>
      </c>
      <c r="S153" s="89">
        <f t="shared" si="63"/>
        <v>629.70826430764259</v>
      </c>
      <c r="T153" s="89">
        <f t="shared" si="63"/>
        <v>1574.2706607691064</v>
      </c>
      <c r="U153" s="89">
        <f t="shared" si="63"/>
        <v>0</v>
      </c>
      <c r="V153" s="89">
        <f t="shared" si="63"/>
        <v>0</v>
      </c>
      <c r="W153" s="91">
        <f>SUM(G153:V153)</f>
        <v>86596282.198325098</v>
      </c>
      <c r="X153" s="87" t="str">
        <f>IF(ABS(F153-W153)&lt;0.01,"ok","err")</f>
        <v>ok</v>
      </c>
      <c r="Y153" s="203" t="str">
        <f>IF(X153="err",W153-F153,"")</f>
        <v/>
      </c>
    </row>
    <row r="154" spans="1:25" ht="12" customHeight="1" x14ac:dyDescent="0.25">
      <c r="A154" s="86" t="s">
        <v>1469</v>
      </c>
      <c r="D154" s="86" t="s">
        <v>635</v>
      </c>
      <c r="F154" s="89">
        <f t="shared" ref="F154:T154" si="64">F152+F153</f>
        <v>190825299.85900897</v>
      </c>
      <c r="G154" s="89">
        <f t="shared" si="64"/>
        <v>140871732.86968654</v>
      </c>
      <c r="H154" s="89">
        <f t="shared" si="64"/>
        <v>26316167.95852863</v>
      </c>
      <c r="I154" s="89">
        <f>I152+I153</f>
        <v>1030095.895379679</v>
      </c>
      <c r="J154" s="89">
        <f>J152+J153</f>
        <v>10518449.310410649</v>
      </c>
      <c r="K154" s="89">
        <f>K152+K153</f>
        <v>0</v>
      </c>
      <c r="L154" s="89">
        <f t="shared" si="64"/>
        <v>8500561.2740050554</v>
      </c>
      <c r="M154" s="89">
        <f t="shared" si="64"/>
        <v>0</v>
      </c>
      <c r="N154" s="89">
        <f t="shared" si="64"/>
        <v>0</v>
      </c>
      <c r="O154" s="89">
        <f t="shared" si="64"/>
        <v>0</v>
      </c>
      <c r="P154" s="89">
        <f>P152+P153</f>
        <v>3526351.194459911</v>
      </c>
      <c r="Q154" s="89">
        <f t="shared" si="64"/>
        <v>19903.40626136366</v>
      </c>
      <c r="R154" s="89">
        <f t="shared" si="64"/>
        <v>28152.693203004776</v>
      </c>
      <c r="S154" s="89">
        <f t="shared" si="64"/>
        <v>12268.339336526593</v>
      </c>
      <c r="T154" s="89">
        <f t="shared" si="64"/>
        <v>1616.9177375938557</v>
      </c>
      <c r="U154" s="89">
        <f>U152+U153</f>
        <v>0</v>
      </c>
      <c r="V154" s="89">
        <f>V152+V153</f>
        <v>0</v>
      </c>
      <c r="W154" s="91">
        <f>SUM(G154:V154)</f>
        <v>190825299.85900897</v>
      </c>
      <c r="X154" s="87" t="str">
        <f>IF(ABS(F154-W154)&lt;0.01,"ok","err")</f>
        <v>ok</v>
      </c>
      <c r="Y154" s="91" t="str">
        <f>IF(X154="err",W154-F154,"")</f>
        <v/>
      </c>
    </row>
    <row r="155" spans="1:25" ht="12" customHeight="1" x14ac:dyDescent="0.25">
      <c r="F155" s="90"/>
    </row>
    <row r="156" spans="1:25" ht="12" customHeight="1" x14ac:dyDescent="0.25">
      <c r="A156" s="23" t="s">
        <v>128</v>
      </c>
      <c r="F156" s="90"/>
    </row>
    <row r="157" spans="1:25" ht="12" customHeight="1" x14ac:dyDescent="0.25">
      <c r="A157" s="96" t="s">
        <v>392</v>
      </c>
      <c r="C157" s="86" t="s">
        <v>778</v>
      </c>
      <c r="D157" s="86" t="s">
        <v>636</v>
      </c>
      <c r="E157" s="86" t="s">
        <v>393</v>
      </c>
      <c r="F157" s="89">
        <f>VLOOKUP(C157,'WSS-29'!$C$1:$AU$617,26,)</f>
        <v>73005397.52075699</v>
      </c>
      <c r="G157" s="89">
        <f t="shared" ref="G157:V157" si="65">IF(VLOOKUP($E157,$D$5:$V$977,3,)=0,0,(VLOOKUP($E157,$D$5:$V$977,G$1,)/VLOOKUP($E157,$D$5:$V$977,3,))*$F157)</f>
        <v>57737308.979420155</v>
      </c>
      <c r="H157" s="89">
        <f t="shared" si="65"/>
        <v>12979759.329738388</v>
      </c>
      <c r="I157" s="89">
        <f t="shared" si="65"/>
        <v>117437.38785792128</v>
      </c>
      <c r="J157" s="89">
        <f t="shared" si="65"/>
        <v>1686789.3830266292</v>
      </c>
      <c r="K157" s="89">
        <f t="shared" si="65"/>
        <v>0</v>
      </c>
      <c r="L157" s="89">
        <f t="shared" si="65"/>
        <v>482583.05065134919</v>
      </c>
      <c r="M157" s="89">
        <f t="shared" si="65"/>
        <v>0</v>
      </c>
      <c r="N157" s="89">
        <f t="shared" si="65"/>
        <v>0</v>
      </c>
      <c r="O157" s="89">
        <f t="shared" si="65"/>
        <v>0</v>
      </c>
      <c r="P157" s="89">
        <f t="shared" si="65"/>
        <v>0</v>
      </c>
      <c r="Q157" s="89">
        <f t="shared" si="65"/>
        <v>0</v>
      </c>
      <c r="R157" s="89">
        <f t="shared" si="65"/>
        <v>0</v>
      </c>
      <c r="S157" s="89">
        <f t="shared" si="65"/>
        <v>1519.3900625465055</v>
      </c>
      <c r="T157" s="89">
        <f t="shared" si="65"/>
        <v>0</v>
      </c>
      <c r="U157" s="89">
        <f t="shared" si="65"/>
        <v>0</v>
      </c>
      <c r="V157" s="89">
        <f t="shared" si="65"/>
        <v>0</v>
      </c>
      <c r="W157" s="91">
        <f>SUM(G157:V157)</f>
        <v>73005397.52075699</v>
      </c>
      <c r="X157" s="87" t="str">
        <f>IF(ABS(F157-W157)&lt;0.01,"ok","err")</f>
        <v>ok</v>
      </c>
      <c r="Y157" s="203" t="str">
        <f>IF(X157="err",W157-F157,"")</f>
        <v/>
      </c>
    </row>
    <row r="158" spans="1:25" ht="12" customHeight="1" x14ac:dyDescent="0.25">
      <c r="F158" s="90"/>
    </row>
    <row r="159" spans="1:25" ht="12" customHeight="1" x14ac:dyDescent="0.25">
      <c r="A159" s="23" t="s">
        <v>127</v>
      </c>
      <c r="F159" s="90"/>
    </row>
    <row r="160" spans="1:25" ht="12" customHeight="1" x14ac:dyDescent="0.25">
      <c r="A160" s="96" t="s">
        <v>392</v>
      </c>
      <c r="C160" s="86" t="s">
        <v>778</v>
      </c>
      <c r="D160" s="86" t="s">
        <v>637</v>
      </c>
      <c r="E160" s="86" t="s">
        <v>2432</v>
      </c>
      <c r="F160" s="89">
        <f>VLOOKUP(C160,'WSS-29'!$C$1:$AU$617,27,)</f>
        <v>45031431.200968683</v>
      </c>
      <c r="G160" s="89">
        <f t="shared" ref="G160:V160" si="66">IF(VLOOKUP($E160,$D$5:$V$977,3,)=0,0,(VLOOKUP($E160,$D$5:$V$977,G$1,)/VLOOKUP($E160,$D$5:$V$977,3,))*$F160)</f>
        <v>27151048.979158487</v>
      </c>
      <c r="H160" s="89">
        <f t="shared" si="66"/>
        <v>10956257.791402731</v>
      </c>
      <c r="I160" s="89">
        <f t="shared" si="66"/>
        <v>223640.28221716473</v>
      </c>
      <c r="J160" s="89">
        <f t="shared" si="66"/>
        <v>3425612.2029005815</v>
      </c>
      <c r="K160" s="89">
        <f t="shared" si="66"/>
        <v>669916.10541849199</v>
      </c>
      <c r="L160" s="89">
        <f t="shared" si="66"/>
        <v>612711.75488212216</v>
      </c>
      <c r="M160" s="89">
        <f t="shared" si="66"/>
        <v>1186737.3873200775</v>
      </c>
      <c r="N160" s="89">
        <f t="shared" si="66"/>
        <v>588375.9212855401</v>
      </c>
      <c r="O160" s="89">
        <f t="shared" si="66"/>
        <v>36320.188034255931</v>
      </c>
      <c r="P160" s="89">
        <f t="shared" si="66"/>
        <v>0</v>
      </c>
      <c r="Q160" s="89">
        <f t="shared" si="66"/>
        <v>6629.0624149026244</v>
      </c>
      <c r="R160" s="89">
        <f t="shared" si="66"/>
        <v>81697.056242920313</v>
      </c>
      <c r="S160" s="89">
        <f t="shared" si="66"/>
        <v>3085.6496914191321</v>
      </c>
      <c r="T160" s="89">
        <f t="shared" si="66"/>
        <v>89398.82</v>
      </c>
      <c r="U160" s="89">
        <f t="shared" si="66"/>
        <v>0</v>
      </c>
      <c r="V160" s="89">
        <f t="shared" si="66"/>
        <v>0</v>
      </c>
      <c r="W160" s="91">
        <f>SUM(G160:V160)</f>
        <v>45031431.20096869</v>
      </c>
      <c r="X160" s="87" t="str">
        <f>IF(ABS(F160-W160)&lt;0.01,"ok","err")</f>
        <v>ok</v>
      </c>
      <c r="Y160" s="203" t="str">
        <f>IF(X160="err",W160-F160,"")</f>
        <v/>
      </c>
    </row>
    <row r="161" spans="1:27" ht="12" customHeight="1" x14ac:dyDescent="0.25">
      <c r="F161" s="90"/>
    </row>
    <row r="162" spans="1:27" ht="12" customHeight="1" x14ac:dyDescent="0.25">
      <c r="A162" s="23" t="s">
        <v>144</v>
      </c>
      <c r="F162" s="90"/>
    </row>
    <row r="163" spans="1:27" ht="12" customHeight="1" x14ac:dyDescent="0.25">
      <c r="A163" s="96" t="s">
        <v>392</v>
      </c>
      <c r="C163" s="86" t="s">
        <v>778</v>
      </c>
      <c r="D163" s="86" t="s">
        <v>638</v>
      </c>
      <c r="E163" s="86" t="s">
        <v>2444</v>
      </c>
      <c r="F163" s="89">
        <f>VLOOKUP(C163,'WSS-29'!$C$1:$AU$617,28,)</f>
        <v>83606234.160107493</v>
      </c>
      <c r="G163" s="89">
        <f t="shared" ref="G163:V163" si="67">IF(VLOOKUP($E163,$D$5:$V$977,3,)=0,0,(VLOOKUP($E163,$D$5:$V$977,G$1,)/VLOOKUP($E163,$D$5:$V$977,3,))*$F163)</f>
        <v>0</v>
      </c>
      <c r="H163" s="89">
        <f t="shared" si="67"/>
        <v>0</v>
      </c>
      <c r="I163" s="89">
        <f t="shared" si="67"/>
        <v>0</v>
      </c>
      <c r="J163" s="89">
        <f t="shared" si="67"/>
        <v>0</v>
      </c>
      <c r="K163" s="89">
        <f t="shared" si="67"/>
        <v>0</v>
      </c>
      <c r="L163" s="89">
        <f t="shared" si="67"/>
        <v>0</v>
      </c>
      <c r="M163" s="89">
        <f t="shared" si="67"/>
        <v>0</v>
      </c>
      <c r="N163" s="89">
        <f t="shared" si="67"/>
        <v>0</v>
      </c>
      <c r="O163" s="89">
        <f t="shared" si="67"/>
        <v>0</v>
      </c>
      <c r="P163" s="89">
        <f t="shared" si="67"/>
        <v>83606234.160107493</v>
      </c>
      <c r="Q163" s="89">
        <f t="shared" si="67"/>
        <v>0</v>
      </c>
      <c r="R163" s="89">
        <f t="shared" si="67"/>
        <v>0</v>
      </c>
      <c r="S163" s="89">
        <f t="shared" si="67"/>
        <v>0</v>
      </c>
      <c r="T163" s="89">
        <f t="shared" si="67"/>
        <v>0</v>
      </c>
      <c r="U163" s="89">
        <f t="shared" si="67"/>
        <v>0</v>
      </c>
      <c r="V163" s="89">
        <f t="shared" si="67"/>
        <v>0</v>
      </c>
      <c r="W163" s="91">
        <f>SUM(G163:V163)</f>
        <v>83606234.160107493</v>
      </c>
      <c r="X163" s="87" t="str">
        <f>IF(ABS(F163-W163)&lt;0.01,"ok","err")</f>
        <v>ok</v>
      </c>
      <c r="Y163" s="203" t="str">
        <f>IF(X163="err",W163-F163,"")</f>
        <v/>
      </c>
      <c r="AA163" s="196"/>
    </row>
    <row r="164" spans="1:27" ht="12" customHeight="1" x14ac:dyDescent="0.25">
      <c r="F164" s="90"/>
    </row>
    <row r="165" spans="1:27" ht="12" customHeight="1" x14ac:dyDescent="0.25">
      <c r="A165" s="23" t="s">
        <v>292</v>
      </c>
      <c r="F165" s="90"/>
    </row>
    <row r="166" spans="1:27" ht="12" customHeight="1" x14ac:dyDescent="0.25">
      <c r="A166" s="96" t="s">
        <v>392</v>
      </c>
      <c r="C166" s="86" t="s">
        <v>778</v>
      </c>
      <c r="D166" s="86" t="s">
        <v>639</v>
      </c>
      <c r="E166" s="86" t="s">
        <v>2443</v>
      </c>
      <c r="F166" s="89">
        <f>VLOOKUP(C166,'WSS-29'!$C$1:$AU$617,30,)</f>
        <v>8704113.9440225586</v>
      </c>
      <c r="G166" s="89">
        <f t="shared" ref="G166:V166" si="68">IF(VLOOKUP($E166,$D$5:$V$977,3,)=0,0,(VLOOKUP($E166,$D$5:$V$977,G$1,)/VLOOKUP($E166,$D$5:$V$977,3,))*$F166)</f>
        <v>5654851.5604334269</v>
      </c>
      <c r="H166" s="89">
        <f t="shared" si="68"/>
        <v>2115886.4731460996</v>
      </c>
      <c r="I166" s="89">
        <f t="shared" si="68"/>
        <v>54212.518633951491</v>
      </c>
      <c r="J166" s="89">
        <f t="shared" si="68"/>
        <v>283976.42425944872</v>
      </c>
      <c r="K166" s="89">
        <f t="shared" si="68"/>
        <v>13041.690803450594</v>
      </c>
      <c r="L166" s="89">
        <f t="shared" si="68"/>
        <v>244531.70256469864</v>
      </c>
      <c r="M166" s="89">
        <f t="shared" si="68"/>
        <v>81830.216805964519</v>
      </c>
      <c r="N166" s="89">
        <f t="shared" si="68"/>
        <v>6392.9856879659774</v>
      </c>
      <c r="O166" s="89">
        <f t="shared" si="68"/>
        <v>639.29856879659781</v>
      </c>
      <c r="P166" s="89">
        <f t="shared" si="68"/>
        <v>246193.87884356981</v>
      </c>
      <c r="Q166" s="89">
        <f t="shared" si="68"/>
        <v>153.43165651118346</v>
      </c>
      <c r="R166" s="89">
        <f t="shared" si="68"/>
        <v>1892.3237636379295</v>
      </c>
      <c r="S166" s="89">
        <f t="shared" si="68"/>
        <v>255.71942751863912</v>
      </c>
      <c r="T166" s="89">
        <f t="shared" si="68"/>
        <v>255.71942751863912</v>
      </c>
      <c r="U166" s="89">
        <f t="shared" si="68"/>
        <v>0</v>
      </c>
      <c r="V166" s="89">
        <f t="shared" si="68"/>
        <v>0</v>
      </c>
      <c r="W166" s="91">
        <f>SUM(G166:V166)</f>
        <v>8704113.9440225586</v>
      </c>
      <c r="X166" s="87" t="str">
        <f>IF(ABS(F166-W166)&lt;0.01,"ok","err")</f>
        <v>ok</v>
      </c>
      <c r="Y166" s="203" t="str">
        <f>IF(X166="err",W166-F166,"")</f>
        <v/>
      </c>
    </row>
    <row r="167" spans="1:27" ht="12" customHeight="1" x14ac:dyDescent="0.25">
      <c r="F167" s="90"/>
    </row>
    <row r="168" spans="1:27" ht="12" customHeight="1" x14ac:dyDescent="0.25">
      <c r="A168" s="23" t="s">
        <v>1631</v>
      </c>
      <c r="F168" s="90"/>
    </row>
    <row r="169" spans="1:27" ht="12" customHeight="1" x14ac:dyDescent="0.25">
      <c r="A169" s="96" t="s">
        <v>392</v>
      </c>
      <c r="C169" s="86" t="s">
        <v>778</v>
      </c>
      <c r="D169" s="86" t="s">
        <v>640</v>
      </c>
      <c r="E169" s="86" t="s">
        <v>2443</v>
      </c>
      <c r="F169" s="89">
        <f>VLOOKUP(C169,'WSS-29'!$C$1:$AU$617,32,)</f>
        <v>1105952.9603598018</v>
      </c>
      <c r="G169" s="89">
        <f t="shared" ref="G169:V169" si="69">IF(VLOOKUP($E169,$D$5:$V$977,3,)=0,0,(VLOOKUP($E169,$D$5:$V$977,G$1,)/VLOOKUP($E169,$D$5:$V$977,3,))*$F169)</f>
        <v>718510.79430680582</v>
      </c>
      <c r="H169" s="89">
        <f t="shared" si="69"/>
        <v>268846.53898266156</v>
      </c>
      <c r="I169" s="89">
        <f t="shared" si="69"/>
        <v>6888.2939558660009</v>
      </c>
      <c r="J169" s="89">
        <f t="shared" si="69"/>
        <v>36082.31338674148</v>
      </c>
      <c r="K169" s="89">
        <f t="shared" si="69"/>
        <v>1657.0895837224814</v>
      </c>
      <c r="L169" s="89">
        <f t="shared" si="69"/>
        <v>31070.429694796527</v>
      </c>
      <c r="M169" s="89">
        <f t="shared" si="69"/>
        <v>10397.42483904302</v>
      </c>
      <c r="N169" s="89">
        <f t="shared" si="69"/>
        <v>812.29881555023599</v>
      </c>
      <c r="O169" s="89">
        <f t="shared" si="69"/>
        <v>81.229881555023596</v>
      </c>
      <c r="P169" s="89">
        <f t="shared" si="69"/>
        <v>31281.627386839587</v>
      </c>
      <c r="Q169" s="89">
        <f t="shared" si="69"/>
        <v>19.495171573205663</v>
      </c>
      <c r="R169" s="89">
        <f t="shared" si="69"/>
        <v>240.44044940286986</v>
      </c>
      <c r="S169" s="89">
        <f t="shared" si="69"/>
        <v>32.491952622009435</v>
      </c>
      <c r="T169" s="89">
        <f t="shared" si="69"/>
        <v>32.491952622009435</v>
      </c>
      <c r="U169" s="89">
        <f t="shared" si="69"/>
        <v>0</v>
      </c>
      <c r="V169" s="89">
        <f t="shared" si="69"/>
        <v>0</v>
      </c>
      <c r="W169" s="91">
        <f>SUM(G169:V169)</f>
        <v>1105952.9603598022</v>
      </c>
      <c r="X169" s="87" t="str">
        <f>IF(ABS(F169-W169)&lt;0.01,"ok","err")</f>
        <v>ok</v>
      </c>
      <c r="Y169" s="203" t="str">
        <f>IF(X169="err",W169-F169,"")</f>
        <v/>
      </c>
    </row>
    <row r="170" spans="1:27" ht="12" customHeight="1" x14ac:dyDescent="0.25">
      <c r="F170" s="90"/>
    </row>
    <row r="171" spans="1:27" ht="12" customHeight="1" x14ac:dyDescent="0.25">
      <c r="A171" s="23" t="s">
        <v>1630</v>
      </c>
      <c r="F171" s="90"/>
    </row>
    <row r="172" spans="1:27" ht="12" customHeight="1" x14ac:dyDescent="0.25">
      <c r="A172" s="96" t="s">
        <v>392</v>
      </c>
      <c r="C172" s="86" t="s">
        <v>778</v>
      </c>
      <c r="D172" s="86" t="s">
        <v>641</v>
      </c>
      <c r="E172" s="86" t="s">
        <v>2446</v>
      </c>
      <c r="F172" s="89">
        <f>VLOOKUP(C172,'WSS-29'!$C$1:$AU$617,34,)</f>
        <v>0</v>
      </c>
      <c r="G172" s="89">
        <f t="shared" ref="G172:V172" si="70">IF(VLOOKUP($E172,$D$5:$V$977,3,)=0,0,(VLOOKUP($E172,$D$5:$V$977,G$1,)/VLOOKUP($E172,$D$5:$V$977,3,))*$F172)</f>
        <v>0</v>
      </c>
      <c r="H172" s="89">
        <f t="shared" si="70"/>
        <v>0</v>
      </c>
      <c r="I172" s="89">
        <f t="shared" si="70"/>
        <v>0</v>
      </c>
      <c r="J172" s="89">
        <f t="shared" si="70"/>
        <v>0</v>
      </c>
      <c r="K172" s="89">
        <f t="shared" si="70"/>
        <v>0</v>
      </c>
      <c r="L172" s="89">
        <f t="shared" si="70"/>
        <v>0</v>
      </c>
      <c r="M172" s="89">
        <f t="shared" si="70"/>
        <v>0</v>
      </c>
      <c r="N172" s="89">
        <f t="shared" si="70"/>
        <v>0</v>
      </c>
      <c r="O172" s="89">
        <f t="shared" si="70"/>
        <v>0</v>
      </c>
      <c r="P172" s="89">
        <f t="shared" si="70"/>
        <v>0</v>
      </c>
      <c r="Q172" s="89">
        <f t="shared" si="70"/>
        <v>0</v>
      </c>
      <c r="R172" s="89">
        <f t="shared" si="70"/>
        <v>0</v>
      </c>
      <c r="S172" s="89">
        <f t="shared" si="70"/>
        <v>0</v>
      </c>
      <c r="T172" s="89">
        <f t="shared" si="70"/>
        <v>0</v>
      </c>
      <c r="U172" s="89">
        <f t="shared" si="70"/>
        <v>0</v>
      </c>
      <c r="V172" s="89">
        <f t="shared" si="70"/>
        <v>0</v>
      </c>
      <c r="W172" s="91">
        <f>SUM(G172:V172)</f>
        <v>0</v>
      </c>
      <c r="X172" s="87" t="str">
        <f>IF(ABS(F172-W172)&lt;0.01,"ok","err")</f>
        <v>ok</v>
      </c>
      <c r="Y172" s="203" t="str">
        <f>IF(X172="err",W172-F172,"")</f>
        <v/>
      </c>
    </row>
    <row r="173" spans="1:27" ht="12" customHeight="1" x14ac:dyDescent="0.25">
      <c r="F173" s="90"/>
    </row>
    <row r="174" spans="1:27" ht="12" customHeight="1" x14ac:dyDescent="0.25">
      <c r="A174" s="86" t="s">
        <v>62</v>
      </c>
      <c r="D174" s="86" t="s">
        <v>402</v>
      </c>
      <c r="F174" s="89">
        <f>F129+F135+F138+F141+F149+F154+F157+F160+F163+F166+F169+F172</f>
        <v>5197832023.3399992</v>
      </c>
      <c r="G174" s="89">
        <f t="shared" ref="G174:T174" si="71">G129+G135+G138+G141+G149+G154+G157+G160+G163+G166+G169+G172</f>
        <v>2457262896.4775939</v>
      </c>
      <c r="H174" s="89">
        <f t="shared" si="71"/>
        <v>610215074.31991637</v>
      </c>
      <c r="I174" s="89">
        <f>I129+I135+I138+I141+I149+I154+I157+I160+I163+I166+I169+I172</f>
        <v>38745077.376713946</v>
      </c>
      <c r="J174" s="89">
        <f>J129+J135+J138+J141+J149+J154+J157+J160+J163+J166+J169+J172</f>
        <v>458917674.33772969</v>
      </c>
      <c r="K174" s="89">
        <f>K129+K135+K138+K141+K149+K154+K157+K160+K163+K166+K169+K172</f>
        <v>19889476.254637145</v>
      </c>
      <c r="L174" s="89">
        <f t="shared" si="71"/>
        <v>424876670.28377599</v>
      </c>
      <c r="M174" s="89">
        <f t="shared" si="71"/>
        <v>740522922.29555535</v>
      </c>
      <c r="N174" s="89">
        <f t="shared" si="71"/>
        <v>225552348.81659499</v>
      </c>
      <c r="O174" s="89">
        <f>O129+O135+O138+O141+O149+O154+O157+O160+O163+O166+O169+O172</f>
        <v>104343933.18818319</v>
      </c>
      <c r="P174" s="89">
        <f>P129+P135+P138+P141+P149+P154+P157+P160+P163+P166+P169+P172</f>
        <v>113343713.20751949</v>
      </c>
      <c r="Q174" s="89">
        <f t="shared" si="71"/>
        <v>398777.2411763831</v>
      </c>
      <c r="R174" s="89">
        <f t="shared" si="71"/>
        <v>615337.83011701179</v>
      </c>
      <c r="S174" s="89">
        <f t="shared" si="71"/>
        <v>174679.19030271503</v>
      </c>
      <c r="T174" s="89">
        <f t="shared" si="71"/>
        <v>105538.72018323612</v>
      </c>
      <c r="U174" s="89">
        <f>U129+U135+U138+U141+U149+U154+U157+U160+U163+U166+U169+U172</f>
        <v>2576969.3631635425</v>
      </c>
      <c r="V174" s="89">
        <f>V129+V135+V138+V141+V149+V154+V157+V160+V163+V166+V169+V172</f>
        <v>290934.43683645804</v>
      </c>
      <c r="W174" s="91">
        <f>SUM(G174:V174)</f>
        <v>5197832023.3399992</v>
      </c>
      <c r="X174" s="87" t="str">
        <f>IF(ABS(F174-W174)&lt;0.01,"ok","err")</f>
        <v>ok</v>
      </c>
      <c r="Y174" s="203" t="str">
        <f>IF(X174="err",W174-F174,"")</f>
        <v/>
      </c>
    </row>
    <row r="176" spans="1:27" ht="12" customHeight="1" x14ac:dyDescent="0.25">
      <c r="L176" s="91"/>
      <c r="M176" s="91"/>
      <c r="N176" s="91"/>
      <c r="O176" s="91"/>
    </row>
    <row r="177" spans="1:25" ht="12" customHeight="1" x14ac:dyDescent="0.25">
      <c r="A177" s="22" t="s">
        <v>769</v>
      </c>
    </row>
    <row r="179" spans="1:25" ht="12" customHeight="1" x14ac:dyDescent="0.25">
      <c r="A179" s="23" t="s">
        <v>137</v>
      </c>
    </row>
    <row r="180" spans="1:25" ht="12" customHeight="1" x14ac:dyDescent="0.25">
      <c r="A180" s="96" t="s">
        <v>2270</v>
      </c>
      <c r="C180" s="86" t="s">
        <v>810</v>
      </c>
      <c r="D180" s="86" t="s">
        <v>642</v>
      </c>
      <c r="E180" s="86" t="s">
        <v>2400</v>
      </c>
      <c r="F180" s="89">
        <f>VLOOKUP(C180,'WSS-29'!$C$1:$AU$617,6,)</f>
        <v>133195931.14461496</v>
      </c>
      <c r="G180" s="89">
        <f t="shared" ref="G180:V185" si="72">IF(VLOOKUP($E180,$D$5:$V$977,3,)=0,0,(VLOOKUP($E180,$D$5:$V$977,G$1,)/VLOOKUP($E180,$D$5:$V$977,3,))*$F180)</f>
        <v>54624947.619410954</v>
      </c>
      <c r="H180" s="89">
        <f t="shared" si="72"/>
        <v>14712923.230360998</v>
      </c>
      <c r="I180" s="89">
        <f t="shared" si="72"/>
        <v>944088.09359044733</v>
      </c>
      <c r="J180" s="89">
        <f t="shared" si="72"/>
        <v>13720389.846223425</v>
      </c>
      <c r="K180" s="89">
        <f t="shared" si="72"/>
        <v>596084.82885731885</v>
      </c>
      <c r="L180" s="89">
        <f t="shared" si="72"/>
        <v>13195262.371867234</v>
      </c>
      <c r="M180" s="89">
        <f t="shared" si="72"/>
        <v>24155388.136634905</v>
      </c>
      <c r="N180" s="89">
        <f t="shared" si="72"/>
        <v>7862942.4731688155</v>
      </c>
      <c r="O180" s="89">
        <f t="shared" si="72"/>
        <v>3256033.6595753268</v>
      </c>
      <c r="P180" s="89">
        <f t="shared" si="72"/>
        <v>21223.015748498943</v>
      </c>
      <c r="Q180" s="89">
        <f t="shared" si="72"/>
        <v>772.15864005364494</v>
      </c>
      <c r="R180" s="89">
        <f t="shared" si="72"/>
        <v>12626.554749491355</v>
      </c>
      <c r="S180" s="89">
        <f t="shared" si="72"/>
        <v>1625.2537395887673</v>
      </c>
      <c r="T180" s="89">
        <f t="shared" si="72"/>
        <v>109.9020478966596</v>
      </c>
      <c r="U180" s="89">
        <f t="shared" si="72"/>
        <v>91514</v>
      </c>
      <c r="V180" s="89">
        <f t="shared" si="72"/>
        <v>0</v>
      </c>
      <c r="W180" s="91">
        <f t="shared" ref="W180:W185" si="73">SUM(G180:V180)</f>
        <v>133195931.14461498</v>
      </c>
      <c r="X180" s="87" t="str">
        <f t="shared" ref="X180:X185" si="74">IF(ABS(F180-W180)&lt;0.01,"ok","err")</f>
        <v>ok</v>
      </c>
      <c r="Y180" s="203" t="str">
        <f t="shared" ref="Y180:Y185" si="75">IF(X180="err",W180-F180,"")</f>
        <v/>
      </c>
    </row>
    <row r="181" spans="1:25" ht="12" hidden="1" customHeight="1" x14ac:dyDescent="0.25">
      <c r="A181" s="96" t="s">
        <v>2271</v>
      </c>
      <c r="C181" s="86" t="s">
        <v>810</v>
      </c>
      <c r="D181" s="86" t="s">
        <v>643</v>
      </c>
      <c r="E181" s="86" t="s">
        <v>2269</v>
      </c>
      <c r="F181" s="90">
        <f>VLOOKUP(C181,'WSS-29'!$C$1:$AU$617,7,)</f>
        <v>0</v>
      </c>
      <c r="G181" s="89">
        <f t="shared" si="72"/>
        <v>0</v>
      </c>
      <c r="H181" s="89">
        <f t="shared" si="72"/>
        <v>0</v>
      </c>
      <c r="I181" s="89">
        <f t="shared" si="72"/>
        <v>0</v>
      </c>
      <c r="J181" s="89">
        <f t="shared" si="72"/>
        <v>0</v>
      </c>
      <c r="K181" s="89">
        <f t="shared" si="72"/>
        <v>0</v>
      </c>
      <c r="L181" s="89">
        <f t="shared" si="72"/>
        <v>0</v>
      </c>
      <c r="M181" s="89">
        <f t="shared" si="72"/>
        <v>0</v>
      </c>
      <c r="N181" s="89">
        <f t="shared" si="72"/>
        <v>0</v>
      </c>
      <c r="O181" s="89">
        <f t="shared" si="72"/>
        <v>0</v>
      </c>
      <c r="P181" s="89">
        <f t="shared" si="72"/>
        <v>0</v>
      </c>
      <c r="Q181" s="89">
        <f t="shared" si="72"/>
        <v>0</v>
      </c>
      <c r="R181" s="89">
        <f t="shared" si="72"/>
        <v>0</v>
      </c>
      <c r="S181" s="89">
        <f t="shared" si="72"/>
        <v>0</v>
      </c>
      <c r="T181" s="89">
        <f t="shared" si="72"/>
        <v>0</v>
      </c>
      <c r="U181" s="89">
        <f t="shared" si="72"/>
        <v>0</v>
      </c>
      <c r="V181" s="89">
        <f t="shared" si="72"/>
        <v>0</v>
      </c>
      <c r="W181" s="91">
        <f t="shared" si="73"/>
        <v>0</v>
      </c>
      <c r="X181" s="87" t="str">
        <f t="shared" si="74"/>
        <v>ok</v>
      </c>
      <c r="Y181" s="203" t="str">
        <f t="shared" si="75"/>
        <v/>
      </c>
    </row>
    <row r="182" spans="1:25" ht="12" hidden="1" customHeight="1" x14ac:dyDescent="0.25">
      <c r="A182" s="96" t="s">
        <v>2271</v>
      </c>
      <c r="C182" s="86" t="s">
        <v>810</v>
      </c>
      <c r="D182" s="86" t="s">
        <v>644</v>
      </c>
      <c r="E182" s="86" t="s">
        <v>2269</v>
      </c>
      <c r="F182" s="90">
        <f>VLOOKUP(C182,'WSS-29'!$C$1:$AU$617,8,)</f>
        <v>0</v>
      </c>
      <c r="G182" s="89">
        <f t="shared" si="72"/>
        <v>0</v>
      </c>
      <c r="H182" s="89">
        <f t="shared" si="72"/>
        <v>0</v>
      </c>
      <c r="I182" s="89">
        <f t="shared" si="72"/>
        <v>0</v>
      </c>
      <c r="J182" s="89">
        <f t="shared" si="72"/>
        <v>0</v>
      </c>
      <c r="K182" s="89">
        <f t="shared" si="72"/>
        <v>0</v>
      </c>
      <c r="L182" s="89">
        <f t="shared" si="72"/>
        <v>0</v>
      </c>
      <c r="M182" s="89">
        <f t="shared" si="72"/>
        <v>0</v>
      </c>
      <c r="N182" s="89">
        <f t="shared" si="72"/>
        <v>0</v>
      </c>
      <c r="O182" s="89">
        <f t="shared" si="72"/>
        <v>0</v>
      </c>
      <c r="P182" s="89">
        <f t="shared" si="72"/>
        <v>0</v>
      </c>
      <c r="Q182" s="89">
        <f t="shared" si="72"/>
        <v>0</v>
      </c>
      <c r="R182" s="89">
        <f t="shared" si="72"/>
        <v>0</v>
      </c>
      <c r="S182" s="89">
        <f t="shared" si="72"/>
        <v>0</v>
      </c>
      <c r="T182" s="89">
        <f t="shared" si="72"/>
        <v>0</v>
      </c>
      <c r="U182" s="89">
        <f t="shared" si="72"/>
        <v>0</v>
      </c>
      <c r="V182" s="89">
        <f t="shared" si="72"/>
        <v>0</v>
      </c>
      <c r="W182" s="91">
        <f t="shared" si="73"/>
        <v>0</v>
      </c>
      <c r="X182" s="87" t="str">
        <f t="shared" si="74"/>
        <v>ok</v>
      </c>
      <c r="Y182" s="203" t="str">
        <f t="shared" si="75"/>
        <v/>
      </c>
    </row>
    <row r="183" spans="1:25" ht="12" customHeight="1" x14ac:dyDescent="0.25">
      <c r="A183" s="96" t="s">
        <v>2273</v>
      </c>
      <c r="C183" s="86" t="s">
        <v>810</v>
      </c>
      <c r="D183" s="86" t="s">
        <v>645</v>
      </c>
      <c r="E183" s="86" t="s">
        <v>390</v>
      </c>
      <c r="F183" s="90">
        <f>VLOOKUP(C183,'WSS-29'!$C$1:$AU$617,9,)</f>
        <v>555456786.90975177</v>
      </c>
      <c r="G183" s="89">
        <f t="shared" si="72"/>
        <v>191795620.89375177</v>
      </c>
      <c r="H183" s="89">
        <f t="shared" si="72"/>
        <v>54152487.946382076</v>
      </c>
      <c r="I183" s="89">
        <f t="shared" si="72"/>
        <v>4148168.2509170687</v>
      </c>
      <c r="J183" s="89">
        <f t="shared" si="72"/>
        <v>54831541.083970971</v>
      </c>
      <c r="K183" s="89">
        <f t="shared" si="72"/>
        <v>2478005.5319360103</v>
      </c>
      <c r="L183" s="89">
        <f t="shared" si="72"/>
        <v>57574713.969154082</v>
      </c>
      <c r="M183" s="89">
        <f t="shared" si="72"/>
        <v>124399061.06284878</v>
      </c>
      <c r="N183" s="89">
        <f t="shared" si="72"/>
        <v>43295378.590056986</v>
      </c>
      <c r="O183" s="89">
        <f t="shared" si="72"/>
        <v>18675563.90360396</v>
      </c>
      <c r="P183" s="89">
        <f t="shared" si="72"/>
        <v>3877090.1077918434</v>
      </c>
      <c r="Q183" s="89">
        <f t="shared" si="72"/>
        <v>141060.47138632013</v>
      </c>
      <c r="R183" s="89">
        <f t="shared" si="72"/>
        <v>77208.935389918726</v>
      </c>
      <c r="S183" s="89">
        <f t="shared" si="72"/>
        <v>10532.815257010176</v>
      </c>
      <c r="T183" s="89">
        <f t="shared" si="72"/>
        <v>353.34730492566422</v>
      </c>
      <c r="U183" s="89">
        <f t="shared" si="72"/>
        <v>0</v>
      </c>
      <c r="V183" s="89">
        <f t="shared" si="72"/>
        <v>0</v>
      </c>
      <c r="W183" s="91">
        <f t="shared" si="73"/>
        <v>555456786.90975165</v>
      </c>
      <c r="X183" s="87" t="str">
        <f t="shared" si="74"/>
        <v>ok</v>
      </c>
      <c r="Y183" s="203" t="str">
        <f t="shared" si="75"/>
        <v/>
      </c>
    </row>
    <row r="184" spans="1:25" ht="12" hidden="1" customHeight="1" x14ac:dyDescent="0.25">
      <c r="A184" s="96" t="s">
        <v>2272</v>
      </c>
      <c r="C184" s="86" t="s">
        <v>810</v>
      </c>
      <c r="D184" s="86" t="s">
        <v>656</v>
      </c>
      <c r="E184" s="86" t="s">
        <v>390</v>
      </c>
      <c r="F184" s="90">
        <f>VLOOKUP(C184,'WSS-29'!$C$1:$AU$617,10,)</f>
        <v>0</v>
      </c>
      <c r="G184" s="89">
        <f t="shared" si="72"/>
        <v>0</v>
      </c>
      <c r="H184" s="89">
        <f t="shared" si="72"/>
        <v>0</v>
      </c>
      <c r="I184" s="89">
        <f t="shared" si="72"/>
        <v>0</v>
      </c>
      <c r="J184" s="89">
        <f t="shared" si="72"/>
        <v>0</v>
      </c>
      <c r="K184" s="89">
        <f t="shared" si="72"/>
        <v>0</v>
      </c>
      <c r="L184" s="89">
        <f t="shared" si="72"/>
        <v>0</v>
      </c>
      <c r="M184" s="89">
        <f t="shared" si="72"/>
        <v>0</v>
      </c>
      <c r="N184" s="89">
        <f t="shared" si="72"/>
        <v>0</v>
      </c>
      <c r="O184" s="89">
        <f t="shared" si="72"/>
        <v>0</v>
      </c>
      <c r="P184" s="89">
        <f t="shared" si="72"/>
        <v>0</v>
      </c>
      <c r="Q184" s="89">
        <f t="shared" si="72"/>
        <v>0</v>
      </c>
      <c r="R184" s="89">
        <f t="shared" si="72"/>
        <v>0</v>
      </c>
      <c r="S184" s="89">
        <f t="shared" si="72"/>
        <v>0</v>
      </c>
      <c r="T184" s="89">
        <f t="shared" si="72"/>
        <v>0</v>
      </c>
      <c r="U184" s="89">
        <f t="shared" si="72"/>
        <v>0</v>
      </c>
      <c r="V184" s="89">
        <f t="shared" si="72"/>
        <v>0</v>
      </c>
      <c r="W184" s="91">
        <f t="shared" si="73"/>
        <v>0</v>
      </c>
      <c r="X184" s="87" t="str">
        <f t="shared" si="74"/>
        <v>ok</v>
      </c>
      <c r="Y184" s="203" t="str">
        <f t="shared" si="75"/>
        <v/>
      </c>
    </row>
    <row r="185" spans="1:25" ht="12" hidden="1" customHeight="1" x14ac:dyDescent="0.25">
      <c r="A185" s="96" t="s">
        <v>2272</v>
      </c>
      <c r="C185" s="86" t="s">
        <v>810</v>
      </c>
      <c r="D185" s="86" t="s">
        <v>657</v>
      </c>
      <c r="E185" s="86" t="s">
        <v>390</v>
      </c>
      <c r="F185" s="90">
        <f>VLOOKUP(C185,'WSS-29'!$C$1:$AU$617,11,)</f>
        <v>0</v>
      </c>
      <c r="G185" s="89">
        <f t="shared" si="72"/>
        <v>0</v>
      </c>
      <c r="H185" s="89">
        <f t="shared" si="72"/>
        <v>0</v>
      </c>
      <c r="I185" s="89">
        <f t="shared" si="72"/>
        <v>0</v>
      </c>
      <c r="J185" s="89">
        <f t="shared" si="72"/>
        <v>0</v>
      </c>
      <c r="K185" s="89">
        <f t="shared" si="72"/>
        <v>0</v>
      </c>
      <c r="L185" s="89">
        <f t="shared" si="72"/>
        <v>0</v>
      </c>
      <c r="M185" s="89">
        <f t="shared" si="72"/>
        <v>0</v>
      </c>
      <c r="N185" s="89">
        <f t="shared" si="72"/>
        <v>0</v>
      </c>
      <c r="O185" s="89">
        <f t="shared" si="72"/>
        <v>0</v>
      </c>
      <c r="P185" s="89">
        <f t="shared" si="72"/>
        <v>0</v>
      </c>
      <c r="Q185" s="89">
        <f t="shared" si="72"/>
        <v>0</v>
      </c>
      <c r="R185" s="89">
        <f t="shared" si="72"/>
        <v>0</v>
      </c>
      <c r="S185" s="89">
        <f t="shared" si="72"/>
        <v>0</v>
      </c>
      <c r="T185" s="89">
        <f t="shared" si="72"/>
        <v>0</v>
      </c>
      <c r="U185" s="89">
        <f t="shared" si="72"/>
        <v>0</v>
      </c>
      <c r="V185" s="89">
        <f t="shared" si="72"/>
        <v>0</v>
      </c>
      <c r="W185" s="91">
        <f t="shared" si="73"/>
        <v>0</v>
      </c>
      <c r="X185" s="87" t="str">
        <f t="shared" si="74"/>
        <v>ok</v>
      </c>
      <c r="Y185" s="203" t="str">
        <f t="shared" si="75"/>
        <v/>
      </c>
    </row>
    <row r="186" spans="1:25" ht="12" customHeight="1" x14ac:dyDescent="0.25">
      <c r="A186" s="86" t="s">
        <v>160</v>
      </c>
      <c r="D186" s="86" t="s">
        <v>403</v>
      </c>
      <c r="F186" s="89">
        <f t="shared" ref="F186:T186" si="76">SUM(F180:F185)</f>
        <v>688652718.05436671</v>
      </c>
      <c r="G186" s="89">
        <f t="shared" si="76"/>
        <v>246420568.51316273</v>
      </c>
      <c r="H186" s="89">
        <f t="shared" si="76"/>
        <v>68865411.176743075</v>
      </c>
      <c r="I186" s="89">
        <f>SUM(I180:I185)</f>
        <v>5092256.3445075164</v>
      </c>
      <c r="J186" s="89">
        <f>SUM(J180:J185)</f>
        <v>68551930.930194393</v>
      </c>
      <c r="K186" s="89">
        <f>SUM(K180:K185)</f>
        <v>3074090.3607933293</v>
      </c>
      <c r="L186" s="89">
        <f t="shared" si="76"/>
        <v>70769976.341021314</v>
      </c>
      <c r="M186" s="89">
        <f t="shared" si="76"/>
        <v>148554449.19948369</v>
      </c>
      <c r="N186" s="89">
        <f t="shared" si="76"/>
        <v>51158321.063225798</v>
      </c>
      <c r="O186" s="89">
        <f t="shared" si="76"/>
        <v>21931597.563179288</v>
      </c>
      <c r="P186" s="89">
        <f>SUM(P180:P185)</f>
        <v>3898313.1235403423</v>
      </c>
      <c r="Q186" s="89">
        <f t="shared" si="76"/>
        <v>141832.63002637378</v>
      </c>
      <c r="R186" s="89">
        <f t="shared" si="76"/>
        <v>89835.490139410074</v>
      </c>
      <c r="S186" s="89">
        <f t="shared" si="76"/>
        <v>12158.068996598942</v>
      </c>
      <c r="T186" s="89">
        <f t="shared" si="76"/>
        <v>463.24935282232383</v>
      </c>
      <c r="U186" s="89">
        <f>SUM(U180:U185)</f>
        <v>91514</v>
      </c>
      <c r="V186" s="89">
        <f>SUM(V180:V185)</f>
        <v>0</v>
      </c>
      <c r="W186" s="91">
        <f>SUM(G186:V186)</f>
        <v>688652718.05436647</v>
      </c>
      <c r="X186" s="87" t="str">
        <f>IF(ABS(F186-W186)&lt;0.01,"ok","err")</f>
        <v>ok</v>
      </c>
      <c r="Y186" s="203" t="str">
        <f>IF(X186="err",W186-F186,"")</f>
        <v/>
      </c>
    </row>
    <row r="187" spans="1:25" ht="12" customHeight="1" x14ac:dyDescent="0.25">
      <c r="F187" s="90"/>
      <c r="G187" s="204"/>
      <c r="H187" s="204"/>
      <c r="I187" s="204"/>
      <c r="J187" s="204"/>
      <c r="K187" s="204"/>
      <c r="L187" s="204"/>
      <c r="M187" s="204"/>
      <c r="N187" s="204"/>
      <c r="O187" s="204"/>
      <c r="P187" s="204"/>
      <c r="Q187" s="204"/>
    </row>
    <row r="188" spans="1:25" ht="12" customHeight="1" x14ac:dyDescent="0.25">
      <c r="A188" s="23" t="s">
        <v>441</v>
      </c>
      <c r="F188" s="90"/>
      <c r="G188" s="90"/>
    </row>
    <row r="189" spans="1:25" ht="12" customHeight="1" x14ac:dyDescent="0.25">
      <c r="A189" s="96" t="s">
        <v>2249</v>
      </c>
      <c r="C189" s="86" t="s">
        <v>810</v>
      </c>
      <c r="D189" s="86" t="s">
        <v>658</v>
      </c>
      <c r="E189" s="86" t="s">
        <v>2250</v>
      </c>
      <c r="F189" s="89">
        <f>VLOOKUP(C189,'WSS-29'!$C$1:$AU$617,13,)</f>
        <v>57756583.629516207</v>
      </c>
      <c r="G189" s="89">
        <f t="shared" ref="G189:V191" si="77">IF(VLOOKUP($E189,$D$5:$V$977,3,)=0,0,(VLOOKUP($E189,$D$5:$V$977,G$1,)/VLOOKUP($E189,$D$5:$V$977,3,))*$F189)</f>
        <v>25536905.446481422</v>
      </c>
      <c r="H189" s="89">
        <f t="shared" si="77"/>
        <v>6554797.7432075264</v>
      </c>
      <c r="I189" s="89">
        <f t="shared" si="77"/>
        <v>670846.13231456117</v>
      </c>
      <c r="J189" s="89">
        <f t="shared" si="77"/>
        <v>5847452.2365162745</v>
      </c>
      <c r="K189" s="89">
        <f t="shared" si="77"/>
        <v>251269.79539155876</v>
      </c>
      <c r="L189" s="89">
        <f t="shared" si="77"/>
        <v>5173035.5154624842</v>
      </c>
      <c r="M189" s="89">
        <f t="shared" si="77"/>
        <v>8424985.95256643</v>
      </c>
      <c r="N189" s="89">
        <f t="shared" si="77"/>
        <v>2921602.9953355826</v>
      </c>
      <c r="O189" s="89">
        <f t="shared" si="77"/>
        <v>1957698.1036466728</v>
      </c>
      <c r="P189" s="89">
        <f t="shared" si="77"/>
        <v>394301.93875636486</v>
      </c>
      <c r="Q189" s="89">
        <f t="shared" si="77"/>
        <v>14345.918243130247</v>
      </c>
      <c r="R189" s="89">
        <f t="shared" si="77"/>
        <v>3865.1407715219234</v>
      </c>
      <c r="S189" s="89">
        <f t="shared" si="77"/>
        <v>5442.7482425659337</v>
      </c>
      <c r="T189" s="89">
        <f t="shared" si="77"/>
        <v>33.962580106688279</v>
      </c>
      <c r="U189" s="89">
        <f t="shared" si="77"/>
        <v>0</v>
      </c>
      <c r="V189" s="89">
        <f t="shared" si="77"/>
        <v>0</v>
      </c>
      <c r="W189" s="91">
        <f>SUM(G189:V189)</f>
        <v>57756583.629516199</v>
      </c>
      <c r="X189" s="87" t="str">
        <f>IF(ABS(F189-W189)&lt;0.01,"ok","err")</f>
        <v>ok</v>
      </c>
      <c r="Y189" s="203" t="str">
        <f>IF(X189="err",W189-F189,"")</f>
        <v/>
      </c>
    </row>
    <row r="190" spans="1:25" ht="12" hidden="1" customHeight="1" x14ac:dyDescent="0.25">
      <c r="A190" s="96" t="s">
        <v>2248</v>
      </c>
      <c r="C190" s="86" t="s">
        <v>810</v>
      </c>
      <c r="D190" s="86" t="s">
        <v>659</v>
      </c>
      <c r="E190" s="86" t="s">
        <v>2250</v>
      </c>
      <c r="F190" s="90">
        <f>VLOOKUP(C190,'WSS-29'!$C$1:$AU$617,14,)</f>
        <v>0</v>
      </c>
      <c r="G190" s="89">
        <f t="shared" si="77"/>
        <v>0</v>
      </c>
      <c r="H190" s="89">
        <f t="shared" si="77"/>
        <v>0</v>
      </c>
      <c r="I190" s="89">
        <f t="shared" si="77"/>
        <v>0</v>
      </c>
      <c r="J190" s="89">
        <f t="shared" si="77"/>
        <v>0</v>
      </c>
      <c r="K190" s="89">
        <f t="shared" si="77"/>
        <v>0</v>
      </c>
      <c r="L190" s="89">
        <f t="shared" si="77"/>
        <v>0</v>
      </c>
      <c r="M190" s="89">
        <f t="shared" si="77"/>
        <v>0</v>
      </c>
      <c r="N190" s="89">
        <f t="shared" si="77"/>
        <v>0</v>
      </c>
      <c r="O190" s="89">
        <f t="shared" si="77"/>
        <v>0</v>
      </c>
      <c r="P190" s="89">
        <f t="shared" si="77"/>
        <v>0</v>
      </c>
      <c r="Q190" s="89">
        <f t="shared" si="77"/>
        <v>0</v>
      </c>
      <c r="R190" s="89">
        <f t="shared" si="77"/>
        <v>0</v>
      </c>
      <c r="S190" s="89">
        <f t="shared" si="77"/>
        <v>0</v>
      </c>
      <c r="T190" s="89">
        <f t="shared" si="77"/>
        <v>0</v>
      </c>
      <c r="U190" s="89">
        <f t="shared" si="77"/>
        <v>0</v>
      </c>
      <c r="V190" s="89">
        <f t="shared" si="77"/>
        <v>0</v>
      </c>
      <c r="W190" s="91">
        <f>SUM(G190:V190)</f>
        <v>0</v>
      </c>
      <c r="X190" s="87" t="str">
        <f>IF(ABS(F190-W190)&lt;0.01,"ok","err")</f>
        <v>ok</v>
      </c>
      <c r="Y190" s="203" t="str">
        <f>IF(X190="err",W190-F190,"")</f>
        <v/>
      </c>
    </row>
    <row r="191" spans="1:25" ht="12" hidden="1" customHeight="1" x14ac:dyDescent="0.25">
      <c r="A191" s="96" t="s">
        <v>2248</v>
      </c>
      <c r="C191" s="86" t="s">
        <v>810</v>
      </c>
      <c r="D191" s="86" t="s">
        <v>660</v>
      </c>
      <c r="E191" s="86" t="s">
        <v>2250</v>
      </c>
      <c r="F191" s="90">
        <f>VLOOKUP(C191,'WSS-29'!$C$1:$AU$617,15,)</f>
        <v>0</v>
      </c>
      <c r="G191" s="89">
        <f t="shared" si="77"/>
        <v>0</v>
      </c>
      <c r="H191" s="89">
        <f t="shared" si="77"/>
        <v>0</v>
      </c>
      <c r="I191" s="89">
        <f t="shared" si="77"/>
        <v>0</v>
      </c>
      <c r="J191" s="89">
        <f t="shared" si="77"/>
        <v>0</v>
      </c>
      <c r="K191" s="89">
        <f t="shared" si="77"/>
        <v>0</v>
      </c>
      <c r="L191" s="89">
        <f t="shared" si="77"/>
        <v>0</v>
      </c>
      <c r="M191" s="89">
        <f t="shared" si="77"/>
        <v>0</v>
      </c>
      <c r="N191" s="89">
        <f t="shared" si="77"/>
        <v>0</v>
      </c>
      <c r="O191" s="89">
        <f t="shared" si="77"/>
        <v>0</v>
      </c>
      <c r="P191" s="89">
        <f t="shared" si="77"/>
        <v>0</v>
      </c>
      <c r="Q191" s="89">
        <f t="shared" si="77"/>
        <v>0</v>
      </c>
      <c r="R191" s="89">
        <f t="shared" si="77"/>
        <v>0</v>
      </c>
      <c r="S191" s="89">
        <f t="shared" si="77"/>
        <v>0</v>
      </c>
      <c r="T191" s="89">
        <f t="shared" si="77"/>
        <v>0</v>
      </c>
      <c r="U191" s="89">
        <f t="shared" si="77"/>
        <v>0</v>
      </c>
      <c r="V191" s="89">
        <f t="shared" si="77"/>
        <v>0</v>
      </c>
      <c r="W191" s="91">
        <f>SUM(G191:V191)</f>
        <v>0</v>
      </c>
      <c r="X191" s="87" t="str">
        <f>IF(ABS(F191-W191)&lt;0.01,"ok","err")</f>
        <v>ok</v>
      </c>
      <c r="Y191" s="203" t="str">
        <f>IF(X191="err",W191-F191,"")</f>
        <v/>
      </c>
    </row>
    <row r="192" spans="1:25" ht="12" hidden="1" customHeight="1" x14ac:dyDescent="0.25">
      <c r="A192" s="86" t="s">
        <v>443</v>
      </c>
      <c r="D192" s="86" t="s">
        <v>661</v>
      </c>
      <c r="F192" s="89">
        <f t="shared" ref="F192:T192" si="78">SUM(F189:F191)</f>
        <v>57756583.629516207</v>
      </c>
      <c r="G192" s="89">
        <f t="shared" si="78"/>
        <v>25536905.446481422</v>
      </c>
      <c r="H192" s="89">
        <f t="shared" si="78"/>
        <v>6554797.7432075264</v>
      </c>
      <c r="I192" s="89">
        <f>SUM(I189:I191)</f>
        <v>670846.13231456117</v>
      </c>
      <c r="J192" s="89">
        <f>SUM(J189:J191)</f>
        <v>5847452.2365162745</v>
      </c>
      <c r="K192" s="89">
        <f>SUM(K189:K191)</f>
        <v>251269.79539155876</v>
      </c>
      <c r="L192" s="89">
        <f t="shared" si="78"/>
        <v>5173035.5154624842</v>
      </c>
      <c r="M192" s="89">
        <f t="shared" si="78"/>
        <v>8424985.95256643</v>
      </c>
      <c r="N192" s="89">
        <f t="shared" si="78"/>
        <v>2921602.9953355826</v>
      </c>
      <c r="O192" s="89">
        <f t="shared" si="78"/>
        <v>1957698.1036466728</v>
      </c>
      <c r="P192" s="89">
        <f>SUM(P189:P191)</f>
        <v>394301.93875636486</v>
      </c>
      <c r="Q192" s="89">
        <f t="shared" si="78"/>
        <v>14345.918243130247</v>
      </c>
      <c r="R192" s="89">
        <f t="shared" si="78"/>
        <v>3865.1407715219234</v>
      </c>
      <c r="S192" s="89">
        <f t="shared" si="78"/>
        <v>5442.7482425659337</v>
      </c>
      <c r="T192" s="89">
        <f t="shared" si="78"/>
        <v>33.962580106688279</v>
      </c>
      <c r="U192" s="89">
        <f>SUM(U189:U191)</f>
        <v>0</v>
      </c>
      <c r="V192" s="89">
        <f>SUM(V189:V191)</f>
        <v>0</v>
      </c>
      <c r="W192" s="91">
        <f>SUM(G192:V192)</f>
        <v>57756583.629516199</v>
      </c>
      <c r="X192" s="87" t="str">
        <f>IF(ABS(F192-W192)&lt;0.01,"ok","err")</f>
        <v>ok</v>
      </c>
      <c r="Y192" s="91" t="str">
        <f>IF(X192="err",W192-F192,"")</f>
        <v/>
      </c>
    </row>
    <row r="193" spans="1:25" ht="12" customHeight="1" x14ac:dyDescent="0.25">
      <c r="F193" s="90"/>
      <c r="G193" s="90"/>
    </row>
    <row r="194" spans="1:25" ht="12" customHeight="1" x14ac:dyDescent="0.25">
      <c r="A194" s="23" t="s">
        <v>1628</v>
      </c>
      <c r="F194" s="90"/>
      <c r="G194" s="90"/>
    </row>
    <row r="195" spans="1:25" ht="12" customHeight="1" x14ac:dyDescent="0.25">
      <c r="A195" s="96" t="s">
        <v>145</v>
      </c>
      <c r="C195" s="86" t="s">
        <v>810</v>
      </c>
      <c r="D195" s="86" t="s">
        <v>662</v>
      </c>
      <c r="E195" s="86" t="s">
        <v>2254</v>
      </c>
      <c r="F195" s="89">
        <f>VLOOKUP(C195,'WSS-29'!$C$1:$AU$617,17,)</f>
        <v>0</v>
      </c>
      <c r="G195" s="89">
        <f t="shared" ref="G195:V195" si="79">IF(VLOOKUP($E195,$D$5:$V$977,3,)=0,0,(VLOOKUP($E195,$D$5:$V$977,G$1,)/VLOOKUP($E195,$D$5:$V$977,3,))*$F195)</f>
        <v>0</v>
      </c>
      <c r="H195" s="89">
        <f t="shared" si="79"/>
        <v>0</v>
      </c>
      <c r="I195" s="89">
        <f t="shared" si="79"/>
        <v>0</v>
      </c>
      <c r="J195" s="89">
        <f t="shared" si="79"/>
        <v>0</v>
      </c>
      <c r="K195" s="89">
        <f t="shared" si="79"/>
        <v>0</v>
      </c>
      <c r="L195" s="89">
        <f t="shared" si="79"/>
        <v>0</v>
      </c>
      <c r="M195" s="89">
        <f t="shared" si="79"/>
        <v>0</v>
      </c>
      <c r="N195" s="89">
        <f t="shared" si="79"/>
        <v>0</v>
      </c>
      <c r="O195" s="89">
        <f t="shared" si="79"/>
        <v>0</v>
      </c>
      <c r="P195" s="89">
        <f t="shared" si="79"/>
        <v>0</v>
      </c>
      <c r="Q195" s="89">
        <f t="shared" si="79"/>
        <v>0</v>
      </c>
      <c r="R195" s="89">
        <f t="shared" si="79"/>
        <v>0</v>
      </c>
      <c r="S195" s="89">
        <f t="shared" si="79"/>
        <v>0</v>
      </c>
      <c r="T195" s="89">
        <f t="shared" si="79"/>
        <v>0</v>
      </c>
      <c r="U195" s="89">
        <f t="shared" si="79"/>
        <v>0</v>
      </c>
      <c r="V195" s="89">
        <f t="shared" si="79"/>
        <v>0</v>
      </c>
      <c r="W195" s="91">
        <f>SUM(G195:V195)</f>
        <v>0</v>
      </c>
      <c r="X195" s="87" t="str">
        <f>IF(ABS(F195-W195)&lt;0.01,"ok","err")</f>
        <v>ok</v>
      </c>
      <c r="Y195" s="203" t="str">
        <f>IF(X195="err",W195-F195,"")</f>
        <v/>
      </c>
    </row>
    <row r="196" spans="1:25" ht="12" customHeight="1" x14ac:dyDescent="0.25">
      <c r="F196" s="90"/>
    </row>
    <row r="197" spans="1:25" ht="12" customHeight="1" x14ac:dyDescent="0.25">
      <c r="A197" s="23" t="s">
        <v>1629</v>
      </c>
      <c r="F197" s="90"/>
      <c r="G197" s="90"/>
    </row>
    <row r="198" spans="1:25" ht="12" customHeight="1" x14ac:dyDescent="0.25">
      <c r="A198" s="96" t="s">
        <v>147</v>
      </c>
      <c r="C198" s="86" t="s">
        <v>810</v>
      </c>
      <c r="D198" s="86" t="s">
        <v>663</v>
      </c>
      <c r="E198" s="86" t="s">
        <v>2254</v>
      </c>
      <c r="F198" s="89">
        <f>VLOOKUP(C198,'WSS-29'!$C$1:$AU$617,18,)</f>
        <v>9282793.2294150442</v>
      </c>
      <c r="G198" s="89">
        <f t="shared" ref="G198:V198" si="80">IF(VLOOKUP($E198,$D$5:$V$977,3,)=0,0,(VLOOKUP($E198,$D$5:$V$977,G$1,)/VLOOKUP($E198,$D$5:$V$977,3,))*$F198)</f>
        <v>4483093.7149979919</v>
      </c>
      <c r="H198" s="89">
        <f t="shared" si="80"/>
        <v>1150717.8356924048</v>
      </c>
      <c r="I198" s="89">
        <f t="shared" si="80"/>
        <v>117769.40184913836</v>
      </c>
      <c r="J198" s="89">
        <f t="shared" si="80"/>
        <v>1026540.8400879295</v>
      </c>
      <c r="K198" s="89">
        <f t="shared" si="80"/>
        <v>44111.297778405555</v>
      </c>
      <c r="L198" s="89">
        <f t="shared" si="80"/>
        <v>908144.60880680592</v>
      </c>
      <c r="M198" s="89">
        <f t="shared" si="80"/>
        <v>1479035.964324371</v>
      </c>
      <c r="N198" s="89">
        <f t="shared" si="80"/>
        <v>0</v>
      </c>
      <c r="O198" s="89">
        <f t="shared" si="80"/>
        <v>0</v>
      </c>
      <c r="P198" s="89">
        <f t="shared" si="80"/>
        <v>69221.094433497317</v>
      </c>
      <c r="Q198" s="89">
        <f t="shared" si="80"/>
        <v>2518.4764867629519</v>
      </c>
      <c r="R198" s="89">
        <f t="shared" si="80"/>
        <v>678.53907893056464</v>
      </c>
      <c r="S198" s="89">
        <f t="shared" si="80"/>
        <v>955.49362821976854</v>
      </c>
      <c r="T198" s="89">
        <f t="shared" si="80"/>
        <v>5.9622505843748854</v>
      </c>
      <c r="U198" s="89">
        <f t="shared" si="80"/>
        <v>0</v>
      </c>
      <c r="V198" s="89">
        <f t="shared" si="80"/>
        <v>0</v>
      </c>
      <c r="W198" s="91">
        <f>SUM(G198:V198)</f>
        <v>9282793.2294150442</v>
      </c>
      <c r="X198" s="87" t="str">
        <f>IF(ABS(F198-W198)&lt;0.01,"ok","err")</f>
        <v>ok</v>
      </c>
      <c r="Y198" s="203" t="str">
        <f>IF(X198="err",W198-F198,"")</f>
        <v/>
      </c>
    </row>
    <row r="199" spans="1:25" ht="12" customHeight="1" x14ac:dyDescent="0.25">
      <c r="F199" s="90"/>
    </row>
    <row r="200" spans="1:25" ht="12" customHeight="1" x14ac:dyDescent="0.25">
      <c r="A200" s="23" t="s">
        <v>146</v>
      </c>
      <c r="F200" s="90"/>
    </row>
    <row r="201" spans="1:25" ht="12" customHeight="1" x14ac:dyDescent="0.25">
      <c r="A201" s="96" t="s">
        <v>792</v>
      </c>
      <c r="C201" s="86" t="s">
        <v>810</v>
      </c>
      <c r="D201" s="86" t="s">
        <v>664</v>
      </c>
      <c r="E201" s="86" t="s">
        <v>2254</v>
      </c>
      <c r="F201" s="89">
        <f>VLOOKUP(C201,'WSS-29'!$C$1:$AU$617,19,)</f>
        <v>0</v>
      </c>
      <c r="G201" s="89">
        <f t="shared" ref="G201:V205" si="81">IF(VLOOKUP($E201,$D$5:$V$977,3,)=0,0,(VLOOKUP($E201,$D$5:$V$977,G$1,)/VLOOKUP($E201,$D$5:$V$977,3,))*$F201)</f>
        <v>0</v>
      </c>
      <c r="H201" s="89">
        <f t="shared" si="81"/>
        <v>0</v>
      </c>
      <c r="I201" s="89">
        <f t="shared" si="81"/>
        <v>0</v>
      </c>
      <c r="J201" s="89">
        <f t="shared" si="81"/>
        <v>0</v>
      </c>
      <c r="K201" s="89">
        <f t="shared" si="81"/>
        <v>0</v>
      </c>
      <c r="L201" s="89">
        <f t="shared" si="81"/>
        <v>0</v>
      </c>
      <c r="M201" s="89">
        <f t="shared" si="81"/>
        <v>0</v>
      </c>
      <c r="N201" s="89">
        <f t="shared" si="81"/>
        <v>0</v>
      </c>
      <c r="O201" s="89">
        <f t="shared" si="81"/>
        <v>0</v>
      </c>
      <c r="P201" s="89">
        <f t="shared" si="81"/>
        <v>0</v>
      </c>
      <c r="Q201" s="89">
        <f t="shared" si="81"/>
        <v>0</v>
      </c>
      <c r="R201" s="89">
        <f t="shared" si="81"/>
        <v>0</v>
      </c>
      <c r="S201" s="89">
        <f t="shared" si="81"/>
        <v>0</v>
      </c>
      <c r="T201" s="89">
        <f t="shared" si="81"/>
        <v>0</v>
      </c>
      <c r="U201" s="89">
        <f t="shared" si="81"/>
        <v>0</v>
      </c>
      <c r="V201" s="89">
        <f t="shared" si="81"/>
        <v>0</v>
      </c>
      <c r="W201" s="91">
        <f t="shared" ref="W201:W206" si="82">SUM(G201:V201)</f>
        <v>0</v>
      </c>
      <c r="X201" s="87" t="str">
        <f t="shared" ref="X201:X206" si="83">IF(ABS(F201-W201)&lt;0.01,"ok","err")</f>
        <v>ok</v>
      </c>
      <c r="Y201" s="203" t="str">
        <f t="shared" ref="Y201:Y206" si="84">IF(X201="err",W201-F201,"")</f>
        <v/>
      </c>
    </row>
    <row r="202" spans="1:25" ht="12" customHeight="1" x14ac:dyDescent="0.25">
      <c r="A202" s="96" t="s">
        <v>793</v>
      </c>
      <c r="C202" s="86" t="s">
        <v>810</v>
      </c>
      <c r="D202" s="86" t="s">
        <v>665</v>
      </c>
      <c r="E202" s="86" t="s">
        <v>2254</v>
      </c>
      <c r="F202" s="90">
        <f>VLOOKUP(C202,'WSS-29'!$C$1:$AU$617,20,)</f>
        <v>12963443.703119226</v>
      </c>
      <c r="G202" s="89">
        <f t="shared" si="81"/>
        <v>6260651.4605998937</v>
      </c>
      <c r="H202" s="89">
        <f t="shared" si="81"/>
        <v>1606980.303504369</v>
      </c>
      <c r="I202" s="89">
        <f t="shared" si="81"/>
        <v>164465.26095007453</v>
      </c>
      <c r="J202" s="89">
        <f t="shared" si="81"/>
        <v>1433566.82202768</v>
      </c>
      <c r="K202" s="89">
        <f t="shared" si="81"/>
        <v>61601.536443780373</v>
      </c>
      <c r="L202" s="89">
        <f t="shared" si="81"/>
        <v>1268226.192225561</v>
      </c>
      <c r="M202" s="89">
        <f t="shared" si="81"/>
        <v>2065477.3821366106</v>
      </c>
      <c r="N202" s="89">
        <f t="shared" si="81"/>
        <v>0</v>
      </c>
      <c r="O202" s="89">
        <f t="shared" si="81"/>
        <v>0</v>
      </c>
      <c r="P202" s="89">
        <f t="shared" si="81"/>
        <v>96667.429574264926</v>
      </c>
      <c r="Q202" s="89">
        <f t="shared" si="81"/>
        <v>3517.0586424705211</v>
      </c>
      <c r="R202" s="89">
        <f t="shared" si="81"/>
        <v>947.58150189208084</v>
      </c>
      <c r="S202" s="89">
        <f t="shared" si="81"/>
        <v>1334.3492149395463</v>
      </c>
      <c r="T202" s="89">
        <f t="shared" si="81"/>
        <v>8.3262976869413734</v>
      </c>
      <c r="U202" s="89">
        <f t="shared" si="81"/>
        <v>0</v>
      </c>
      <c r="V202" s="89">
        <f t="shared" si="81"/>
        <v>0</v>
      </c>
      <c r="W202" s="91">
        <f t="shared" si="82"/>
        <v>12963443.703119224</v>
      </c>
      <c r="X202" s="87" t="str">
        <f t="shared" si="83"/>
        <v>ok</v>
      </c>
      <c r="Y202" s="203" t="str">
        <f t="shared" si="84"/>
        <v/>
      </c>
    </row>
    <row r="203" spans="1:25" ht="12" customHeight="1" x14ac:dyDescent="0.25">
      <c r="A203" s="96" t="s">
        <v>794</v>
      </c>
      <c r="C203" s="86" t="s">
        <v>810</v>
      </c>
      <c r="D203" s="86" t="s">
        <v>666</v>
      </c>
      <c r="E203" s="86" t="s">
        <v>905</v>
      </c>
      <c r="F203" s="90">
        <f>VLOOKUP(C203,'WSS-29'!$C$1:$AU$617,21,)</f>
        <v>23791489.565877698</v>
      </c>
      <c r="G203" s="89">
        <f t="shared" si="81"/>
        <v>19112052.166999258</v>
      </c>
      <c r="H203" s="89">
        <f t="shared" si="81"/>
        <v>3576807.3721077051</v>
      </c>
      <c r="I203" s="89">
        <f t="shared" si="81"/>
        <v>18319.558438510663</v>
      </c>
      <c r="J203" s="89">
        <f t="shared" si="81"/>
        <v>191880.09204109877</v>
      </c>
      <c r="K203" s="89">
        <f t="shared" si="81"/>
        <v>8814.1271732456971</v>
      </c>
      <c r="L203" s="89">
        <f t="shared" si="81"/>
        <v>33096.183405422569</v>
      </c>
      <c r="M203" s="89">
        <f t="shared" si="81"/>
        <v>11060.865472308325</v>
      </c>
      <c r="N203" s="89">
        <f t="shared" si="81"/>
        <v>0</v>
      </c>
      <c r="O203" s="89">
        <f t="shared" si="81"/>
        <v>0</v>
      </c>
      <c r="P203" s="89">
        <f t="shared" si="81"/>
        <v>831941.26823944075</v>
      </c>
      <c r="Q203" s="89">
        <f t="shared" si="81"/>
        <v>518.47806901445279</v>
      </c>
      <c r="R203" s="89">
        <f t="shared" si="81"/>
        <v>6394.5628511782515</v>
      </c>
      <c r="S203" s="89">
        <f t="shared" si="81"/>
        <v>172.82602300481759</v>
      </c>
      <c r="T203" s="89">
        <f t="shared" si="81"/>
        <v>432.06505751204395</v>
      </c>
      <c r="U203" s="89">
        <f t="shared" si="81"/>
        <v>0</v>
      </c>
      <c r="V203" s="89">
        <f t="shared" si="81"/>
        <v>0</v>
      </c>
      <c r="W203" s="91">
        <f t="shared" si="82"/>
        <v>23791489.565877702</v>
      </c>
      <c r="X203" s="87" t="str">
        <f t="shared" si="83"/>
        <v>ok</v>
      </c>
      <c r="Y203" s="203" t="str">
        <f t="shared" si="84"/>
        <v/>
      </c>
    </row>
    <row r="204" spans="1:25" ht="12" customHeight="1" x14ac:dyDescent="0.25">
      <c r="A204" s="96" t="s">
        <v>795</v>
      </c>
      <c r="C204" s="86" t="s">
        <v>810</v>
      </c>
      <c r="D204" s="86" t="s">
        <v>667</v>
      </c>
      <c r="E204" s="86" t="s">
        <v>734</v>
      </c>
      <c r="F204" s="90">
        <f>VLOOKUP(C204,'WSS-29'!$C$1:$AU$617,22,)</f>
        <v>5561431.4547028812</v>
      </c>
      <c r="G204" s="89">
        <f t="shared" si="81"/>
        <v>4606383.6395052336</v>
      </c>
      <c r="H204" s="89">
        <f t="shared" si="81"/>
        <v>859270.02650318795</v>
      </c>
      <c r="I204" s="89">
        <f t="shared" si="81"/>
        <v>62284.424469394762</v>
      </c>
      <c r="J204" s="89">
        <f t="shared" si="81"/>
        <v>0</v>
      </c>
      <c r="K204" s="89">
        <f t="shared" si="81"/>
        <v>0</v>
      </c>
      <c r="L204" s="89">
        <f t="shared" si="81"/>
        <v>0</v>
      </c>
      <c r="M204" s="89">
        <f t="shared" si="81"/>
        <v>0</v>
      </c>
      <c r="N204" s="89">
        <f t="shared" si="81"/>
        <v>0</v>
      </c>
      <c r="O204" s="89">
        <f t="shared" si="81"/>
        <v>0</v>
      </c>
      <c r="P204" s="89">
        <f t="shared" si="81"/>
        <v>32012.109453372828</v>
      </c>
      <c r="Q204" s="89">
        <f t="shared" si="81"/>
        <v>1164.6990792302065</v>
      </c>
      <c r="R204" s="89">
        <f t="shared" si="81"/>
        <v>313.79837953854451</v>
      </c>
      <c r="S204" s="89">
        <f t="shared" si="81"/>
        <v>0</v>
      </c>
      <c r="T204" s="89">
        <f t="shared" si="81"/>
        <v>2.7573129240077772</v>
      </c>
      <c r="U204" s="89">
        <f t="shared" si="81"/>
        <v>0</v>
      </c>
      <c r="V204" s="89">
        <f t="shared" si="81"/>
        <v>0</v>
      </c>
      <c r="W204" s="91">
        <f t="shared" si="82"/>
        <v>5561431.4547028812</v>
      </c>
      <c r="X204" s="87" t="str">
        <f t="shared" si="83"/>
        <v>ok</v>
      </c>
      <c r="Y204" s="203" t="str">
        <f t="shared" si="84"/>
        <v/>
      </c>
    </row>
    <row r="205" spans="1:25" ht="12" customHeight="1" x14ac:dyDescent="0.25">
      <c r="A205" s="96" t="s">
        <v>796</v>
      </c>
      <c r="C205" s="86" t="s">
        <v>810</v>
      </c>
      <c r="D205" s="86" t="s">
        <v>668</v>
      </c>
      <c r="E205" s="86" t="s">
        <v>904</v>
      </c>
      <c r="F205" s="90">
        <f>VLOOKUP(C205,'WSS-29'!$C$1:$AU$617,23,)</f>
        <v>10375666.576134797</v>
      </c>
      <c r="G205" s="89">
        <f t="shared" si="81"/>
        <v>8341893.6589092016</v>
      </c>
      <c r="H205" s="89">
        <f t="shared" si="81"/>
        <v>1561179.6407737439</v>
      </c>
      <c r="I205" s="89">
        <f t="shared" si="81"/>
        <v>7995.991588810246</v>
      </c>
      <c r="J205" s="89">
        <f t="shared" si="81"/>
        <v>83750.468504495992</v>
      </c>
      <c r="K205" s="89">
        <f t="shared" si="81"/>
        <v>0</v>
      </c>
      <c r="L205" s="89">
        <f t="shared" si="81"/>
        <v>14445.588577897755</v>
      </c>
      <c r="M205" s="89">
        <f t="shared" si="81"/>
        <v>0</v>
      </c>
      <c r="N205" s="89">
        <f t="shared" si="81"/>
        <v>0</v>
      </c>
      <c r="O205" s="89">
        <f t="shared" si="81"/>
        <v>0</v>
      </c>
      <c r="P205" s="89">
        <f t="shared" si="81"/>
        <v>363119.85387391812</v>
      </c>
      <c r="Q205" s="89">
        <f t="shared" si="81"/>
        <v>226.30164873991265</v>
      </c>
      <c r="R205" s="89">
        <f t="shared" si="81"/>
        <v>2791.053667792256</v>
      </c>
      <c r="S205" s="89">
        <f t="shared" si="81"/>
        <v>75.433882913304203</v>
      </c>
      <c r="T205" s="89">
        <f t="shared" si="81"/>
        <v>188.58470728326051</v>
      </c>
      <c r="U205" s="89">
        <f t="shared" si="81"/>
        <v>0</v>
      </c>
      <c r="V205" s="89">
        <f t="shared" si="81"/>
        <v>0</v>
      </c>
      <c r="W205" s="91">
        <f t="shared" si="82"/>
        <v>10375666.576134795</v>
      </c>
      <c r="X205" s="87" t="str">
        <f t="shared" si="83"/>
        <v>ok</v>
      </c>
      <c r="Y205" s="203" t="str">
        <f t="shared" si="84"/>
        <v/>
      </c>
    </row>
    <row r="206" spans="1:25" ht="12" customHeight="1" x14ac:dyDescent="0.25">
      <c r="A206" s="86" t="s">
        <v>151</v>
      </c>
      <c r="D206" s="86" t="s">
        <v>669</v>
      </c>
      <c r="F206" s="89">
        <f>SUM(F201:F205)</f>
        <v>52692031.299834609</v>
      </c>
      <c r="G206" s="89">
        <f t="shared" ref="G206:T206" si="85">SUM(G201:G205)</f>
        <v>38320980.926013589</v>
      </c>
      <c r="H206" s="89">
        <f t="shared" si="85"/>
        <v>7604237.3428890053</v>
      </c>
      <c r="I206" s="89">
        <f>SUM(I201:I205)</f>
        <v>253065.2354467902</v>
      </c>
      <c r="J206" s="89">
        <f>SUM(J201:J205)</f>
        <v>1709197.3825732747</v>
      </c>
      <c r="K206" s="89">
        <f>SUM(K201:K205)</f>
        <v>70415.663617026075</v>
      </c>
      <c r="L206" s="89">
        <f t="shared" si="85"/>
        <v>1315767.9642088814</v>
      </c>
      <c r="M206" s="89">
        <f t="shared" si="85"/>
        <v>2076538.2476089189</v>
      </c>
      <c r="N206" s="89">
        <f t="shared" si="85"/>
        <v>0</v>
      </c>
      <c r="O206" s="89">
        <f t="shared" si="85"/>
        <v>0</v>
      </c>
      <c r="P206" s="89">
        <f>SUM(P201:P205)</f>
        <v>1323740.6611409965</v>
      </c>
      <c r="Q206" s="89">
        <f t="shared" si="85"/>
        <v>5426.5374394550936</v>
      </c>
      <c r="R206" s="89">
        <f t="shared" si="85"/>
        <v>10446.996400401133</v>
      </c>
      <c r="S206" s="89">
        <f t="shared" si="85"/>
        <v>1582.6091208576681</v>
      </c>
      <c r="T206" s="89">
        <f t="shared" si="85"/>
        <v>631.73337540625357</v>
      </c>
      <c r="U206" s="89">
        <f>SUM(U201:U205)</f>
        <v>0</v>
      </c>
      <c r="V206" s="89">
        <f>SUM(V201:V205)</f>
        <v>0</v>
      </c>
      <c r="W206" s="91">
        <f t="shared" si="82"/>
        <v>52692031.299834609</v>
      </c>
      <c r="X206" s="87" t="str">
        <f t="shared" si="83"/>
        <v>ok</v>
      </c>
      <c r="Y206" s="91" t="str">
        <f t="shared" si="84"/>
        <v/>
      </c>
    </row>
    <row r="207" spans="1:25" ht="12" customHeight="1" x14ac:dyDescent="0.25">
      <c r="F207" s="90"/>
    </row>
    <row r="208" spans="1:25" ht="12" customHeight="1" x14ac:dyDescent="0.25">
      <c r="A208" s="23" t="s">
        <v>791</v>
      </c>
      <c r="F208" s="90"/>
    </row>
    <row r="209" spans="1:25" ht="12" customHeight="1" x14ac:dyDescent="0.25">
      <c r="A209" s="96" t="s">
        <v>389</v>
      </c>
      <c r="C209" s="86" t="s">
        <v>810</v>
      </c>
      <c r="D209" s="86" t="s">
        <v>670</v>
      </c>
      <c r="E209" s="86" t="s">
        <v>2179</v>
      </c>
      <c r="F209" s="89">
        <f>VLOOKUP(C209,'WSS-29'!$C$1:$AU$617,24,)</f>
        <v>2648295.6800802387</v>
      </c>
      <c r="G209" s="89">
        <f t="shared" ref="G209:V210" si="86">IF(VLOOKUP($E209,$D$5:$V$977,3,)=0,0,(VLOOKUP($E209,$D$5:$V$977,G$1,)/VLOOKUP($E209,$D$5:$V$977,3,))*$F209)</f>
        <v>1810260.7892635269</v>
      </c>
      <c r="H209" s="89">
        <f t="shared" si="86"/>
        <v>337684.1700782064</v>
      </c>
      <c r="I209" s="89">
        <f t="shared" si="86"/>
        <v>24477.130048790626</v>
      </c>
      <c r="J209" s="89">
        <f t="shared" si="86"/>
        <v>249489.39408865996</v>
      </c>
      <c r="K209" s="89">
        <f t="shared" si="86"/>
        <v>0</v>
      </c>
      <c r="L209" s="89">
        <f t="shared" si="86"/>
        <v>212925.93399377982</v>
      </c>
      <c r="M209" s="89">
        <f t="shared" si="86"/>
        <v>0</v>
      </c>
      <c r="N209" s="89">
        <f t="shared" si="86"/>
        <v>0</v>
      </c>
      <c r="O209" s="89">
        <f t="shared" si="86"/>
        <v>0</v>
      </c>
      <c r="P209" s="89">
        <f t="shared" si="86"/>
        <v>12580.425570302148</v>
      </c>
      <c r="Q209" s="89">
        <f t="shared" si="86"/>
        <v>457.71460638659232</v>
      </c>
      <c r="R209" s="89">
        <f t="shared" si="86"/>
        <v>123.3194945686451</v>
      </c>
      <c r="S209" s="89">
        <f t="shared" si="86"/>
        <v>295.71934075928289</v>
      </c>
      <c r="T209" s="89">
        <f t="shared" si="86"/>
        <v>1.083595258382988</v>
      </c>
      <c r="U209" s="89">
        <f t="shared" si="86"/>
        <v>0</v>
      </c>
      <c r="V209" s="89">
        <f t="shared" si="86"/>
        <v>0</v>
      </c>
      <c r="W209" s="91">
        <f>SUM(G209:V209)</f>
        <v>2648295.6800802383</v>
      </c>
      <c r="X209" s="87" t="str">
        <f>IF(ABS(F209-W209)&lt;0.01,"ok","err")</f>
        <v>ok</v>
      </c>
      <c r="Y209" s="203" t="str">
        <f>IF(X209="err",W209-F209,"")</f>
        <v/>
      </c>
    </row>
    <row r="210" spans="1:25" ht="12" customHeight="1" x14ac:dyDescent="0.25">
      <c r="A210" s="96" t="s">
        <v>392</v>
      </c>
      <c r="C210" s="86" t="s">
        <v>810</v>
      </c>
      <c r="D210" s="86" t="s">
        <v>671</v>
      </c>
      <c r="E210" s="86" t="s">
        <v>2178</v>
      </c>
      <c r="F210" s="90">
        <f>VLOOKUP(C210,'WSS-29'!$C$1:$AU$617,25,)</f>
        <v>2200275.5586109683</v>
      </c>
      <c r="G210" s="89">
        <f t="shared" si="86"/>
        <v>1768991.3795463587</v>
      </c>
      <c r="H210" s="89">
        <f t="shared" si="86"/>
        <v>331065.5157420407</v>
      </c>
      <c r="I210" s="89">
        <f t="shared" si="86"/>
        <v>1695.6389963595047</v>
      </c>
      <c r="J210" s="89">
        <f t="shared" si="86"/>
        <v>17760.218827435285</v>
      </c>
      <c r="K210" s="89">
        <f t="shared" si="86"/>
        <v>0</v>
      </c>
      <c r="L210" s="89">
        <f t="shared" si="86"/>
        <v>3063.3478094608035</v>
      </c>
      <c r="M210" s="89">
        <f t="shared" si="86"/>
        <v>0</v>
      </c>
      <c r="N210" s="89">
        <f t="shared" si="86"/>
        <v>0</v>
      </c>
      <c r="O210" s="89">
        <f t="shared" si="86"/>
        <v>0</v>
      </c>
      <c r="P210" s="89">
        <f t="shared" si="86"/>
        <v>77003.605837033654</v>
      </c>
      <c r="Q210" s="89">
        <f t="shared" si="86"/>
        <v>47.98978291583505</v>
      </c>
      <c r="R210" s="89">
        <f t="shared" si="86"/>
        <v>591.87398929529888</v>
      </c>
      <c r="S210" s="89">
        <f t="shared" si="86"/>
        <v>15.996594305278347</v>
      </c>
      <c r="T210" s="89">
        <f t="shared" si="86"/>
        <v>39.991485763195868</v>
      </c>
      <c r="U210" s="89">
        <f t="shared" si="86"/>
        <v>0</v>
      </c>
      <c r="V210" s="89">
        <f t="shared" si="86"/>
        <v>0</v>
      </c>
      <c r="W210" s="91">
        <f>SUM(G210:V210)</f>
        <v>2200275.5586109683</v>
      </c>
      <c r="X210" s="87" t="str">
        <f>IF(ABS(F210-W210)&lt;0.01,"ok","err")</f>
        <v>ok</v>
      </c>
      <c r="Y210" s="203" t="str">
        <f>IF(X210="err",W210-F210,"")</f>
        <v/>
      </c>
    </row>
    <row r="211" spans="1:25" ht="12" customHeight="1" x14ac:dyDescent="0.25">
      <c r="A211" s="86" t="s">
        <v>1469</v>
      </c>
      <c r="D211" s="86" t="s">
        <v>672</v>
      </c>
      <c r="F211" s="89">
        <f t="shared" ref="F211:T211" si="87">F209+F210</f>
        <v>4848571.238691207</v>
      </c>
      <c r="G211" s="89">
        <f t="shared" si="87"/>
        <v>3579252.1688098856</v>
      </c>
      <c r="H211" s="89">
        <f t="shared" si="87"/>
        <v>668749.68582024705</v>
      </c>
      <c r="I211" s="89">
        <f>I209+I210</f>
        <v>26172.769045150133</v>
      </c>
      <c r="J211" s="89">
        <f>J209+J210</f>
        <v>267249.61291609524</v>
      </c>
      <c r="K211" s="89">
        <f>K209+K210</f>
        <v>0</v>
      </c>
      <c r="L211" s="89">
        <f t="shared" si="87"/>
        <v>215989.28180324062</v>
      </c>
      <c r="M211" s="89">
        <f t="shared" si="87"/>
        <v>0</v>
      </c>
      <c r="N211" s="89">
        <f t="shared" si="87"/>
        <v>0</v>
      </c>
      <c r="O211" s="89">
        <f t="shared" si="87"/>
        <v>0</v>
      </c>
      <c r="P211" s="89">
        <f>P209+P210</f>
        <v>89584.031407335802</v>
      </c>
      <c r="Q211" s="89">
        <f t="shared" si="87"/>
        <v>505.70438930242739</v>
      </c>
      <c r="R211" s="89">
        <f t="shared" si="87"/>
        <v>715.19348386394404</v>
      </c>
      <c r="S211" s="89">
        <f t="shared" si="87"/>
        <v>311.71593506456122</v>
      </c>
      <c r="T211" s="89">
        <f t="shared" si="87"/>
        <v>41.075081021578853</v>
      </c>
      <c r="U211" s="89">
        <f>U209+U210</f>
        <v>0</v>
      </c>
      <c r="V211" s="89">
        <f>V209+V210</f>
        <v>0</v>
      </c>
      <c r="W211" s="91">
        <f>SUM(G211:V211)</f>
        <v>4848571.238691207</v>
      </c>
      <c r="X211" s="87" t="str">
        <f>IF(ABS(F211-W211)&lt;0.01,"ok","err")</f>
        <v>ok</v>
      </c>
      <c r="Y211" s="91" t="str">
        <f>IF(X211="err",W211-F211,"")</f>
        <v/>
      </c>
    </row>
    <row r="212" spans="1:25" ht="12" customHeight="1" x14ac:dyDescent="0.25">
      <c r="F212" s="90"/>
    </row>
    <row r="213" spans="1:25" ht="12" customHeight="1" x14ac:dyDescent="0.25">
      <c r="A213" s="23" t="s">
        <v>128</v>
      </c>
      <c r="F213" s="90"/>
    </row>
    <row r="214" spans="1:25" ht="12" customHeight="1" x14ac:dyDescent="0.25">
      <c r="A214" s="96" t="s">
        <v>392</v>
      </c>
      <c r="C214" s="86" t="s">
        <v>810</v>
      </c>
      <c r="D214" s="86" t="s">
        <v>673</v>
      </c>
      <c r="E214" s="86" t="s">
        <v>393</v>
      </c>
      <c r="F214" s="89">
        <f>VLOOKUP(C214,'WSS-29'!$C$1:$AU$617,26,)</f>
        <v>1814382.8487628764</v>
      </c>
      <c r="G214" s="89">
        <f t="shared" ref="G214:V214" si="88">IF(VLOOKUP($E214,$D$5:$V$977,3,)=0,0,(VLOOKUP($E214,$D$5:$V$977,G$1,)/VLOOKUP($E214,$D$5:$V$977,3,))*$F214)</f>
        <v>1434929.2888405672</v>
      </c>
      <c r="H214" s="89">
        <f t="shared" si="88"/>
        <v>322582.35019200353</v>
      </c>
      <c r="I214" s="89">
        <f t="shared" si="88"/>
        <v>2918.6387523243588</v>
      </c>
      <c r="J214" s="89">
        <f t="shared" si="88"/>
        <v>41921.307601519053</v>
      </c>
      <c r="K214" s="89">
        <f t="shared" si="88"/>
        <v>0</v>
      </c>
      <c r="L214" s="89">
        <f t="shared" si="88"/>
        <v>11993.502397634715</v>
      </c>
      <c r="M214" s="89">
        <f t="shared" si="88"/>
        <v>0</v>
      </c>
      <c r="N214" s="89">
        <f t="shared" si="88"/>
        <v>0</v>
      </c>
      <c r="O214" s="89">
        <f t="shared" si="88"/>
        <v>0</v>
      </c>
      <c r="P214" s="89">
        <f t="shared" si="88"/>
        <v>0</v>
      </c>
      <c r="Q214" s="89">
        <f t="shared" si="88"/>
        <v>0</v>
      </c>
      <c r="R214" s="89">
        <f t="shared" si="88"/>
        <v>0</v>
      </c>
      <c r="S214" s="89">
        <f t="shared" si="88"/>
        <v>37.760978827371353</v>
      </c>
      <c r="T214" s="89">
        <f t="shared" si="88"/>
        <v>0</v>
      </c>
      <c r="U214" s="89">
        <f t="shared" si="88"/>
        <v>0</v>
      </c>
      <c r="V214" s="89">
        <f t="shared" si="88"/>
        <v>0</v>
      </c>
      <c r="W214" s="91">
        <f>SUM(G214:V214)</f>
        <v>1814382.8487628764</v>
      </c>
      <c r="X214" s="87" t="str">
        <f>IF(ABS(F214-W214)&lt;0.01,"ok","err")</f>
        <v>ok</v>
      </c>
      <c r="Y214" s="203" t="str">
        <f>IF(X214="err",W214-F214,"")</f>
        <v/>
      </c>
    </row>
    <row r="215" spans="1:25" ht="12" customHeight="1" x14ac:dyDescent="0.25">
      <c r="F215" s="90"/>
    </row>
    <row r="216" spans="1:25" ht="12" customHeight="1" x14ac:dyDescent="0.25">
      <c r="A216" s="23" t="s">
        <v>127</v>
      </c>
      <c r="F216" s="90"/>
    </row>
    <row r="217" spans="1:25" ht="12" customHeight="1" x14ac:dyDescent="0.25">
      <c r="A217" s="96" t="s">
        <v>392</v>
      </c>
      <c r="C217" s="86" t="s">
        <v>810</v>
      </c>
      <c r="D217" s="86" t="s">
        <v>674</v>
      </c>
      <c r="E217" s="86" t="s">
        <v>2453</v>
      </c>
      <c r="F217" s="89">
        <f>VLOOKUP(C217,'WSS-29'!$C$1:$AU$617,27,)</f>
        <v>11537187.7496015</v>
      </c>
      <c r="G217" s="89">
        <f t="shared" ref="G217:V217" si="89">IF(VLOOKUP($E217,$D$5:$V$977,3,)=0,0,(VLOOKUP($E217,$D$5:$V$977,G$1,)/VLOOKUP($E217,$D$5:$V$977,3,))*$F217)</f>
        <v>6970017.444156046</v>
      </c>
      <c r="H217" s="89">
        <f t="shared" si="89"/>
        <v>2812609.8548666271</v>
      </c>
      <c r="I217" s="89">
        <f t="shared" si="89"/>
        <v>57411.287109612502</v>
      </c>
      <c r="J217" s="89">
        <f t="shared" si="89"/>
        <v>879397.94994509639</v>
      </c>
      <c r="K217" s="89">
        <f t="shared" si="89"/>
        <v>171975.93155506472</v>
      </c>
      <c r="L217" s="89">
        <f t="shared" si="89"/>
        <v>157290.85174742364</v>
      </c>
      <c r="M217" s="89">
        <f t="shared" si="89"/>
        <v>304650.48689656472</v>
      </c>
      <c r="N217" s="89">
        <f t="shared" si="89"/>
        <v>151043.53567442551</v>
      </c>
      <c r="O217" s="89">
        <f t="shared" si="89"/>
        <v>9323.8513314205538</v>
      </c>
      <c r="P217" s="89">
        <f t="shared" si="89"/>
        <v>0</v>
      </c>
      <c r="Q217" s="89">
        <f t="shared" si="89"/>
        <v>1701.7641088466908</v>
      </c>
      <c r="R217" s="89">
        <f t="shared" si="89"/>
        <v>20972.666934027275</v>
      </c>
      <c r="S217" s="89">
        <f t="shared" si="89"/>
        <v>792.12527634770811</v>
      </c>
      <c r="T217" s="89">
        <f t="shared" si="89"/>
        <v>0</v>
      </c>
      <c r="U217" s="89">
        <f t="shared" si="89"/>
        <v>0</v>
      </c>
      <c r="V217" s="89">
        <f t="shared" si="89"/>
        <v>0</v>
      </c>
      <c r="W217" s="91">
        <f>SUM(G217:V217)</f>
        <v>11537187.7496015</v>
      </c>
      <c r="X217" s="87" t="str">
        <f>IF(ABS(F217-W217)&lt;0.01,"ok","err")</f>
        <v>ok</v>
      </c>
      <c r="Y217" s="203" t="str">
        <f>IF(X217="err",W217-F217,"")</f>
        <v/>
      </c>
    </row>
    <row r="218" spans="1:25" ht="12" customHeight="1" x14ac:dyDescent="0.25">
      <c r="F218" s="90"/>
    </row>
    <row r="219" spans="1:25" ht="12" customHeight="1" x14ac:dyDescent="0.25">
      <c r="A219" s="23" t="s">
        <v>144</v>
      </c>
      <c r="F219" s="90"/>
    </row>
    <row r="220" spans="1:25" ht="12" customHeight="1" x14ac:dyDescent="0.25">
      <c r="A220" s="96" t="s">
        <v>392</v>
      </c>
      <c r="C220" s="86" t="s">
        <v>810</v>
      </c>
      <c r="D220" s="86" t="s">
        <v>675</v>
      </c>
      <c r="E220" s="86" t="s">
        <v>395</v>
      </c>
      <c r="F220" s="89">
        <f>VLOOKUP(C220,'WSS-29'!$C$1:$AU$617,28,)</f>
        <v>2077842.4946816051</v>
      </c>
      <c r="G220" s="89">
        <f t="shared" ref="G220:V220" si="90">IF(VLOOKUP($E220,$D$5:$V$977,3,)=0,0,(VLOOKUP($E220,$D$5:$V$977,G$1,)/VLOOKUP($E220,$D$5:$V$977,3,))*$F220)</f>
        <v>0</v>
      </c>
      <c r="H220" s="89">
        <f t="shared" si="90"/>
        <v>0</v>
      </c>
      <c r="I220" s="89">
        <f t="shared" si="90"/>
        <v>0</v>
      </c>
      <c r="J220" s="89">
        <f t="shared" si="90"/>
        <v>0</v>
      </c>
      <c r="K220" s="89">
        <f t="shared" si="90"/>
        <v>0</v>
      </c>
      <c r="L220" s="89">
        <f t="shared" si="90"/>
        <v>0</v>
      </c>
      <c r="M220" s="89">
        <f t="shared" si="90"/>
        <v>0</v>
      </c>
      <c r="N220" s="89">
        <f t="shared" si="90"/>
        <v>0</v>
      </c>
      <c r="O220" s="89">
        <f t="shared" si="90"/>
        <v>0</v>
      </c>
      <c r="P220" s="89">
        <f t="shared" si="90"/>
        <v>2077842.4946816051</v>
      </c>
      <c r="Q220" s="89">
        <f t="shared" si="90"/>
        <v>0</v>
      </c>
      <c r="R220" s="89">
        <f t="shared" si="90"/>
        <v>0</v>
      </c>
      <c r="S220" s="89">
        <f t="shared" si="90"/>
        <v>0</v>
      </c>
      <c r="T220" s="89">
        <f t="shared" si="90"/>
        <v>0</v>
      </c>
      <c r="U220" s="89">
        <f t="shared" si="90"/>
        <v>0</v>
      </c>
      <c r="V220" s="89">
        <f t="shared" si="90"/>
        <v>0</v>
      </c>
      <c r="W220" s="91">
        <f>SUM(G220:V220)</f>
        <v>2077842.4946816051</v>
      </c>
      <c r="X220" s="87" t="str">
        <f>IF(ABS(F220-W220)&lt;0.01,"ok","err")</f>
        <v>ok</v>
      </c>
      <c r="Y220" s="203" t="str">
        <f>IF(X220="err",W220-F220,"")</f>
        <v/>
      </c>
    </row>
    <row r="221" spans="1:25" ht="12" customHeight="1" x14ac:dyDescent="0.25">
      <c r="F221" s="90"/>
    </row>
    <row r="222" spans="1:25" ht="12" customHeight="1" x14ac:dyDescent="0.25">
      <c r="A222" s="23" t="s">
        <v>292</v>
      </c>
      <c r="F222" s="90"/>
    </row>
    <row r="223" spans="1:25" ht="12" customHeight="1" x14ac:dyDescent="0.25">
      <c r="A223" s="96" t="s">
        <v>392</v>
      </c>
      <c r="C223" s="86" t="s">
        <v>810</v>
      </c>
      <c r="D223" s="86" t="s">
        <v>676</v>
      </c>
      <c r="E223" s="86" t="s">
        <v>396</v>
      </c>
      <c r="F223" s="89">
        <f>VLOOKUP(C223,'WSS-29'!$C$1:$AU$617,30,)</f>
        <v>56459202.694911122</v>
      </c>
      <c r="G223" s="89">
        <f t="shared" ref="G223:V223" si="91">IF(VLOOKUP($E223,$D$5:$V$977,3,)=0,0,(VLOOKUP($E223,$D$5:$V$977,G$1,)/VLOOKUP($E223,$D$5:$V$977,3,))*$F223)</f>
        <v>36676716.605924807</v>
      </c>
      <c r="H223" s="89">
        <f t="shared" si="91"/>
        <v>13728044.397795727</v>
      </c>
      <c r="I223" s="89">
        <f t="shared" si="91"/>
        <v>351558.92591958522</v>
      </c>
      <c r="J223" s="89">
        <f t="shared" si="91"/>
        <v>1841124.0448217902</v>
      </c>
      <c r="K223" s="89">
        <f t="shared" si="91"/>
        <v>84573.137839145493</v>
      </c>
      <c r="L223" s="89">
        <f t="shared" si="91"/>
        <v>1587819.2055094475</v>
      </c>
      <c r="M223" s="89">
        <f t="shared" si="91"/>
        <v>530654.98252012872</v>
      </c>
      <c r="N223" s="89">
        <f t="shared" si="91"/>
        <v>41457.420509385054</v>
      </c>
      <c r="O223" s="89">
        <f t="shared" si="91"/>
        <v>4145.7420509385056</v>
      </c>
      <c r="P223" s="89">
        <f t="shared" si="91"/>
        <v>1596525.2638164184</v>
      </c>
      <c r="Q223" s="89">
        <f t="shared" si="91"/>
        <v>994.9780922252412</v>
      </c>
      <c r="R223" s="89">
        <f t="shared" si="91"/>
        <v>12271.396470777974</v>
      </c>
      <c r="S223" s="89">
        <f t="shared" si="91"/>
        <v>1658.2968203754019</v>
      </c>
      <c r="T223" s="89">
        <f t="shared" si="91"/>
        <v>1658.2968203754019</v>
      </c>
      <c r="U223" s="89">
        <f t="shared" si="91"/>
        <v>0</v>
      </c>
      <c r="V223" s="89">
        <f t="shared" si="91"/>
        <v>0</v>
      </c>
      <c r="W223" s="91">
        <f>SUM(G223:V223)</f>
        <v>56459202.694911115</v>
      </c>
      <c r="X223" s="87" t="str">
        <f>IF(ABS(F223-W223)&lt;0.01,"ok","err")</f>
        <v>ok</v>
      </c>
      <c r="Y223" s="203" t="str">
        <f>IF(X223="err",W223-F223,"")</f>
        <v/>
      </c>
    </row>
    <row r="224" spans="1:25" ht="12" customHeight="1" x14ac:dyDescent="0.25">
      <c r="F224" s="90"/>
    </row>
    <row r="225" spans="1:25" ht="12" customHeight="1" x14ac:dyDescent="0.25">
      <c r="A225" s="23" t="s">
        <v>1631</v>
      </c>
      <c r="F225" s="90"/>
    </row>
    <row r="226" spans="1:25" ht="12" customHeight="1" x14ac:dyDescent="0.25">
      <c r="A226" s="96" t="s">
        <v>392</v>
      </c>
      <c r="C226" s="86" t="s">
        <v>810</v>
      </c>
      <c r="D226" s="86" t="s">
        <v>677</v>
      </c>
      <c r="E226" s="86" t="s">
        <v>2562</v>
      </c>
      <c r="F226" s="89">
        <f>VLOOKUP(C226,'WSS-29'!$C$1:$AU$617,32,)</f>
        <v>7173759.7602191055</v>
      </c>
      <c r="G226" s="89">
        <f t="shared" ref="G226:V226" si="92">IF(VLOOKUP($E226,$D$5:$V$977,3,)=0,0,(VLOOKUP($E226,$D$5:$V$977,G$1,)/VLOOKUP($E226,$D$5:$V$977,3,))*$F226)</f>
        <v>5742082.8174828701</v>
      </c>
      <c r="H226" s="89">
        <f t="shared" si="92"/>
        <v>1074626.8361641036</v>
      </c>
      <c r="I226" s="89">
        <f t="shared" si="92"/>
        <v>5503.9836023093821</v>
      </c>
      <c r="J226" s="89">
        <f t="shared" si="92"/>
        <v>57649.035796830118</v>
      </c>
      <c r="K226" s="89">
        <f t="shared" si="92"/>
        <v>2648.1430539413063</v>
      </c>
      <c r="L226" s="89">
        <f t="shared" si="92"/>
        <v>9943.5175456815741</v>
      </c>
      <c r="M226" s="89">
        <f t="shared" si="92"/>
        <v>3323.1599108283067</v>
      </c>
      <c r="N226" s="89">
        <f t="shared" si="92"/>
        <v>259.62186803346145</v>
      </c>
      <c r="O226" s="89">
        <f t="shared" si="92"/>
        <v>12.981093401673073</v>
      </c>
      <c r="P226" s="89">
        <f t="shared" si="92"/>
        <v>249950.95344921501</v>
      </c>
      <c r="Q226" s="89">
        <f t="shared" si="92"/>
        <v>155.77312082007685</v>
      </c>
      <c r="R226" s="89">
        <f t="shared" si="92"/>
        <v>1921.2018234476147</v>
      </c>
      <c r="S226" s="89">
        <f t="shared" si="92"/>
        <v>51.924373606692292</v>
      </c>
      <c r="T226" s="89">
        <f t="shared" si="92"/>
        <v>18629.810934016732</v>
      </c>
      <c r="U226" s="89">
        <f t="shared" si="92"/>
        <v>0</v>
      </c>
      <c r="V226" s="89">
        <f t="shared" si="92"/>
        <v>7000</v>
      </c>
      <c r="W226" s="91">
        <f>SUM(G226:V226)</f>
        <v>7173759.7602191074</v>
      </c>
      <c r="X226" s="87" t="str">
        <f>IF(ABS(F226-W226)&lt;0.01,"ok","err")</f>
        <v>ok</v>
      </c>
      <c r="Y226" s="203" t="str">
        <f>IF(X226="err",W226-F226,"")</f>
        <v/>
      </c>
    </row>
    <row r="227" spans="1:25" ht="12" customHeight="1" x14ac:dyDescent="0.25">
      <c r="F227" s="90"/>
    </row>
    <row r="228" spans="1:25" ht="12" customHeight="1" x14ac:dyDescent="0.25">
      <c r="A228" s="23" t="s">
        <v>1630</v>
      </c>
      <c r="F228" s="90"/>
    </row>
    <row r="229" spans="1:25" ht="12" customHeight="1" x14ac:dyDescent="0.25">
      <c r="A229" s="96" t="s">
        <v>392</v>
      </c>
      <c r="C229" s="86" t="s">
        <v>810</v>
      </c>
      <c r="D229" s="86" t="s">
        <v>678</v>
      </c>
      <c r="E229" s="86" t="s">
        <v>397</v>
      </c>
      <c r="F229" s="89">
        <f>VLOOKUP(C229,'WSS-29'!$C$1:$AU$617,34,)</f>
        <v>0</v>
      </c>
      <c r="G229" s="89">
        <f t="shared" ref="G229:V229" si="93">IF(VLOOKUP($E229,$D$5:$V$977,3,)=0,0,(VLOOKUP($E229,$D$5:$V$977,G$1,)/VLOOKUP($E229,$D$5:$V$977,3,))*$F229)</f>
        <v>0</v>
      </c>
      <c r="H229" s="89">
        <f t="shared" si="93"/>
        <v>0</v>
      </c>
      <c r="I229" s="89">
        <f t="shared" si="93"/>
        <v>0</v>
      </c>
      <c r="J229" s="89">
        <f t="shared" si="93"/>
        <v>0</v>
      </c>
      <c r="K229" s="89">
        <f t="shared" si="93"/>
        <v>0</v>
      </c>
      <c r="L229" s="89">
        <f t="shared" si="93"/>
        <v>0</v>
      </c>
      <c r="M229" s="89">
        <f t="shared" si="93"/>
        <v>0</v>
      </c>
      <c r="N229" s="89">
        <f t="shared" si="93"/>
        <v>0</v>
      </c>
      <c r="O229" s="89">
        <f t="shared" si="93"/>
        <v>0</v>
      </c>
      <c r="P229" s="89">
        <f t="shared" si="93"/>
        <v>0</v>
      </c>
      <c r="Q229" s="89">
        <f t="shared" si="93"/>
        <v>0</v>
      </c>
      <c r="R229" s="89">
        <f t="shared" si="93"/>
        <v>0</v>
      </c>
      <c r="S229" s="89">
        <f t="shared" si="93"/>
        <v>0</v>
      </c>
      <c r="T229" s="89">
        <f t="shared" si="93"/>
        <v>0</v>
      </c>
      <c r="U229" s="89">
        <f t="shared" si="93"/>
        <v>0</v>
      </c>
      <c r="V229" s="89">
        <f t="shared" si="93"/>
        <v>0</v>
      </c>
      <c r="W229" s="91">
        <f>SUM(G229:V229)</f>
        <v>0</v>
      </c>
      <c r="X229" s="87" t="str">
        <f>IF(ABS(F229-W229)&lt;0.01,"ok","err")</f>
        <v>ok</v>
      </c>
      <c r="Y229" s="203" t="str">
        <f>IF(X229="err",W229-F229,"")</f>
        <v/>
      </c>
    </row>
    <row r="230" spans="1:25" ht="12" customHeight="1" x14ac:dyDescent="0.25">
      <c r="F230" s="90"/>
    </row>
    <row r="231" spans="1:25" ht="12" customHeight="1" x14ac:dyDescent="0.25">
      <c r="A231" s="86" t="s">
        <v>62</v>
      </c>
      <c r="D231" s="86" t="s">
        <v>404</v>
      </c>
      <c r="F231" s="89">
        <f>F186+F192+F195+F198+F206+F211+F214+F217+F220+F223+F226+F229</f>
        <v>892295073</v>
      </c>
      <c r="G231" s="89">
        <f>G186+G192+G195+G198+G206+G211+G214+G217+G220+G223+G226+G229</f>
        <v>369164546.92586994</v>
      </c>
      <c r="H231" s="89">
        <f t="shared" ref="H231:T231" si="94">H186+H192+H195+H198+H206+H211+H214+H217+H220+H223+H226+H229</f>
        <v>102781777.22337073</v>
      </c>
      <c r="I231" s="89">
        <f>I186+I192+I195+I198+I206+I211+I214+I217+I220+I223+I226+I229</f>
        <v>6577502.7185469875</v>
      </c>
      <c r="J231" s="89">
        <f>J186+J192+J195+J198+J206+J211+J214+J217+J220+J223+J226+J229</f>
        <v>80222463.340453222</v>
      </c>
      <c r="K231" s="89">
        <f>K186+K192+K195+K198+K206+K211+K214+K217+K220+K223+K226+K229</f>
        <v>3699084.3300284715</v>
      </c>
      <c r="L231" s="89">
        <f t="shared" si="94"/>
        <v>80149960.788502932</v>
      </c>
      <c r="M231" s="89">
        <f t="shared" si="94"/>
        <v>161373637.99331099</v>
      </c>
      <c r="N231" s="89">
        <f t="shared" si="94"/>
        <v>54272684.636613227</v>
      </c>
      <c r="O231" s="89">
        <f>O186+O192+O195+O198+O206+O211+O214+O217+O220+O223+O226+O229</f>
        <v>23902778.241301723</v>
      </c>
      <c r="P231" s="89">
        <f>P186+P192+P195+P198+P206+P211+P214+P217+P220+P223+P226+P229</f>
        <v>9699479.5612257775</v>
      </c>
      <c r="Q231" s="89">
        <f t="shared" si="94"/>
        <v>167481.78190691656</v>
      </c>
      <c r="R231" s="89">
        <f t="shared" si="94"/>
        <v>140706.62510238052</v>
      </c>
      <c r="S231" s="89">
        <f t="shared" si="94"/>
        <v>22990.74337246405</v>
      </c>
      <c r="T231" s="89">
        <f t="shared" si="94"/>
        <v>21464.090394333354</v>
      </c>
      <c r="U231" s="89">
        <f>U186+U192+U195+U198+U206+U211+U214+U217+U220+U223+U226+U229</f>
        <v>91514</v>
      </c>
      <c r="V231" s="89">
        <f>V186+V192+V195+V198+V206+V211+V214+V217+V220+V223+V226+V229</f>
        <v>7000</v>
      </c>
      <c r="W231" s="91">
        <f>SUM(G231:V231)</f>
        <v>892295073.00000012</v>
      </c>
      <c r="X231" s="87" t="str">
        <f>IF(ABS(F231-W231)&lt;0.01,"ok","err")</f>
        <v>ok</v>
      </c>
      <c r="Y231" s="203" t="str">
        <f>IF(X231="err",W231-F231,"")</f>
        <v/>
      </c>
    </row>
    <row r="234" spans="1:25" ht="12" customHeight="1" x14ac:dyDescent="0.25">
      <c r="A234" s="22" t="s">
        <v>811</v>
      </c>
    </row>
    <row r="236" spans="1:25" ht="12" customHeight="1" x14ac:dyDescent="0.25">
      <c r="A236" s="23" t="s">
        <v>137</v>
      </c>
    </row>
    <row r="237" spans="1:25" ht="12" customHeight="1" x14ac:dyDescent="0.25">
      <c r="A237" s="96" t="s">
        <v>2270</v>
      </c>
      <c r="C237" s="86" t="s">
        <v>1016</v>
      </c>
      <c r="D237" s="86" t="s">
        <v>679</v>
      </c>
      <c r="E237" s="86" t="s">
        <v>2269</v>
      </c>
      <c r="F237" s="89">
        <f>VLOOKUP(C237,'WSS-29'!$C$1:$AU$617,6,)</f>
        <v>57141437.568190016</v>
      </c>
      <c r="G237" s="89">
        <f t="shared" ref="G237:V242" si="95">IF(VLOOKUP($E237,$D$5:$V$977,3,)=0,0,(VLOOKUP($E237,$D$5:$V$977,G$1,)/VLOOKUP($E237,$D$5:$V$977,3,))*$F237)</f>
        <v>23450371.528008316</v>
      </c>
      <c r="H237" s="89">
        <f t="shared" si="95"/>
        <v>6316226.0295225568</v>
      </c>
      <c r="I237" s="89">
        <f t="shared" si="95"/>
        <v>405294.97079092695</v>
      </c>
      <c r="J237" s="89">
        <f t="shared" si="95"/>
        <v>5890133.600580682</v>
      </c>
      <c r="K237" s="89">
        <f t="shared" si="95"/>
        <v>255897.92408233191</v>
      </c>
      <c r="L237" s="89">
        <f t="shared" si="95"/>
        <v>5664697.5148746446</v>
      </c>
      <c r="M237" s="89">
        <f t="shared" si="95"/>
        <v>10369855.732475692</v>
      </c>
      <c r="N237" s="89">
        <f t="shared" si="95"/>
        <v>3375544.1485062907</v>
      </c>
      <c r="O237" s="89">
        <f t="shared" si="95"/>
        <v>1397808.1875104478</v>
      </c>
      <c r="P237" s="89">
        <f t="shared" si="95"/>
        <v>9110.9946267521664</v>
      </c>
      <c r="Q237" s="89">
        <f t="shared" si="95"/>
        <v>331.48602931355776</v>
      </c>
      <c r="R237" s="89">
        <f t="shared" si="95"/>
        <v>5420.5525661518841</v>
      </c>
      <c r="S237" s="89">
        <f t="shared" si="95"/>
        <v>697.71790512615712</v>
      </c>
      <c r="T237" s="89">
        <f t="shared" si="95"/>
        <v>47.180710777465535</v>
      </c>
      <c r="U237" s="89">
        <f t="shared" si="95"/>
        <v>0</v>
      </c>
      <c r="V237" s="89">
        <f t="shared" si="95"/>
        <v>0</v>
      </c>
      <c r="W237" s="91">
        <f t="shared" ref="W237:W242" si="96">SUM(G237:V237)</f>
        <v>57141437.568190001</v>
      </c>
      <c r="X237" s="87" t="str">
        <f t="shared" ref="X237:X242" si="97">IF(ABS(F237-W237)&lt;0.01,"ok","err")</f>
        <v>ok</v>
      </c>
      <c r="Y237" s="203" t="str">
        <f t="shared" ref="Y237:Y242" si="98">IF(X237="err",W237-F237,"")</f>
        <v/>
      </c>
    </row>
    <row r="238" spans="1:25" ht="12" hidden="1" customHeight="1" x14ac:dyDescent="0.25">
      <c r="A238" s="96" t="s">
        <v>2271</v>
      </c>
      <c r="C238" s="86" t="s">
        <v>1016</v>
      </c>
      <c r="D238" s="86" t="s">
        <v>680</v>
      </c>
      <c r="E238" s="86" t="s">
        <v>2269</v>
      </c>
      <c r="F238" s="90">
        <f>VLOOKUP(C238,'WSS-29'!$C$1:$AU$617,7,)</f>
        <v>0</v>
      </c>
      <c r="G238" s="89">
        <f t="shared" si="95"/>
        <v>0</v>
      </c>
      <c r="H238" s="89">
        <f t="shared" si="95"/>
        <v>0</v>
      </c>
      <c r="I238" s="89">
        <f t="shared" si="95"/>
        <v>0</v>
      </c>
      <c r="J238" s="89">
        <f t="shared" si="95"/>
        <v>0</v>
      </c>
      <c r="K238" s="89">
        <f t="shared" si="95"/>
        <v>0</v>
      </c>
      <c r="L238" s="89">
        <f t="shared" si="95"/>
        <v>0</v>
      </c>
      <c r="M238" s="89">
        <f t="shared" si="95"/>
        <v>0</v>
      </c>
      <c r="N238" s="89">
        <f t="shared" si="95"/>
        <v>0</v>
      </c>
      <c r="O238" s="89">
        <f t="shared" si="95"/>
        <v>0</v>
      </c>
      <c r="P238" s="89">
        <f t="shared" si="95"/>
        <v>0</v>
      </c>
      <c r="Q238" s="89">
        <f t="shared" si="95"/>
        <v>0</v>
      </c>
      <c r="R238" s="89">
        <f t="shared" si="95"/>
        <v>0</v>
      </c>
      <c r="S238" s="89">
        <f t="shared" si="95"/>
        <v>0</v>
      </c>
      <c r="T238" s="89">
        <f t="shared" si="95"/>
        <v>0</v>
      </c>
      <c r="U238" s="89">
        <f t="shared" si="95"/>
        <v>0</v>
      </c>
      <c r="V238" s="89">
        <f t="shared" si="95"/>
        <v>0</v>
      </c>
      <c r="W238" s="91">
        <f t="shared" si="96"/>
        <v>0</v>
      </c>
      <c r="X238" s="87" t="str">
        <f t="shared" si="97"/>
        <v>ok</v>
      </c>
      <c r="Y238" s="203" t="str">
        <f t="shared" si="98"/>
        <v/>
      </c>
    </row>
    <row r="239" spans="1:25" ht="12" hidden="1" customHeight="1" x14ac:dyDescent="0.25">
      <c r="A239" s="96" t="s">
        <v>2271</v>
      </c>
      <c r="C239" s="86" t="s">
        <v>1016</v>
      </c>
      <c r="D239" s="86" t="s">
        <v>681</v>
      </c>
      <c r="E239" s="86" t="s">
        <v>2269</v>
      </c>
      <c r="F239" s="90">
        <f>VLOOKUP(C239,'WSS-29'!$C$1:$AU$617,8,)</f>
        <v>0</v>
      </c>
      <c r="G239" s="89">
        <f t="shared" si="95"/>
        <v>0</v>
      </c>
      <c r="H239" s="89">
        <f t="shared" si="95"/>
        <v>0</v>
      </c>
      <c r="I239" s="89">
        <f t="shared" si="95"/>
        <v>0</v>
      </c>
      <c r="J239" s="89">
        <f t="shared" si="95"/>
        <v>0</v>
      </c>
      <c r="K239" s="89">
        <f t="shared" si="95"/>
        <v>0</v>
      </c>
      <c r="L239" s="89">
        <f t="shared" si="95"/>
        <v>0</v>
      </c>
      <c r="M239" s="89">
        <f t="shared" si="95"/>
        <v>0</v>
      </c>
      <c r="N239" s="89">
        <f t="shared" si="95"/>
        <v>0</v>
      </c>
      <c r="O239" s="89">
        <f t="shared" si="95"/>
        <v>0</v>
      </c>
      <c r="P239" s="89">
        <f t="shared" si="95"/>
        <v>0</v>
      </c>
      <c r="Q239" s="89">
        <f t="shared" si="95"/>
        <v>0</v>
      </c>
      <c r="R239" s="89">
        <f t="shared" si="95"/>
        <v>0</v>
      </c>
      <c r="S239" s="89">
        <f t="shared" si="95"/>
        <v>0</v>
      </c>
      <c r="T239" s="89">
        <f t="shared" si="95"/>
        <v>0</v>
      </c>
      <c r="U239" s="89">
        <f t="shared" si="95"/>
        <v>0</v>
      </c>
      <c r="V239" s="89">
        <f t="shared" si="95"/>
        <v>0</v>
      </c>
      <c r="W239" s="91">
        <f t="shared" si="96"/>
        <v>0</v>
      </c>
      <c r="X239" s="87" t="str">
        <f t="shared" si="97"/>
        <v>ok</v>
      </c>
      <c r="Y239" s="203" t="str">
        <f t="shared" si="98"/>
        <v/>
      </c>
    </row>
    <row r="240" spans="1:25" ht="12" customHeight="1" x14ac:dyDescent="0.25">
      <c r="A240" s="96" t="s">
        <v>2273</v>
      </c>
      <c r="C240" s="86" t="s">
        <v>1016</v>
      </c>
      <c r="D240" s="86" t="s">
        <v>1633</v>
      </c>
      <c r="E240" s="86" t="s">
        <v>390</v>
      </c>
      <c r="F240" s="90">
        <f>VLOOKUP(C240,'WSS-29'!$C$1:$AU$617,9,)</f>
        <v>38829579.832689613</v>
      </c>
      <c r="G240" s="89">
        <f t="shared" si="95"/>
        <v>13407601.722695701</v>
      </c>
      <c r="H240" s="89">
        <f t="shared" si="95"/>
        <v>3785566.0483530024</v>
      </c>
      <c r="I240" s="89">
        <f t="shared" si="95"/>
        <v>289980.48822938045</v>
      </c>
      <c r="J240" s="89">
        <f t="shared" si="95"/>
        <v>3833035.7141092522</v>
      </c>
      <c r="K240" s="89">
        <f t="shared" si="95"/>
        <v>173226.64138009571</v>
      </c>
      <c r="L240" s="89">
        <f t="shared" si="95"/>
        <v>4024799.0574517353</v>
      </c>
      <c r="M240" s="89">
        <f t="shared" si="95"/>
        <v>8696199.9321764223</v>
      </c>
      <c r="N240" s="89">
        <f t="shared" si="95"/>
        <v>3026592.5252296594</v>
      </c>
      <c r="O240" s="89">
        <f t="shared" si="95"/>
        <v>1305527.8405182364</v>
      </c>
      <c r="P240" s="89">
        <f t="shared" si="95"/>
        <v>271030.58852982312</v>
      </c>
      <c r="Q240" s="89">
        <f t="shared" si="95"/>
        <v>9860.9270136110117</v>
      </c>
      <c r="R240" s="89">
        <f t="shared" si="95"/>
        <v>5397.3424957123161</v>
      </c>
      <c r="S240" s="89">
        <f t="shared" si="95"/>
        <v>736.30352625702608</v>
      </c>
      <c r="T240" s="89">
        <f t="shared" si="95"/>
        <v>24.700980721846896</v>
      </c>
      <c r="U240" s="89">
        <f t="shared" si="95"/>
        <v>0</v>
      </c>
      <c r="V240" s="89">
        <f t="shared" si="95"/>
        <v>0</v>
      </c>
      <c r="W240" s="91">
        <f t="shared" si="96"/>
        <v>38829579.832689613</v>
      </c>
      <c r="X240" s="87" t="str">
        <f t="shared" si="97"/>
        <v>ok</v>
      </c>
      <c r="Y240" s="203" t="str">
        <f t="shared" si="98"/>
        <v/>
      </c>
    </row>
    <row r="241" spans="1:25" ht="12" hidden="1" customHeight="1" x14ac:dyDescent="0.25">
      <c r="A241" s="96" t="s">
        <v>2272</v>
      </c>
      <c r="C241" s="86" t="s">
        <v>1016</v>
      </c>
      <c r="D241" s="86" t="s">
        <v>1634</v>
      </c>
      <c r="E241" s="86" t="s">
        <v>390</v>
      </c>
      <c r="F241" s="90">
        <f>VLOOKUP(C241,'WSS-29'!$C$1:$AU$617,10,)</f>
        <v>0</v>
      </c>
      <c r="G241" s="89">
        <f t="shared" si="95"/>
        <v>0</v>
      </c>
      <c r="H241" s="89">
        <f t="shared" si="95"/>
        <v>0</v>
      </c>
      <c r="I241" s="89">
        <f t="shared" si="95"/>
        <v>0</v>
      </c>
      <c r="J241" s="89">
        <f t="shared" si="95"/>
        <v>0</v>
      </c>
      <c r="K241" s="89">
        <f t="shared" si="95"/>
        <v>0</v>
      </c>
      <c r="L241" s="89">
        <f t="shared" si="95"/>
        <v>0</v>
      </c>
      <c r="M241" s="89">
        <f t="shared" si="95"/>
        <v>0</v>
      </c>
      <c r="N241" s="89">
        <f t="shared" si="95"/>
        <v>0</v>
      </c>
      <c r="O241" s="89">
        <f t="shared" si="95"/>
        <v>0</v>
      </c>
      <c r="P241" s="89">
        <f t="shared" si="95"/>
        <v>0</v>
      </c>
      <c r="Q241" s="89">
        <f t="shared" si="95"/>
        <v>0</v>
      </c>
      <c r="R241" s="89">
        <f t="shared" si="95"/>
        <v>0</v>
      </c>
      <c r="S241" s="89">
        <f t="shared" si="95"/>
        <v>0</v>
      </c>
      <c r="T241" s="89">
        <f t="shared" si="95"/>
        <v>0</v>
      </c>
      <c r="U241" s="89">
        <f t="shared" si="95"/>
        <v>0</v>
      </c>
      <c r="V241" s="89">
        <f t="shared" si="95"/>
        <v>0</v>
      </c>
      <c r="W241" s="91">
        <f t="shared" si="96"/>
        <v>0</v>
      </c>
      <c r="X241" s="87" t="str">
        <f t="shared" si="97"/>
        <v>ok</v>
      </c>
      <c r="Y241" s="203" t="str">
        <f t="shared" si="98"/>
        <v/>
      </c>
    </row>
    <row r="242" spans="1:25" ht="12" hidden="1" customHeight="1" x14ac:dyDescent="0.25">
      <c r="A242" s="96" t="s">
        <v>2272</v>
      </c>
      <c r="C242" s="86" t="s">
        <v>1016</v>
      </c>
      <c r="D242" s="86" t="s">
        <v>1635</v>
      </c>
      <c r="E242" s="86" t="s">
        <v>390</v>
      </c>
      <c r="F242" s="90">
        <f>VLOOKUP(C242,'WSS-29'!$C$1:$AU$617,11,)</f>
        <v>0</v>
      </c>
      <c r="G242" s="89">
        <f t="shared" si="95"/>
        <v>0</v>
      </c>
      <c r="H242" s="89">
        <f t="shared" si="95"/>
        <v>0</v>
      </c>
      <c r="I242" s="89">
        <f t="shared" si="95"/>
        <v>0</v>
      </c>
      <c r="J242" s="89">
        <f t="shared" si="95"/>
        <v>0</v>
      </c>
      <c r="K242" s="89">
        <f t="shared" si="95"/>
        <v>0</v>
      </c>
      <c r="L242" s="89">
        <f t="shared" si="95"/>
        <v>0</v>
      </c>
      <c r="M242" s="89">
        <f t="shared" si="95"/>
        <v>0</v>
      </c>
      <c r="N242" s="89">
        <f t="shared" si="95"/>
        <v>0</v>
      </c>
      <c r="O242" s="89">
        <f t="shared" si="95"/>
        <v>0</v>
      </c>
      <c r="P242" s="89">
        <f t="shared" si="95"/>
        <v>0</v>
      </c>
      <c r="Q242" s="89">
        <f t="shared" si="95"/>
        <v>0</v>
      </c>
      <c r="R242" s="89">
        <f t="shared" si="95"/>
        <v>0</v>
      </c>
      <c r="S242" s="89">
        <f t="shared" si="95"/>
        <v>0</v>
      </c>
      <c r="T242" s="89">
        <f t="shared" si="95"/>
        <v>0</v>
      </c>
      <c r="U242" s="89">
        <f t="shared" si="95"/>
        <v>0</v>
      </c>
      <c r="V242" s="89">
        <f t="shared" si="95"/>
        <v>0</v>
      </c>
      <c r="W242" s="91">
        <f t="shared" si="96"/>
        <v>0</v>
      </c>
      <c r="X242" s="87" t="str">
        <f t="shared" si="97"/>
        <v>ok</v>
      </c>
      <c r="Y242" s="203" t="str">
        <f t="shared" si="98"/>
        <v/>
      </c>
    </row>
    <row r="243" spans="1:25" ht="12" customHeight="1" x14ac:dyDescent="0.25">
      <c r="A243" s="86" t="s">
        <v>160</v>
      </c>
      <c r="D243" s="86" t="s">
        <v>405</v>
      </c>
      <c r="F243" s="89">
        <f t="shared" ref="F243:T243" si="99">SUM(F237:F242)</f>
        <v>95971017.400879622</v>
      </c>
      <c r="G243" s="89">
        <f t="shared" si="99"/>
        <v>36857973.25070402</v>
      </c>
      <c r="H243" s="89">
        <f t="shared" si="99"/>
        <v>10101792.077875558</v>
      </c>
      <c r="I243" s="89">
        <f>SUM(I237:I242)</f>
        <v>695275.4590203074</v>
      </c>
      <c r="J243" s="89">
        <f>SUM(J237:J242)</f>
        <v>9723169.3146899343</v>
      </c>
      <c r="K243" s="89">
        <f>SUM(K237:K242)</f>
        <v>429124.56546242762</v>
      </c>
      <c r="L243" s="89">
        <f t="shared" si="99"/>
        <v>9689496.5723263808</v>
      </c>
      <c r="M243" s="89">
        <f t="shared" si="99"/>
        <v>19066055.664652117</v>
      </c>
      <c r="N243" s="89">
        <f t="shared" si="99"/>
        <v>6402136.6737359501</v>
      </c>
      <c r="O243" s="89">
        <f t="shared" si="99"/>
        <v>2703336.0280286842</v>
      </c>
      <c r="P243" s="89">
        <f>SUM(P237:P242)</f>
        <v>280141.58315657527</v>
      </c>
      <c r="Q243" s="89">
        <f t="shared" si="99"/>
        <v>10192.413042924569</v>
      </c>
      <c r="R243" s="89">
        <f t="shared" si="99"/>
        <v>10817.895061864201</v>
      </c>
      <c r="S243" s="89">
        <f t="shared" si="99"/>
        <v>1434.0214313831832</v>
      </c>
      <c r="T243" s="89">
        <f t="shared" si="99"/>
        <v>71.881691499312439</v>
      </c>
      <c r="U243" s="89">
        <f>SUM(U237:U242)</f>
        <v>0</v>
      </c>
      <c r="V243" s="89">
        <f>SUM(V237:V242)</f>
        <v>0</v>
      </c>
      <c r="W243" s="91">
        <f>SUM(G243:V243)</f>
        <v>95971017.400879607</v>
      </c>
      <c r="X243" s="87" t="str">
        <f>IF(ABS(F243-W243)&lt;0.01,"ok","err")</f>
        <v>ok</v>
      </c>
      <c r="Y243" s="91" t="str">
        <f>IF(X243="err",W243-F243,"")</f>
        <v/>
      </c>
    </row>
    <row r="244" spans="1:25" ht="12" customHeight="1" x14ac:dyDescent="0.25">
      <c r="F244" s="90"/>
      <c r="G244" s="90"/>
    </row>
    <row r="245" spans="1:25" ht="12" customHeight="1" x14ac:dyDescent="0.25">
      <c r="A245" s="23" t="s">
        <v>441</v>
      </c>
      <c r="F245" s="90"/>
      <c r="G245" s="90"/>
    </row>
    <row r="246" spans="1:25" ht="12" customHeight="1" x14ac:dyDescent="0.25">
      <c r="A246" s="96" t="s">
        <v>2249</v>
      </c>
      <c r="C246" s="86" t="s">
        <v>1016</v>
      </c>
      <c r="D246" s="86" t="s">
        <v>1636</v>
      </c>
      <c r="E246" s="86" t="s">
        <v>2250</v>
      </c>
      <c r="F246" s="89">
        <f>VLOOKUP(C246,'WSS-29'!$C$1:$AU$617,13,)</f>
        <v>12471453.131564695</v>
      </c>
      <c r="G246" s="89">
        <f t="shared" ref="G246:V248" si="100">IF(VLOOKUP($E246,$D$5:$V$977,3,)=0,0,(VLOOKUP($E246,$D$5:$V$977,G$1,)/VLOOKUP($E246,$D$5:$V$977,3,))*$F246)</f>
        <v>5514216.7245195834</v>
      </c>
      <c r="H246" s="89">
        <f t="shared" si="100"/>
        <v>1415385.8781827581</v>
      </c>
      <c r="I246" s="89">
        <f t="shared" si="100"/>
        <v>144856.66519542679</v>
      </c>
      <c r="J246" s="89">
        <f t="shared" si="100"/>
        <v>1262647.8562957677</v>
      </c>
      <c r="K246" s="89">
        <f t="shared" si="100"/>
        <v>54257.008979357539</v>
      </c>
      <c r="L246" s="89">
        <f t="shared" si="100"/>
        <v>1117020.1892973424</v>
      </c>
      <c r="M246" s="89">
        <f t="shared" si="100"/>
        <v>1819218.015309111</v>
      </c>
      <c r="N246" s="89">
        <f t="shared" si="100"/>
        <v>630865.47949394281</v>
      </c>
      <c r="O246" s="89">
        <f t="shared" si="100"/>
        <v>422728.26076411537</v>
      </c>
      <c r="P246" s="89">
        <f t="shared" si="100"/>
        <v>85142.12302495027</v>
      </c>
      <c r="Q246" s="89">
        <f t="shared" si="100"/>
        <v>3097.7325138570782</v>
      </c>
      <c r="R246" s="89">
        <f t="shared" si="100"/>
        <v>834.60480086812311</v>
      </c>
      <c r="S246" s="89">
        <f t="shared" si="100"/>
        <v>1175.2596041601385</v>
      </c>
      <c r="T246" s="89">
        <f t="shared" si="100"/>
        <v>7.3335834533522304</v>
      </c>
      <c r="U246" s="89">
        <f t="shared" si="100"/>
        <v>0</v>
      </c>
      <c r="V246" s="89">
        <f t="shared" si="100"/>
        <v>0</v>
      </c>
      <c r="W246" s="91">
        <f>SUM(G246:V246)</f>
        <v>12471453.131564694</v>
      </c>
      <c r="X246" s="87" t="str">
        <f>IF(ABS(F246-W246)&lt;0.01,"ok","err")</f>
        <v>ok</v>
      </c>
      <c r="Y246" s="203" t="str">
        <f>IF(X246="err",W246-F246,"")</f>
        <v/>
      </c>
    </row>
    <row r="247" spans="1:25" ht="12" hidden="1" customHeight="1" x14ac:dyDescent="0.25">
      <c r="A247" s="96" t="s">
        <v>2248</v>
      </c>
      <c r="C247" s="86" t="s">
        <v>1016</v>
      </c>
      <c r="D247" s="86" t="s">
        <v>1637</v>
      </c>
      <c r="E247" s="86" t="s">
        <v>2250</v>
      </c>
      <c r="F247" s="90">
        <f>VLOOKUP(C247,'WSS-29'!$C$1:$AU$617,14,)</f>
        <v>0</v>
      </c>
      <c r="G247" s="89">
        <f t="shared" si="100"/>
        <v>0</v>
      </c>
      <c r="H247" s="89">
        <f t="shared" si="100"/>
        <v>0</v>
      </c>
      <c r="I247" s="89">
        <f t="shared" si="100"/>
        <v>0</v>
      </c>
      <c r="J247" s="89">
        <f t="shared" si="100"/>
        <v>0</v>
      </c>
      <c r="K247" s="89">
        <f t="shared" si="100"/>
        <v>0</v>
      </c>
      <c r="L247" s="89">
        <f t="shared" si="100"/>
        <v>0</v>
      </c>
      <c r="M247" s="89">
        <f t="shared" si="100"/>
        <v>0</v>
      </c>
      <c r="N247" s="89">
        <f t="shared" si="100"/>
        <v>0</v>
      </c>
      <c r="O247" s="89">
        <f t="shared" si="100"/>
        <v>0</v>
      </c>
      <c r="P247" s="89">
        <f t="shared" si="100"/>
        <v>0</v>
      </c>
      <c r="Q247" s="89">
        <f t="shared" si="100"/>
        <v>0</v>
      </c>
      <c r="R247" s="89">
        <f t="shared" si="100"/>
        <v>0</v>
      </c>
      <c r="S247" s="89">
        <f t="shared" si="100"/>
        <v>0</v>
      </c>
      <c r="T247" s="89">
        <f t="shared" si="100"/>
        <v>0</v>
      </c>
      <c r="U247" s="89">
        <f t="shared" si="100"/>
        <v>0</v>
      </c>
      <c r="V247" s="89">
        <f t="shared" si="100"/>
        <v>0</v>
      </c>
      <c r="W247" s="91">
        <f>SUM(G247:V247)</f>
        <v>0</v>
      </c>
      <c r="X247" s="87" t="str">
        <f>IF(ABS(F247-W247)&lt;0.01,"ok","err")</f>
        <v>ok</v>
      </c>
      <c r="Y247" s="203" t="str">
        <f>IF(X247="err",W247-F247,"")</f>
        <v/>
      </c>
    </row>
    <row r="248" spans="1:25" ht="12" hidden="1" customHeight="1" x14ac:dyDescent="0.25">
      <c r="A248" s="96" t="s">
        <v>2248</v>
      </c>
      <c r="C248" s="86" t="s">
        <v>1016</v>
      </c>
      <c r="D248" s="86" t="s">
        <v>1638</v>
      </c>
      <c r="E248" s="86" t="s">
        <v>2250</v>
      </c>
      <c r="F248" s="90">
        <f>VLOOKUP(C248,'WSS-29'!$C$1:$AU$617,15,)</f>
        <v>0</v>
      </c>
      <c r="G248" s="89">
        <f t="shared" si="100"/>
        <v>0</v>
      </c>
      <c r="H248" s="89">
        <f t="shared" si="100"/>
        <v>0</v>
      </c>
      <c r="I248" s="89">
        <f t="shared" si="100"/>
        <v>0</v>
      </c>
      <c r="J248" s="89">
        <f t="shared" si="100"/>
        <v>0</v>
      </c>
      <c r="K248" s="89">
        <f t="shared" si="100"/>
        <v>0</v>
      </c>
      <c r="L248" s="89">
        <f t="shared" si="100"/>
        <v>0</v>
      </c>
      <c r="M248" s="89">
        <f t="shared" si="100"/>
        <v>0</v>
      </c>
      <c r="N248" s="89">
        <f t="shared" si="100"/>
        <v>0</v>
      </c>
      <c r="O248" s="89">
        <f t="shared" si="100"/>
        <v>0</v>
      </c>
      <c r="P248" s="89">
        <f t="shared" si="100"/>
        <v>0</v>
      </c>
      <c r="Q248" s="89">
        <f t="shared" si="100"/>
        <v>0</v>
      </c>
      <c r="R248" s="89">
        <f t="shared" si="100"/>
        <v>0</v>
      </c>
      <c r="S248" s="89">
        <f t="shared" si="100"/>
        <v>0</v>
      </c>
      <c r="T248" s="89">
        <f t="shared" si="100"/>
        <v>0</v>
      </c>
      <c r="U248" s="89">
        <f t="shared" si="100"/>
        <v>0</v>
      </c>
      <c r="V248" s="89">
        <f t="shared" si="100"/>
        <v>0</v>
      </c>
      <c r="W248" s="91">
        <f>SUM(G248:V248)</f>
        <v>0</v>
      </c>
      <c r="X248" s="87" t="str">
        <f>IF(ABS(F248-W248)&lt;0.01,"ok","err")</f>
        <v>ok</v>
      </c>
      <c r="Y248" s="203" t="str">
        <f>IF(X248="err",W248-F248,"")</f>
        <v/>
      </c>
    </row>
    <row r="249" spans="1:25" ht="12" hidden="1" customHeight="1" x14ac:dyDescent="0.25">
      <c r="A249" s="86" t="s">
        <v>443</v>
      </c>
      <c r="D249" s="86" t="s">
        <v>1639</v>
      </c>
      <c r="F249" s="89">
        <f t="shared" ref="F249:T249" si="101">SUM(F246:F248)</f>
        <v>12471453.131564695</v>
      </c>
      <c r="G249" s="89">
        <f t="shared" si="101"/>
        <v>5514216.7245195834</v>
      </c>
      <c r="H249" s="89">
        <f t="shared" si="101"/>
        <v>1415385.8781827581</v>
      </c>
      <c r="I249" s="89">
        <f>SUM(I246:I248)</f>
        <v>144856.66519542679</v>
      </c>
      <c r="J249" s="89">
        <f>SUM(J246:J248)</f>
        <v>1262647.8562957677</v>
      </c>
      <c r="K249" s="89">
        <f>SUM(K246:K248)</f>
        <v>54257.008979357539</v>
      </c>
      <c r="L249" s="89">
        <f t="shared" si="101"/>
        <v>1117020.1892973424</v>
      </c>
      <c r="M249" s="89">
        <f t="shared" si="101"/>
        <v>1819218.015309111</v>
      </c>
      <c r="N249" s="89">
        <f t="shared" si="101"/>
        <v>630865.47949394281</v>
      </c>
      <c r="O249" s="89">
        <f t="shared" si="101"/>
        <v>422728.26076411537</v>
      </c>
      <c r="P249" s="89">
        <f>SUM(P246:P248)</f>
        <v>85142.12302495027</v>
      </c>
      <c r="Q249" s="89">
        <f t="shared" si="101"/>
        <v>3097.7325138570782</v>
      </c>
      <c r="R249" s="89">
        <f t="shared" si="101"/>
        <v>834.60480086812311</v>
      </c>
      <c r="S249" s="89">
        <f t="shared" si="101"/>
        <v>1175.2596041601385</v>
      </c>
      <c r="T249" s="89">
        <f t="shared" si="101"/>
        <v>7.3335834533522304</v>
      </c>
      <c r="U249" s="89">
        <f>SUM(U246:U248)</f>
        <v>0</v>
      </c>
      <c r="V249" s="89">
        <f>SUM(V246:V248)</f>
        <v>0</v>
      </c>
      <c r="W249" s="91">
        <f>SUM(G249:V249)</f>
        <v>12471453.131564694</v>
      </c>
      <c r="X249" s="87" t="str">
        <f>IF(ABS(F249-W249)&lt;0.01,"ok","err")</f>
        <v>ok</v>
      </c>
      <c r="Y249" s="91" t="str">
        <f>IF(X249="err",W249-F249,"")</f>
        <v/>
      </c>
    </row>
    <row r="250" spans="1:25" ht="12" customHeight="1" x14ac:dyDescent="0.25">
      <c r="F250" s="90"/>
      <c r="G250" s="90"/>
    </row>
    <row r="251" spans="1:25" ht="12" customHeight="1" x14ac:dyDescent="0.25">
      <c r="A251" s="23" t="s">
        <v>1628</v>
      </c>
      <c r="F251" s="90"/>
      <c r="G251" s="90"/>
    </row>
    <row r="252" spans="1:25" ht="12" customHeight="1" x14ac:dyDescent="0.25">
      <c r="A252" s="96" t="s">
        <v>145</v>
      </c>
      <c r="C252" s="86" t="s">
        <v>1016</v>
      </c>
      <c r="D252" s="86" t="s">
        <v>1640</v>
      </c>
      <c r="E252" s="86" t="s">
        <v>2254</v>
      </c>
      <c r="F252" s="89">
        <f>VLOOKUP(C252,'WSS-29'!$C$1:$AU$617,17,)</f>
        <v>0</v>
      </c>
      <c r="G252" s="89">
        <f t="shared" ref="G252:V252" si="102">IF(VLOOKUP($E252,$D$5:$V$977,3,)=0,0,(VLOOKUP($E252,$D$5:$V$977,G$1,)/VLOOKUP($E252,$D$5:$V$977,3,))*$F252)</f>
        <v>0</v>
      </c>
      <c r="H252" s="89">
        <f t="shared" si="102"/>
        <v>0</v>
      </c>
      <c r="I252" s="89">
        <f t="shared" si="102"/>
        <v>0</v>
      </c>
      <c r="J252" s="89">
        <f t="shared" si="102"/>
        <v>0</v>
      </c>
      <c r="K252" s="89">
        <f t="shared" si="102"/>
        <v>0</v>
      </c>
      <c r="L252" s="89">
        <f t="shared" si="102"/>
        <v>0</v>
      </c>
      <c r="M252" s="89">
        <f t="shared" si="102"/>
        <v>0</v>
      </c>
      <c r="N252" s="89">
        <f t="shared" si="102"/>
        <v>0</v>
      </c>
      <c r="O252" s="89">
        <f t="shared" si="102"/>
        <v>0</v>
      </c>
      <c r="P252" s="89">
        <f t="shared" si="102"/>
        <v>0</v>
      </c>
      <c r="Q252" s="89">
        <f t="shared" si="102"/>
        <v>0</v>
      </c>
      <c r="R252" s="89">
        <f t="shared" si="102"/>
        <v>0</v>
      </c>
      <c r="S252" s="89">
        <f t="shared" si="102"/>
        <v>0</v>
      </c>
      <c r="T252" s="89">
        <f t="shared" si="102"/>
        <v>0</v>
      </c>
      <c r="U252" s="89">
        <f t="shared" si="102"/>
        <v>0</v>
      </c>
      <c r="V252" s="89">
        <f t="shared" si="102"/>
        <v>0</v>
      </c>
      <c r="W252" s="91">
        <f>SUM(G252:V252)</f>
        <v>0</v>
      </c>
      <c r="X252" s="87" t="str">
        <f>IF(ABS(F252-W252)&lt;0.01,"ok","err")</f>
        <v>ok</v>
      </c>
      <c r="Y252" s="203" t="str">
        <f>IF(X252="err",W252-F252,"")</f>
        <v/>
      </c>
    </row>
    <row r="253" spans="1:25" ht="12" customHeight="1" x14ac:dyDescent="0.25">
      <c r="F253" s="90"/>
    </row>
    <row r="254" spans="1:25" ht="12" customHeight="1" x14ac:dyDescent="0.25">
      <c r="A254" s="23" t="s">
        <v>1629</v>
      </c>
      <c r="F254" s="90"/>
      <c r="G254" s="90"/>
    </row>
    <row r="255" spans="1:25" ht="12" customHeight="1" x14ac:dyDescent="0.25">
      <c r="A255" s="96" t="s">
        <v>147</v>
      </c>
      <c r="C255" s="86" t="s">
        <v>1016</v>
      </c>
      <c r="D255" s="86" t="s">
        <v>1641</v>
      </c>
      <c r="E255" s="86" t="s">
        <v>2254</v>
      </c>
      <c r="F255" s="89">
        <f>VLOOKUP(C255,'WSS-29'!$C$1:$AU$617,18,)</f>
        <v>5205663.0425945539</v>
      </c>
      <c r="G255" s="89">
        <f t="shared" ref="G255:V255" si="103">IF(VLOOKUP($E255,$D$5:$V$977,3,)=0,0,(VLOOKUP($E255,$D$5:$V$977,G$1,)/VLOOKUP($E255,$D$5:$V$977,3,))*$F255)</f>
        <v>2514057.427747271</v>
      </c>
      <c r="H255" s="89">
        <f t="shared" si="103"/>
        <v>645306.76938236831</v>
      </c>
      <c r="I255" s="89">
        <f t="shared" si="103"/>
        <v>66043.464246500167</v>
      </c>
      <c r="J255" s="89">
        <f t="shared" si="103"/>
        <v>575670.01449804369</v>
      </c>
      <c r="K255" s="89">
        <f t="shared" si="103"/>
        <v>24737.010394488676</v>
      </c>
      <c r="L255" s="89">
        <f t="shared" si="103"/>
        <v>509275.0329089234</v>
      </c>
      <c r="M255" s="89">
        <f t="shared" si="103"/>
        <v>829423.06996067287</v>
      </c>
      <c r="N255" s="89">
        <f t="shared" si="103"/>
        <v>0</v>
      </c>
      <c r="O255" s="89">
        <f t="shared" si="103"/>
        <v>0</v>
      </c>
      <c r="P255" s="89">
        <f t="shared" si="103"/>
        <v>38818.239742598635</v>
      </c>
      <c r="Q255" s="89">
        <f t="shared" si="103"/>
        <v>1412.3270492809868</v>
      </c>
      <c r="R255" s="89">
        <f t="shared" si="103"/>
        <v>380.51540294489291</v>
      </c>
      <c r="S255" s="89">
        <f t="shared" si="103"/>
        <v>535.82771316039157</v>
      </c>
      <c r="T255" s="89">
        <f t="shared" si="103"/>
        <v>3.3435482996020531</v>
      </c>
      <c r="U255" s="89">
        <f t="shared" si="103"/>
        <v>0</v>
      </c>
      <c r="V255" s="89">
        <f t="shared" si="103"/>
        <v>0</v>
      </c>
      <c r="W255" s="91">
        <f>SUM(G255:V255)</f>
        <v>5205663.0425945539</v>
      </c>
      <c r="X255" s="87" t="str">
        <f>IF(ABS(F255-W255)&lt;0.01,"ok","err")</f>
        <v>ok</v>
      </c>
      <c r="Y255" s="203" t="str">
        <f>IF(X255="err",W255-F255,"")</f>
        <v/>
      </c>
    </row>
    <row r="256" spans="1:25" ht="12" customHeight="1" x14ac:dyDescent="0.25">
      <c r="F256" s="90"/>
    </row>
    <row r="257" spans="1:25" ht="12" customHeight="1" x14ac:dyDescent="0.25">
      <c r="A257" s="23" t="s">
        <v>146</v>
      </c>
      <c r="F257" s="90"/>
    </row>
    <row r="258" spans="1:25" ht="12" customHeight="1" x14ac:dyDescent="0.25">
      <c r="A258" s="96" t="s">
        <v>792</v>
      </c>
      <c r="C258" s="86" t="s">
        <v>1016</v>
      </c>
      <c r="D258" s="86" t="s">
        <v>1642</v>
      </c>
      <c r="E258" s="86" t="s">
        <v>2254</v>
      </c>
      <c r="F258" s="89">
        <f>VLOOKUP(C258,'WSS-29'!$C$1:$AU$617,19,)</f>
        <v>0</v>
      </c>
      <c r="G258" s="89">
        <f t="shared" ref="G258:V262" si="104">IF(VLOOKUP($E258,$D$5:$V$977,3,)=0,0,(VLOOKUP($E258,$D$5:$V$977,G$1,)/VLOOKUP($E258,$D$5:$V$977,3,))*$F258)</f>
        <v>0</v>
      </c>
      <c r="H258" s="89">
        <f t="shared" si="104"/>
        <v>0</v>
      </c>
      <c r="I258" s="89">
        <f t="shared" si="104"/>
        <v>0</v>
      </c>
      <c r="J258" s="89">
        <f t="shared" si="104"/>
        <v>0</v>
      </c>
      <c r="K258" s="89">
        <f t="shared" si="104"/>
        <v>0</v>
      </c>
      <c r="L258" s="89">
        <f t="shared" si="104"/>
        <v>0</v>
      </c>
      <c r="M258" s="89">
        <f t="shared" si="104"/>
        <v>0</v>
      </c>
      <c r="N258" s="89">
        <f t="shared" si="104"/>
        <v>0</v>
      </c>
      <c r="O258" s="89">
        <f t="shared" si="104"/>
        <v>0</v>
      </c>
      <c r="P258" s="89">
        <f t="shared" si="104"/>
        <v>0</v>
      </c>
      <c r="Q258" s="89">
        <f t="shared" si="104"/>
        <v>0</v>
      </c>
      <c r="R258" s="89">
        <f t="shared" si="104"/>
        <v>0</v>
      </c>
      <c r="S258" s="89">
        <f t="shared" si="104"/>
        <v>0</v>
      </c>
      <c r="T258" s="89">
        <f t="shared" si="104"/>
        <v>0</v>
      </c>
      <c r="U258" s="89">
        <f t="shared" si="104"/>
        <v>0</v>
      </c>
      <c r="V258" s="89">
        <f t="shared" si="104"/>
        <v>0</v>
      </c>
      <c r="W258" s="91">
        <f t="shared" ref="W258:W263" si="105">SUM(G258:V258)</f>
        <v>0</v>
      </c>
      <c r="X258" s="87" t="str">
        <f t="shared" ref="X258:X263" si="106">IF(ABS(F258-W258)&lt;0.01,"ok","err")</f>
        <v>ok</v>
      </c>
      <c r="Y258" s="203" t="str">
        <f t="shared" ref="Y258:Y263" si="107">IF(X258="err",W258-F258,"")</f>
        <v/>
      </c>
    </row>
    <row r="259" spans="1:25" ht="12" customHeight="1" x14ac:dyDescent="0.25">
      <c r="A259" s="96" t="s">
        <v>793</v>
      </c>
      <c r="C259" s="86" t="s">
        <v>1016</v>
      </c>
      <c r="D259" s="86" t="s">
        <v>1643</v>
      </c>
      <c r="E259" s="86" t="s">
        <v>2254</v>
      </c>
      <c r="F259" s="90">
        <f>VLOOKUP(C259,'WSS-29'!$C$1:$AU$617,20,)</f>
        <v>4140341.4187667705</v>
      </c>
      <c r="G259" s="89">
        <f t="shared" si="104"/>
        <v>1999563.9387508836</v>
      </c>
      <c r="H259" s="89">
        <f t="shared" si="104"/>
        <v>513246.8857901239</v>
      </c>
      <c r="I259" s="89">
        <f t="shared" si="104"/>
        <v>52527.888997275659</v>
      </c>
      <c r="J259" s="89">
        <f t="shared" si="104"/>
        <v>457861.06113014423</v>
      </c>
      <c r="K259" s="89">
        <f t="shared" si="104"/>
        <v>19674.663510629111</v>
      </c>
      <c r="L259" s="89">
        <f t="shared" si="104"/>
        <v>405053.59164501209</v>
      </c>
      <c r="M259" s="89">
        <f t="shared" si="104"/>
        <v>659684.39796043269</v>
      </c>
      <c r="N259" s="89">
        <f t="shared" si="104"/>
        <v>0</v>
      </c>
      <c r="O259" s="89">
        <f t="shared" si="104"/>
        <v>0</v>
      </c>
      <c r="P259" s="89">
        <f t="shared" si="104"/>
        <v>30874.216117106698</v>
      </c>
      <c r="Q259" s="89">
        <f t="shared" si="104"/>
        <v>1123.2990170774226</v>
      </c>
      <c r="R259" s="89">
        <f t="shared" si="104"/>
        <v>302.64419160450319</v>
      </c>
      <c r="S259" s="89">
        <f t="shared" si="104"/>
        <v>426.17235421663457</v>
      </c>
      <c r="T259" s="89">
        <f t="shared" si="104"/>
        <v>2.6593022631733545</v>
      </c>
      <c r="U259" s="89">
        <f t="shared" si="104"/>
        <v>0</v>
      </c>
      <c r="V259" s="89">
        <f t="shared" si="104"/>
        <v>0</v>
      </c>
      <c r="W259" s="91">
        <f t="shared" si="105"/>
        <v>4140341.41876677</v>
      </c>
      <c r="X259" s="87" t="str">
        <f t="shared" si="106"/>
        <v>ok</v>
      </c>
      <c r="Y259" s="203" t="str">
        <f t="shared" si="107"/>
        <v/>
      </c>
    </row>
    <row r="260" spans="1:25" ht="12" customHeight="1" x14ac:dyDescent="0.25">
      <c r="A260" s="96" t="s">
        <v>794</v>
      </c>
      <c r="C260" s="86" t="s">
        <v>1016</v>
      </c>
      <c r="D260" s="86" t="s">
        <v>1644</v>
      </c>
      <c r="E260" s="86" t="s">
        <v>905</v>
      </c>
      <c r="F260" s="90">
        <f>VLOOKUP(C260,'WSS-29'!$C$1:$AU$617,21,)</f>
        <v>8047851.3840455906</v>
      </c>
      <c r="G260" s="89">
        <f t="shared" si="104"/>
        <v>6464956.9358925605</v>
      </c>
      <c r="H260" s="89">
        <f t="shared" si="104"/>
        <v>1209912.22850403</v>
      </c>
      <c r="I260" s="89">
        <f t="shared" si="104"/>
        <v>6196.8832731652101</v>
      </c>
      <c r="J260" s="89">
        <f t="shared" si="104"/>
        <v>64906.506170110144</v>
      </c>
      <c r="K260" s="89">
        <f t="shared" si="104"/>
        <v>2981.5193106738275</v>
      </c>
      <c r="L260" s="89">
        <f t="shared" si="104"/>
        <v>11195.312705765451</v>
      </c>
      <c r="M260" s="89">
        <f t="shared" si="104"/>
        <v>3741.5144290808817</v>
      </c>
      <c r="N260" s="89">
        <f t="shared" si="104"/>
        <v>0</v>
      </c>
      <c r="O260" s="89">
        <f t="shared" si="104"/>
        <v>0</v>
      </c>
      <c r="P260" s="89">
        <f t="shared" si="104"/>
        <v>281417.42317168898</v>
      </c>
      <c r="Q260" s="89">
        <f t="shared" si="104"/>
        <v>175.38348886316635</v>
      </c>
      <c r="R260" s="89">
        <f t="shared" si="104"/>
        <v>2163.063029312385</v>
      </c>
      <c r="S260" s="89">
        <f t="shared" si="104"/>
        <v>58.461162954388776</v>
      </c>
      <c r="T260" s="89">
        <f t="shared" si="104"/>
        <v>146.15290738597193</v>
      </c>
      <c r="U260" s="89">
        <f t="shared" si="104"/>
        <v>0</v>
      </c>
      <c r="V260" s="89">
        <f t="shared" si="104"/>
        <v>0</v>
      </c>
      <c r="W260" s="91">
        <f t="shared" si="105"/>
        <v>8047851.3840455916</v>
      </c>
      <c r="X260" s="87" t="str">
        <f t="shared" si="106"/>
        <v>ok</v>
      </c>
      <c r="Y260" s="203" t="str">
        <f t="shared" si="107"/>
        <v/>
      </c>
    </row>
    <row r="261" spans="1:25" ht="12" customHeight="1" x14ac:dyDescent="0.25">
      <c r="A261" s="96" t="s">
        <v>795</v>
      </c>
      <c r="C261" s="86" t="s">
        <v>1016</v>
      </c>
      <c r="D261" s="86" t="s">
        <v>1645</v>
      </c>
      <c r="E261" s="86" t="s">
        <v>734</v>
      </c>
      <c r="F261" s="90">
        <f>VLOOKUP(C261,'WSS-29'!$C$1:$AU$617,22,)</f>
        <v>1863918.3649784985</v>
      </c>
      <c r="G261" s="89">
        <f t="shared" si="104"/>
        <v>1543833.2975496508</v>
      </c>
      <c r="H261" s="89">
        <f t="shared" si="104"/>
        <v>287985.06210491795</v>
      </c>
      <c r="I261" s="89">
        <f t="shared" si="104"/>
        <v>20874.676522795213</v>
      </c>
      <c r="J261" s="89">
        <f t="shared" si="104"/>
        <v>0</v>
      </c>
      <c r="K261" s="89">
        <f t="shared" si="104"/>
        <v>0</v>
      </c>
      <c r="L261" s="89">
        <f t="shared" si="104"/>
        <v>0</v>
      </c>
      <c r="M261" s="89">
        <f t="shared" si="104"/>
        <v>0</v>
      </c>
      <c r="N261" s="89">
        <f t="shared" si="104"/>
        <v>0</v>
      </c>
      <c r="O261" s="89">
        <f t="shared" si="104"/>
        <v>0</v>
      </c>
      <c r="P261" s="89">
        <f t="shared" si="104"/>
        <v>10728.885035773794</v>
      </c>
      <c r="Q261" s="89">
        <f t="shared" si="104"/>
        <v>390.34986246480844</v>
      </c>
      <c r="R261" s="89">
        <f t="shared" si="104"/>
        <v>105.16978718271987</v>
      </c>
      <c r="S261" s="89">
        <f t="shared" si="104"/>
        <v>0</v>
      </c>
      <c r="T261" s="89">
        <f t="shared" si="104"/>
        <v>0.92411571353714206</v>
      </c>
      <c r="U261" s="89">
        <f t="shared" si="104"/>
        <v>0</v>
      </c>
      <c r="V261" s="89">
        <f t="shared" si="104"/>
        <v>0</v>
      </c>
      <c r="W261" s="91">
        <f t="shared" si="105"/>
        <v>1863918.3649784983</v>
      </c>
      <c r="X261" s="87" t="str">
        <f t="shared" si="106"/>
        <v>ok</v>
      </c>
      <c r="Y261" s="203" t="str">
        <f t="shared" si="107"/>
        <v/>
      </c>
    </row>
    <row r="262" spans="1:25" ht="12" customHeight="1" x14ac:dyDescent="0.25">
      <c r="A262" s="96" t="s">
        <v>796</v>
      </c>
      <c r="C262" s="86" t="s">
        <v>1016</v>
      </c>
      <c r="D262" s="86" t="s">
        <v>1646</v>
      </c>
      <c r="E262" s="86" t="s">
        <v>904</v>
      </c>
      <c r="F262" s="90">
        <f>VLOOKUP(C262,'WSS-29'!$C$1:$AU$617,23,)</f>
        <v>3762788.2294974369</v>
      </c>
      <c r="G262" s="89">
        <f t="shared" si="104"/>
        <v>3025230.1421925589</v>
      </c>
      <c r="H262" s="89">
        <f t="shared" si="104"/>
        <v>566169.73312791646</v>
      </c>
      <c r="I262" s="89">
        <f t="shared" si="104"/>
        <v>2899.7869980459573</v>
      </c>
      <c r="J262" s="89">
        <f t="shared" si="104"/>
        <v>30372.533156420042</v>
      </c>
      <c r="K262" s="89">
        <f t="shared" si="104"/>
        <v>0</v>
      </c>
      <c r="L262" s="89">
        <f t="shared" si="104"/>
        <v>5238.766133262272</v>
      </c>
      <c r="M262" s="89">
        <f t="shared" si="104"/>
        <v>0</v>
      </c>
      <c r="N262" s="89">
        <f t="shared" si="104"/>
        <v>0</v>
      </c>
      <c r="O262" s="89">
        <f t="shared" si="104"/>
        <v>0</v>
      </c>
      <c r="P262" s="89">
        <f t="shared" si="104"/>
        <v>131687.26096078989</v>
      </c>
      <c r="Q262" s="89">
        <f t="shared" si="104"/>
        <v>82.069443340923328</v>
      </c>
      <c r="R262" s="89">
        <f t="shared" si="104"/>
        <v>1012.1898012047211</v>
      </c>
      <c r="S262" s="89">
        <f t="shared" si="104"/>
        <v>27.356481113641109</v>
      </c>
      <c r="T262" s="89">
        <f t="shared" si="104"/>
        <v>68.391202784102774</v>
      </c>
      <c r="U262" s="89">
        <f t="shared" si="104"/>
        <v>0</v>
      </c>
      <c r="V262" s="89">
        <f t="shared" si="104"/>
        <v>0</v>
      </c>
      <c r="W262" s="91">
        <f t="shared" si="105"/>
        <v>3762788.2294974374</v>
      </c>
      <c r="X262" s="87" t="str">
        <f t="shared" si="106"/>
        <v>ok</v>
      </c>
      <c r="Y262" s="203" t="str">
        <f t="shared" si="107"/>
        <v/>
      </c>
    </row>
    <row r="263" spans="1:25" ht="12" customHeight="1" x14ac:dyDescent="0.25">
      <c r="A263" s="86" t="s">
        <v>151</v>
      </c>
      <c r="D263" s="86" t="s">
        <v>1647</v>
      </c>
      <c r="F263" s="89">
        <f>SUM(F258:F262)</f>
        <v>17814899.397288296</v>
      </c>
      <c r="G263" s="89">
        <f t="shared" ref="G263:T263" si="108">SUM(G258:G262)</f>
        <v>13033584.314385654</v>
      </c>
      <c r="H263" s="89">
        <f t="shared" si="108"/>
        <v>2577313.9095269879</v>
      </c>
      <c r="I263" s="89">
        <f>SUM(I258:I262)</f>
        <v>82499.23579128203</v>
      </c>
      <c r="J263" s="89">
        <f>SUM(J258:J262)</f>
        <v>553140.10045667435</v>
      </c>
      <c r="K263" s="89">
        <f>SUM(K258:K262)</f>
        <v>22656.182821302937</v>
      </c>
      <c r="L263" s="89">
        <f t="shared" si="108"/>
        <v>421487.67048403982</v>
      </c>
      <c r="M263" s="89">
        <f t="shared" si="108"/>
        <v>663425.91238951357</v>
      </c>
      <c r="N263" s="89">
        <f t="shared" si="108"/>
        <v>0</v>
      </c>
      <c r="O263" s="89">
        <f t="shared" si="108"/>
        <v>0</v>
      </c>
      <c r="P263" s="89">
        <f>SUM(P258:P262)</f>
        <v>454707.78528535936</v>
      </c>
      <c r="Q263" s="89">
        <f t="shared" si="108"/>
        <v>1771.1018117463207</v>
      </c>
      <c r="R263" s="89">
        <f t="shared" si="108"/>
        <v>3583.0668093043296</v>
      </c>
      <c r="S263" s="89">
        <f t="shared" si="108"/>
        <v>511.98999828466447</v>
      </c>
      <c r="T263" s="89">
        <f t="shared" si="108"/>
        <v>218.12752814678518</v>
      </c>
      <c r="U263" s="89">
        <f>SUM(U258:U262)</f>
        <v>0</v>
      </c>
      <c r="V263" s="89">
        <f>SUM(V258:V262)</f>
        <v>0</v>
      </c>
      <c r="W263" s="91">
        <f t="shared" si="105"/>
        <v>17814899.3972883</v>
      </c>
      <c r="X263" s="87" t="str">
        <f t="shared" si="106"/>
        <v>ok</v>
      </c>
      <c r="Y263" s="91" t="str">
        <f t="shared" si="107"/>
        <v/>
      </c>
    </row>
    <row r="264" spans="1:25" ht="12" customHeight="1" x14ac:dyDescent="0.25">
      <c r="F264" s="90"/>
    </row>
    <row r="265" spans="1:25" ht="12" customHeight="1" x14ac:dyDescent="0.25">
      <c r="A265" s="23" t="s">
        <v>791</v>
      </c>
      <c r="F265" s="90"/>
    </row>
    <row r="266" spans="1:25" ht="12" customHeight="1" x14ac:dyDescent="0.25">
      <c r="A266" s="96" t="s">
        <v>389</v>
      </c>
      <c r="C266" s="86" t="s">
        <v>1016</v>
      </c>
      <c r="D266" s="86" t="s">
        <v>1648</v>
      </c>
      <c r="E266" s="86" t="s">
        <v>2179</v>
      </c>
      <c r="F266" s="89">
        <f>VLOOKUP(C266,'WSS-29'!$C$1:$AU$617,24,)</f>
        <v>2717097.7355189216</v>
      </c>
      <c r="G266" s="89">
        <f t="shared" ref="G266:V267" si="109">IF(VLOOKUP($E266,$D$5:$V$977,3,)=0,0,(VLOOKUP($E266,$D$5:$V$977,G$1,)/VLOOKUP($E266,$D$5:$V$977,3,))*$F266)</f>
        <v>1857290.9090942587</v>
      </c>
      <c r="H266" s="89">
        <f t="shared" si="109"/>
        <v>346457.11985312821</v>
      </c>
      <c r="I266" s="89">
        <f t="shared" si="109"/>
        <v>25113.039728840293</v>
      </c>
      <c r="J266" s="89">
        <f t="shared" si="109"/>
        <v>255971.06577379871</v>
      </c>
      <c r="K266" s="89">
        <f t="shared" si="109"/>
        <v>0</v>
      </c>
      <c r="L266" s="89">
        <f t="shared" si="109"/>
        <v>218457.69618527708</v>
      </c>
      <c r="M266" s="89">
        <f t="shared" si="109"/>
        <v>0</v>
      </c>
      <c r="N266" s="89">
        <f t="shared" si="109"/>
        <v>0</v>
      </c>
      <c r="O266" s="89">
        <f t="shared" si="109"/>
        <v>0</v>
      </c>
      <c r="P266" s="89">
        <f t="shared" si="109"/>
        <v>12907.261861295126</v>
      </c>
      <c r="Q266" s="89">
        <f t="shared" si="109"/>
        <v>469.60591669630486</v>
      </c>
      <c r="R266" s="89">
        <f t="shared" si="109"/>
        <v>126.52330400948715</v>
      </c>
      <c r="S266" s="89">
        <f t="shared" si="109"/>
        <v>303.40205482714504</v>
      </c>
      <c r="T266" s="89">
        <f t="shared" si="109"/>
        <v>1.1117467905555969</v>
      </c>
      <c r="U266" s="89">
        <f t="shared" si="109"/>
        <v>0</v>
      </c>
      <c r="V266" s="89">
        <f t="shared" si="109"/>
        <v>0</v>
      </c>
      <c r="W266" s="91">
        <f>SUM(G266:V266)</f>
        <v>2717097.7355189207</v>
      </c>
      <c r="X266" s="87" t="str">
        <f>IF(ABS(F266-W266)&lt;0.01,"ok","err")</f>
        <v>ok</v>
      </c>
      <c r="Y266" s="203" t="str">
        <f>IF(X266="err",W266-F266,"")</f>
        <v/>
      </c>
    </row>
    <row r="267" spans="1:25" ht="12" customHeight="1" x14ac:dyDescent="0.25">
      <c r="A267" s="96" t="s">
        <v>392</v>
      </c>
      <c r="C267" s="86" t="s">
        <v>1016</v>
      </c>
      <c r="D267" s="86" t="s">
        <v>1649</v>
      </c>
      <c r="E267" s="86" t="s">
        <v>2178</v>
      </c>
      <c r="F267" s="90">
        <f>VLOOKUP(C267,'WSS-29'!$C$1:$AU$617,25,)</f>
        <v>2257438.1640188908</v>
      </c>
      <c r="G267" s="89">
        <f t="shared" si="109"/>
        <v>1814949.3304963124</v>
      </c>
      <c r="H267" s="89">
        <f t="shared" si="109"/>
        <v>339666.51454260899</v>
      </c>
      <c r="I267" s="89">
        <f t="shared" si="109"/>
        <v>1739.6912708502391</v>
      </c>
      <c r="J267" s="89">
        <f t="shared" si="109"/>
        <v>18221.624843976209</v>
      </c>
      <c r="K267" s="89">
        <f t="shared" si="109"/>
        <v>0</v>
      </c>
      <c r="L267" s="89">
        <f t="shared" si="109"/>
        <v>3142.9328147907622</v>
      </c>
      <c r="M267" s="89">
        <f t="shared" si="109"/>
        <v>0</v>
      </c>
      <c r="N267" s="89">
        <f t="shared" si="109"/>
        <v>0</v>
      </c>
      <c r="O267" s="89">
        <f t="shared" si="109"/>
        <v>0</v>
      </c>
      <c r="P267" s="89">
        <f t="shared" si="109"/>
        <v>79004.140142031509</v>
      </c>
      <c r="Q267" s="89">
        <f t="shared" si="109"/>
        <v>49.236545401421871</v>
      </c>
      <c r="R267" s="89">
        <f t="shared" si="109"/>
        <v>607.25072661753643</v>
      </c>
      <c r="S267" s="89">
        <f t="shared" si="109"/>
        <v>16.412181800473952</v>
      </c>
      <c r="T267" s="89">
        <f t="shared" si="109"/>
        <v>41.030454501184884</v>
      </c>
      <c r="U267" s="89">
        <f t="shared" si="109"/>
        <v>0</v>
      </c>
      <c r="V267" s="89">
        <f t="shared" si="109"/>
        <v>0</v>
      </c>
      <c r="W267" s="91">
        <f>SUM(G267:V267)</f>
        <v>2257438.1640188908</v>
      </c>
      <c r="X267" s="87" t="str">
        <f>IF(ABS(F267-W267)&lt;0.01,"ok","err")</f>
        <v>ok</v>
      </c>
      <c r="Y267" s="203" t="str">
        <f>IF(X267="err",W267-F267,"")</f>
        <v/>
      </c>
    </row>
    <row r="268" spans="1:25" ht="12" customHeight="1" x14ac:dyDescent="0.25">
      <c r="A268" s="86" t="s">
        <v>1469</v>
      </c>
      <c r="D268" s="86" t="s">
        <v>1650</v>
      </c>
      <c r="F268" s="89">
        <f t="shared" ref="F268:T268" si="110">F266+F267</f>
        <v>4974535.8995378129</v>
      </c>
      <c r="G268" s="89">
        <f t="shared" si="110"/>
        <v>3672240.2395905713</v>
      </c>
      <c r="H268" s="89">
        <f t="shared" si="110"/>
        <v>686123.6343957372</v>
      </c>
      <c r="I268" s="89">
        <f>I266+I267</f>
        <v>26852.730999690531</v>
      </c>
      <c r="J268" s="89">
        <f>J266+J267</f>
        <v>274192.6906177749</v>
      </c>
      <c r="K268" s="89">
        <f>K266+K267</f>
        <v>0</v>
      </c>
      <c r="L268" s="89">
        <f t="shared" si="110"/>
        <v>221600.62900006783</v>
      </c>
      <c r="M268" s="89">
        <f t="shared" si="110"/>
        <v>0</v>
      </c>
      <c r="N268" s="89">
        <f t="shared" si="110"/>
        <v>0</v>
      </c>
      <c r="O268" s="89">
        <f t="shared" si="110"/>
        <v>0</v>
      </c>
      <c r="P268" s="89">
        <f>P266+P267</f>
        <v>91911.402003326628</v>
      </c>
      <c r="Q268" s="89">
        <f t="shared" si="110"/>
        <v>518.84246209772675</v>
      </c>
      <c r="R268" s="89">
        <f t="shared" si="110"/>
        <v>733.77403062702354</v>
      </c>
      <c r="S268" s="89">
        <f t="shared" si="110"/>
        <v>319.81423662761898</v>
      </c>
      <c r="T268" s="89">
        <f t="shared" si="110"/>
        <v>42.142201291740484</v>
      </c>
      <c r="U268" s="89">
        <f>U266+U267</f>
        <v>0</v>
      </c>
      <c r="V268" s="89">
        <f>V266+V267</f>
        <v>0</v>
      </c>
      <c r="W268" s="91">
        <f>SUM(G268:V268)</f>
        <v>4974535.8995378111</v>
      </c>
      <c r="X268" s="87" t="str">
        <f>IF(ABS(F268-W268)&lt;0.01,"ok","err")</f>
        <v>ok</v>
      </c>
      <c r="Y268" s="91" t="str">
        <f>IF(X268="err",W268-F268,"")</f>
        <v/>
      </c>
    </row>
    <row r="269" spans="1:25" ht="12" customHeight="1" x14ac:dyDescent="0.25">
      <c r="F269" s="90"/>
    </row>
    <row r="270" spans="1:25" ht="12" customHeight="1" x14ac:dyDescent="0.25">
      <c r="A270" s="23" t="s">
        <v>128</v>
      </c>
      <c r="F270" s="90"/>
    </row>
    <row r="271" spans="1:25" ht="12" customHeight="1" x14ac:dyDescent="0.25">
      <c r="A271" s="96" t="s">
        <v>392</v>
      </c>
      <c r="C271" s="86" t="s">
        <v>1016</v>
      </c>
      <c r="D271" s="86" t="s">
        <v>1651</v>
      </c>
      <c r="E271" s="86" t="s">
        <v>393</v>
      </c>
      <c r="F271" s="89">
        <f>VLOOKUP(C271,'WSS-29'!$C$1:$AU$617,26,)</f>
        <v>1903307.4052082608</v>
      </c>
      <c r="G271" s="89">
        <f t="shared" ref="G271:V271" si="111">IF(VLOOKUP($E271,$D$5:$V$977,3,)=0,0,(VLOOKUP($E271,$D$5:$V$977,G$1,)/VLOOKUP($E271,$D$5:$V$977,3,))*$F271)</f>
        <v>1505256.4806058784</v>
      </c>
      <c r="H271" s="89">
        <f t="shared" si="111"/>
        <v>338392.40506961249</v>
      </c>
      <c r="I271" s="89">
        <f t="shared" si="111"/>
        <v>3061.6838966563387</v>
      </c>
      <c r="J271" s="89">
        <f t="shared" si="111"/>
        <v>43975.909080262856</v>
      </c>
      <c r="K271" s="89">
        <f t="shared" si="111"/>
        <v>0</v>
      </c>
      <c r="L271" s="89">
        <f t="shared" si="111"/>
        <v>12581.314877048042</v>
      </c>
      <c r="M271" s="89">
        <f t="shared" si="111"/>
        <v>0</v>
      </c>
      <c r="N271" s="89">
        <f t="shared" si="111"/>
        <v>0</v>
      </c>
      <c r="O271" s="89">
        <f t="shared" si="111"/>
        <v>0</v>
      </c>
      <c r="P271" s="89">
        <f t="shared" si="111"/>
        <v>0</v>
      </c>
      <c r="Q271" s="89">
        <f t="shared" si="111"/>
        <v>0</v>
      </c>
      <c r="R271" s="89">
        <f t="shared" si="111"/>
        <v>0</v>
      </c>
      <c r="S271" s="89">
        <f t="shared" si="111"/>
        <v>39.611678802548639</v>
      </c>
      <c r="T271" s="89">
        <f t="shared" si="111"/>
        <v>0</v>
      </c>
      <c r="U271" s="89">
        <f t="shared" si="111"/>
        <v>0</v>
      </c>
      <c r="V271" s="89">
        <f t="shared" si="111"/>
        <v>0</v>
      </c>
      <c r="W271" s="91">
        <f>SUM(G271:V271)</f>
        <v>1903307.4052082608</v>
      </c>
      <c r="X271" s="87" t="str">
        <f>IF(ABS(F271-W271)&lt;0.01,"ok","err")</f>
        <v>ok</v>
      </c>
      <c r="Y271" s="203" t="str">
        <f>IF(X271="err",W271-F271,"")</f>
        <v/>
      </c>
    </row>
    <row r="272" spans="1:25" ht="12" customHeight="1" x14ac:dyDescent="0.25">
      <c r="F272" s="90"/>
    </row>
    <row r="273" spans="1:25" ht="12" customHeight="1" x14ac:dyDescent="0.25">
      <c r="A273" s="23" t="s">
        <v>127</v>
      </c>
      <c r="F273" s="90"/>
    </row>
    <row r="274" spans="1:25" ht="12" customHeight="1" x14ac:dyDescent="0.25">
      <c r="A274" s="96" t="s">
        <v>392</v>
      </c>
      <c r="C274" s="86" t="s">
        <v>1016</v>
      </c>
      <c r="D274" s="86" t="s">
        <v>1652</v>
      </c>
      <c r="E274" s="86" t="s">
        <v>394</v>
      </c>
      <c r="F274" s="89">
        <f>VLOOKUP(C274,'WSS-29'!$C$1:$AU$617,27,)</f>
        <v>1131970.7649802638</v>
      </c>
      <c r="G274" s="89">
        <f t="shared" ref="G274:V274" si="112">IF(VLOOKUP($E274,$D$5:$V$977,3,)=0,0,(VLOOKUP($E274,$D$5:$V$977,G$1,)/VLOOKUP($E274,$D$5:$V$977,3,))*$F274)</f>
        <v>683863.01319050835</v>
      </c>
      <c r="H274" s="89">
        <f t="shared" si="112"/>
        <v>275959.11569648975</v>
      </c>
      <c r="I274" s="89">
        <f t="shared" si="112"/>
        <v>5632.9063891860769</v>
      </c>
      <c r="J274" s="89">
        <f t="shared" si="112"/>
        <v>86282.09852577027</v>
      </c>
      <c r="K274" s="89">
        <f t="shared" si="112"/>
        <v>16873.412396994594</v>
      </c>
      <c r="L274" s="89">
        <f t="shared" si="112"/>
        <v>15432.586314899683</v>
      </c>
      <c r="M274" s="89">
        <f t="shared" si="112"/>
        <v>29890.771667109748</v>
      </c>
      <c r="N274" s="89">
        <f t="shared" si="112"/>
        <v>14819.631120990367</v>
      </c>
      <c r="O274" s="89">
        <f t="shared" si="112"/>
        <v>914.80934117197899</v>
      </c>
      <c r="P274" s="89">
        <f t="shared" si="112"/>
        <v>0</v>
      </c>
      <c r="Q274" s="89">
        <f t="shared" si="112"/>
        <v>166.9685249053594</v>
      </c>
      <c r="R274" s="89">
        <f t="shared" si="112"/>
        <v>2057.7324689725315</v>
      </c>
      <c r="S274" s="89">
        <f t="shared" si="112"/>
        <v>77.719343265302157</v>
      </c>
      <c r="T274" s="89">
        <f t="shared" si="112"/>
        <v>0</v>
      </c>
      <c r="U274" s="89">
        <f t="shared" si="112"/>
        <v>0</v>
      </c>
      <c r="V274" s="89">
        <f t="shared" si="112"/>
        <v>0</v>
      </c>
      <c r="W274" s="91">
        <f>SUM(G274:V274)</f>
        <v>1131970.764980264</v>
      </c>
      <c r="X274" s="87" t="str">
        <f>IF(ABS(F274-W274)&lt;0.01,"ok","err")</f>
        <v>ok</v>
      </c>
      <c r="Y274" s="203" t="str">
        <f>IF(X274="err",W274-F274,"")</f>
        <v/>
      </c>
    </row>
    <row r="275" spans="1:25" ht="12" customHeight="1" x14ac:dyDescent="0.25">
      <c r="F275" s="90"/>
    </row>
    <row r="276" spans="1:25" ht="12" customHeight="1" x14ac:dyDescent="0.25">
      <c r="A276" s="23" t="s">
        <v>144</v>
      </c>
      <c r="F276" s="90"/>
    </row>
    <row r="277" spans="1:25" ht="12" customHeight="1" x14ac:dyDescent="0.25">
      <c r="A277" s="96" t="s">
        <v>392</v>
      </c>
      <c r="C277" s="86" t="s">
        <v>1016</v>
      </c>
      <c r="D277" s="86" t="s">
        <v>1653</v>
      </c>
      <c r="E277" s="86" t="s">
        <v>395</v>
      </c>
      <c r="F277" s="89">
        <f>VLOOKUP(C277,'WSS-29'!$C$1:$AU$617,28,)</f>
        <v>2179679.4484033175</v>
      </c>
      <c r="G277" s="89">
        <f t="shared" ref="G277:V277" si="113">IF(VLOOKUP($E277,$D$5:$V$977,3,)=0,0,(VLOOKUP($E277,$D$5:$V$977,G$1,)/VLOOKUP($E277,$D$5:$V$977,3,))*$F277)</f>
        <v>0</v>
      </c>
      <c r="H277" s="89">
        <f t="shared" si="113"/>
        <v>0</v>
      </c>
      <c r="I277" s="89">
        <f t="shared" si="113"/>
        <v>0</v>
      </c>
      <c r="J277" s="89">
        <f t="shared" si="113"/>
        <v>0</v>
      </c>
      <c r="K277" s="89">
        <f t="shared" si="113"/>
        <v>0</v>
      </c>
      <c r="L277" s="89">
        <f t="shared" si="113"/>
        <v>0</v>
      </c>
      <c r="M277" s="89">
        <f t="shared" si="113"/>
        <v>0</v>
      </c>
      <c r="N277" s="89">
        <f t="shared" si="113"/>
        <v>0</v>
      </c>
      <c r="O277" s="89">
        <f t="shared" si="113"/>
        <v>0</v>
      </c>
      <c r="P277" s="89">
        <f t="shared" si="113"/>
        <v>2179679.4484033175</v>
      </c>
      <c r="Q277" s="89">
        <f t="shared" si="113"/>
        <v>0</v>
      </c>
      <c r="R277" s="89">
        <f t="shared" si="113"/>
        <v>0</v>
      </c>
      <c r="S277" s="89">
        <f t="shared" si="113"/>
        <v>0</v>
      </c>
      <c r="T277" s="89">
        <f t="shared" si="113"/>
        <v>0</v>
      </c>
      <c r="U277" s="89">
        <f t="shared" si="113"/>
        <v>0</v>
      </c>
      <c r="V277" s="89">
        <f t="shared" si="113"/>
        <v>0</v>
      </c>
      <c r="W277" s="91">
        <f>SUM(G277:V277)</f>
        <v>2179679.4484033175</v>
      </c>
      <c r="X277" s="87" t="str">
        <f>IF(ABS(F277-W277)&lt;0.01,"ok","err")</f>
        <v>ok</v>
      </c>
      <c r="Y277" s="203" t="str">
        <f>IF(X277="err",W277-F277,"")</f>
        <v/>
      </c>
    </row>
    <row r="278" spans="1:25" ht="12" customHeight="1" x14ac:dyDescent="0.25">
      <c r="F278" s="90"/>
    </row>
    <row r="279" spans="1:25" ht="12" customHeight="1" x14ac:dyDescent="0.25">
      <c r="A279" s="23" t="s">
        <v>292</v>
      </c>
      <c r="F279" s="90"/>
    </row>
    <row r="280" spans="1:25" ht="12" customHeight="1" x14ac:dyDescent="0.25">
      <c r="A280" s="96" t="s">
        <v>392</v>
      </c>
      <c r="C280" s="86" t="s">
        <v>1016</v>
      </c>
      <c r="D280" s="86" t="s">
        <v>1654</v>
      </c>
      <c r="E280" s="86" t="s">
        <v>396</v>
      </c>
      <c r="F280" s="89">
        <f>VLOOKUP(C280,'WSS-29'!$C$1:$AU$617,30,)</f>
        <v>28207727.550637387</v>
      </c>
      <c r="G280" s="89">
        <f t="shared" ref="G280:V280" si="114">IF(VLOOKUP($E280,$D$5:$V$977,3,)=0,0,(VLOOKUP($E280,$D$5:$V$977,G$1,)/VLOOKUP($E280,$D$5:$V$977,3,))*$F280)</f>
        <v>18324148.767426968</v>
      </c>
      <c r="H280" s="89">
        <f t="shared" si="114"/>
        <v>6858703.5893615065</v>
      </c>
      <c r="I280" s="89">
        <f t="shared" si="114"/>
        <v>175643.25968117506</v>
      </c>
      <c r="J280" s="89">
        <f t="shared" si="114"/>
        <v>919848.72198596504</v>
      </c>
      <c r="K280" s="89">
        <f t="shared" si="114"/>
        <v>42253.803036509089</v>
      </c>
      <c r="L280" s="89">
        <f t="shared" si="114"/>
        <v>793294.43936191092</v>
      </c>
      <c r="M280" s="89">
        <f t="shared" si="114"/>
        <v>265121.90140554728</v>
      </c>
      <c r="N280" s="89">
        <f t="shared" si="114"/>
        <v>20712.648547308378</v>
      </c>
      <c r="O280" s="89">
        <f t="shared" si="114"/>
        <v>2071.2648547308381</v>
      </c>
      <c r="P280" s="89">
        <f t="shared" si="114"/>
        <v>797644.09555684566</v>
      </c>
      <c r="Q280" s="89">
        <f t="shared" si="114"/>
        <v>497.10356513540103</v>
      </c>
      <c r="R280" s="89">
        <f t="shared" si="114"/>
        <v>6130.9439700032799</v>
      </c>
      <c r="S280" s="89">
        <f t="shared" si="114"/>
        <v>828.50594189233504</v>
      </c>
      <c r="T280" s="89">
        <f t="shared" si="114"/>
        <v>828.50594189233504</v>
      </c>
      <c r="U280" s="89">
        <f t="shared" si="114"/>
        <v>0</v>
      </c>
      <c r="V280" s="89">
        <f t="shared" si="114"/>
        <v>0</v>
      </c>
      <c r="W280" s="91">
        <f>SUM(G280:V280)</f>
        <v>28207727.55063739</v>
      </c>
      <c r="X280" s="87" t="str">
        <f>IF(ABS(F280-W280)&lt;0.01,"ok","err")</f>
        <v>ok</v>
      </c>
      <c r="Y280" s="203" t="str">
        <f>IF(X280="err",W280-F280,"")</f>
        <v/>
      </c>
    </row>
    <row r="281" spans="1:25" ht="12" customHeight="1" x14ac:dyDescent="0.25">
      <c r="F281" s="90"/>
    </row>
    <row r="282" spans="1:25" ht="12" customHeight="1" x14ac:dyDescent="0.25">
      <c r="A282" s="23" t="s">
        <v>1631</v>
      </c>
      <c r="F282" s="90"/>
    </row>
    <row r="283" spans="1:25" ht="12" customHeight="1" x14ac:dyDescent="0.25">
      <c r="A283" s="96" t="s">
        <v>392</v>
      </c>
      <c r="C283" s="86" t="s">
        <v>1016</v>
      </c>
      <c r="D283" s="86" t="s">
        <v>1655</v>
      </c>
      <c r="E283" s="86" t="s">
        <v>396</v>
      </c>
      <c r="F283" s="89">
        <f>VLOOKUP(C283,'WSS-29'!$C$1:$AU$617,32,)</f>
        <v>3368177.9589057751</v>
      </c>
      <c r="G283" s="89">
        <f t="shared" ref="G283:V283" si="115">IF(VLOOKUP($E283,$D$5:$V$977,3,)=0,0,(VLOOKUP($E283,$D$5:$V$977,G$1,)/VLOOKUP($E283,$D$5:$V$977,3,))*$F283)</f>
        <v>2188017.2333401353</v>
      </c>
      <c r="H283" s="89">
        <f t="shared" si="115"/>
        <v>818971.83014423121</v>
      </c>
      <c r="I283" s="89">
        <f t="shared" si="115"/>
        <v>20972.896693875271</v>
      </c>
      <c r="J283" s="89">
        <f t="shared" si="115"/>
        <v>109835.65355837272</v>
      </c>
      <c r="K283" s="89">
        <f t="shared" si="115"/>
        <v>5045.3666574888621</v>
      </c>
      <c r="L283" s="89">
        <f t="shared" si="115"/>
        <v>94724.285775403638</v>
      </c>
      <c r="M283" s="89">
        <f t="shared" si="115"/>
        <v>31657.202556792861</v>
      </c>
      <c r="N283" s="89">
        <f t="shared" si="115"/>
        <v>2473.2189497494423</v>
      </c>
      <c r="O283" s="89">
        <f t="shared" si="115"/>
        <v>247.32189497494423</v>
      </c>
      <c r="P283" s="89">
        <f t="shared" si="115"/>
        <v>95243.661754851011</v>
      </c>
      <c r="Q283" s="89">
        <f t="shared" si="115"/>
        <v>59.357254793986606</v>
      </c>
      <c r="R283" s="89">
        <f t="shared" si="115"/>
        <v>732.07280912583485</v>
      </c>
      <c r="S283" s="89">
        <f t="shared" si="115"/>
        <v>98.928757989977683</v>
      </c>
      <c r="T283" s="89">
        <f t="shared" si="115"/>
        <v>98.928757989977683</v>
      </c>
      <c r="U283" s="89">
        <f t="shared" si="115"/>
        <v>0</v>
      </c>
      <c r="V283" s="89">
        <f t="shared" si="115"/>
        <v>0</v>
      </c>
      <c r="W283" s="91">
        <f>SUM(G283:V283)</f>
        <v>3368177.9589057742</v>
      </c>
      <c r="X283" s="87" t="str">
        <f>IF(ABS(F283-W283)&lt;0.01,"ok","err")</f>
        <v>ok</v>
      </c>
      <c r="Y283" s="203" t="str">
        <f>IF(X283="err",W283-F283,"")</f>
        <v/>
      </c>
    </row>
    <row r="284" spans="1:25" ht="12" customHeight="1" x14ac:dyDescent="0.25">
      <c r="F284" s="90"/>
    </row>
    <row r="285" spans="1:25" ht="12" customHeight="1" x14ac:dyDescent="0.25">
      <c r="A285" s="23" t="s">
        <v>1630</v>
      </c>
      <c r="F285" s="90"/>
    </row>
    <row r="286" spans="1:25" ht="12" customHeight="1" x14ac:dyDescent="0.25">
      <c r="A286" s="96" t="s">
        <v>392</v>
      </c>
      <c r="C286" s="86" t="s">
        <v>1016</v>
      </c>
      <c r="D286" s="86" t="s">
        <v>1656</v>
      </c>
      <c r="E286" s="86" t="s">
        <v>397</v>
      </c>
      <c r="F286" s="89">
        <f>VLOOKUP(C286,'WSS-29'!$C$1:$AU$617,34,)</f>
        <v>0</v>
      </c>
      <c r="G286" s="89">
        <f t="shared" ref="G286:V286" si="116">IF(VLOOKUP($E286,$D$5:$V$977,3,)=0,0,(VLOOKUP($E286,$D$5:$V$977,G$1,)/VLOOKUP($E286,$D$5:$V$977,3,))*$F286)</f>
        <v>0</v>
      </c>
      <c r="H286" s="89">
        <f t="shared" si="116"/>
        <v>0</v>
      </c>
      <c r="I286" s="89">
        <f t="shared" si="116"/>
        <v>0</v>
      </c>
      <c r="J286" s="89">
        <f t="shared" si="116"/>
        <v>0</v>
      </c>
      <c r="K286" s="89">
        <f t="shared" si="116"/>
        <v>0</v>
      </c>
      <c r="L286" s="89">
        <f t="shared" si="116"/>
        <v>0</v>
      </c>
      <c r="M286" s="89">
        <f t="shared" si="116"/>
        <v>0</v>
      </c>
      <c r="N286" s="89">
        <f t="shared" si="116"/>
        <v>0</v>
      </c>
      <c r="O286" s="89">
        <f t="shared" si="116"/>
        <v>0</v>
      </c>
      <c r="P286" s="89">
        <f t="shared" si="116"/>
        <v>0</v>
      </c>
      <c r="Q286" s="89">
        <f t="shared" si="116"/>
        <v>0</v>
      </c>
      <c r="R286" s="89">
        <f t="shared" si="116"/>
        <v>0</v>
      </c>
      <c r="S286" s="89">
        <f t="shared" si="116"/>
        <v>0</v>
      </c>
      <c r="T286" s="89">
        <f t="shared" si="116"/>
        <v>0</v>
      </c>
      <c r="U286" s="89">
        <f t="shared" si="116"/>
        <v>0</v>
      </c>
      <c r="V286" s="89">
        <f t="shared" si="116"/>
        <v>0</v>
      </c>
      <c r="W286" s="91">
        <f>SUM(G286:V286)</f>
        <v>0</v>
      </c>
      <c r="X286" s="87" t="str">
        <f>IF(ABS(F286-W286)&lt;0.01,"ok","err")</f>
        <v>ok</v>
      </c>
      <c r="Y286" s="203" t="str">
        <f>IF(X286="err",W286-F286,"")</f>
        <v/>
      </c>
    </row>
    <row r="287" spans="1:25" ht="12" customHeight="1" x14ac:dyDescent="0.25">
      <c r="F287" s="90"/>
    </row>
    <row r="288" spans="1:25" ht="12" customHeight="1" x14ac:dyDescent="0.25">
      <c r="A288" s="86" t="s">
        <v>62</v>
      </c>
      <c r="D288" s="86" t="s">
        <v>406</v>
      </c>
      <c r="F288" s="89">
        <f>F243+F249+F252+F255+F263+F268+F271+F274+F277+F280+F283+F286</f>
        <v>173228432</v>
      </c>
      <c r="G288" s="89">
        <f t="shared" ref="G288:T288" si="117">G243+G249+G252+G255+G263+G268+G271+G274+G277+G280+G283+G286</f>
        <v>84293357.451510578</v>
      </c>
      <c r="H288" s="89">
        <f t="shared" si="117"/>
        <v>23717949.20963525</v>
      </c>
      <c r="I288" s="89">
        <f>I243+I249+I252+I255+I263+I268+I271+I274+I277+I280+I283+I286</f>
        <v>1220838.3019140996</v>
      </c>
      <c r="J288" s="89">
        <f>J243+J249+J252+J255+J263+J268+J271+J274+J277+J280+J283+J286</f>
        <v>13548762.359708566</v>
      </c>
      <c r="K288" s="89">
        <f>K243+K249+K252+K255+K263+K268+K271+K274+K277+K280+K283+K286</f>
        <v>594947.34974856942</v>
      </c>
      <c r="L288" s="89">
        <f t="shared" si="117"/>
        <v>12874912.720346019</v>
      </c>
      <c r="M288" s="89">
        <f t="shared" si="117"/>
        <v>22704792.53794086</v>
      </c>
      <c r="N288" s="89">
        <f t="shared" si="117"/>
        <v>7071007.6518479409</v>
      </c>
      <c r="O288" s="89">
        <f>O243+O249+O252+O255+O263+O268+O271+O274+O277+O280+O283+O286</f>
        <v>3129297.6848836774</v>
      </c>
      <c r="P288" s="89">
        <f>P243+P249+P252+P255+P263+P268+P271+P274+P277+P280+P283+P286</f>
        <v>4023288.338927825</v>
      </c>
      <c r="Q288" s="89">
        <f t="shared" si="117"/>
        <v>17715.846224741425</v>
      </c>
      <c r="R288" s="89">
        <f t="shared" si="117"/>
        <v>25270.60535371022</v>
      </c>
      <c r="S288" s="89">
        <f t="shared" si="117"/>
        <v>5021.6787055661598</v>
      </c>
      <c r="T288" s="89">
        <f t="shared" si="117"/>
        <v>1270.2632525731051</v>
      </c>
      <c r="U288" s="89">
        <f>U243+U249+U252+U255+U263+U268+U271+U274+U277+U280+U283+U286</f>
        <v>0</v>
      </c>
      <c r="V288" s="89">
        <f>V243+V249+V252+V255+V263+V268+V271+V274+V277+V280+V283+V286</f>
        <v>0</v>
      </c>
      <c r="W288" s="91">
        <f>SUM(G288:V288)</f>
        <v>173228432.00000003</v>
      </c>
      <c r="X288" s="87" t="str">
        <f>IF(ABS(F288-W288)&lt;0.01,"ok","err")</f>
        <v>ok</v>
      </c>
      <c r="Y288" s="91" t="str">
        <f>IF(X288="err",W288-F288,"")</f>
        <v/>
      </c>
    </row>
    <row r="291" spans="1:25" ht="12" customHeight="1" x14ac:dyDescent="0.25">
      <c r="A291" s="22" t="s">
        <v>813</v>
      </c>
    </row>
    <row r="293" spans="1:25" ht="12" customHeight="1" x14ac:dyDescent="0.25">
      <c r="A293" s="23" t="s">
        <v>137</v>
      </c>
    </row>
    <row r="294" spans="1:25" ht="12" customHeight="1" x14ac:dyDescent="0.25">
      <c r="A294" s="96" t="s">
        <v>2270</v>
      </c>
      <c r="C294" s="86" t="s">
        <v>815</v>
      </c>
      <c r="D294" s="86" t="s">
        <v>1657</v>
      </c>
      <c r="E294" s="86" t="s">
        <v>2403</v>
      </c>
      <c r="F294" s="89">
        <f>VLOOKUP(C294,'WSS-29'!$C$1:$AU$617,6,)</f>
        <v>288540355.83999676</v>
      </c>
      <c r="G294" s="89">
        <f t="shared" ref="G294:V299" si="118">IF(VLOOKUP($E294,$D$5:$V$977,3,)=0,0,(VLOOKUP($E294,$D$5:$V$977,G$1,)/VLOOKUP($E294,$D$5:$V$977,3,))*$F294)</f>
        <v>118364937.1874807</v>
      </c>
      <c r="H294" s="89">
        <f t="shared" si="118"/>
        <v>31880931.880053017</v>
      </c>
      <c r="I294" s="89">
        <f t="shared" si="118"/>
        <v>2045712.312181192</v>
      </c>
      <c r="J294" s="89">
        <f t="shared" si="118"/>
        <v>29730245.118969984</v>
      </c>
      <c r="K294" s="89">
        <f t="shared" si="118"/>
        <v>1291635.8989978207</v>
      </c>
      <c r="L294" s="89">
        <f t="shared" si="118"/>
        <v>28592364.292966161</v>
      </c>
      <c r="M294" s="89">
        <f t="shared" si="118"/>
        <v>52341487.25327123</v>
      </c>
      <c r="N294" s="89">
        <f t="shared" si="118"/>
        <v>17037942.048564605</v>
      </c>
      <c r="O294" s="89">
        <f t="shared" si="118"/>
        <v>7055388.3599332664</v>
      </c>
      <c r="P294" s="89">
        <f t="shared" si="118"/>
        <v>45987.42947091323</v>
      </c>
      <c r="Q294" s="89">
        <f t="shared" si="118"/>
        <v>1673.1642392686244</v>
      </c>
      <c r="R294" s="89">
        <f t="shared" si="118"/>
        <v>27360.051129582149</v>
      </c>
      <c r="S294" s="89">
        <f t="shared" si="118"/>
        <v>3521.706933990411</v>
      </c>
      <c r="T294" s="89">
        <f t="shared" si="118"/>
        <v>238.1430017415893</v>
      </c>
      <c r="U294" s="89">
        <f t="shared" si="118"/>
        <v>106487.13</v>
      </c>
      <c r="V294" s="89">
        <f t="shared" si="118"/>
        <v>14443.86</v>
      </c>
      <c r="W294" s="91">
        <f t="shared" ref="W294:W300" si="119">SUM(G294:V294)</f>
        <v>288540355.83719343</v>
      </c>
      <c r="X294" s="87" t="str">
        <f t="shared" ref="X294:X300" si="120">IF(ABS(F294-W294)&lt;0.01,"ok","err")</f>
        <v>ok</v>
      </c>
      <c r="Y294" s="203" t="str">
        <f t="shared" ref="Y294:Y300" si="121">IF(X294="err",W294-F294,"")</f>
        <v/>
      </c>
    </row>
    <row r="295" spans="1:25" ht="12" hidden="1" customHeight="1" x14ac:dyDescent="0.25">
      <c r="A295" s="96" t="s">
        <v>2271</v>
      </c>
      <c r="C295" s="86" t="s">
        <v>815</v>
      </c>
      <c r="D295" s="86" t="s">
        <v>1658</v>
      </c>
      <c r="E295" s="86" t="s">
        <v>2269</v>
      </c>
      <c r="F295" s="90">
        <f>VLOOKUP(C295,'WSS-29'!$C$1:$AU$617,7,)</f>
        <v>0</v>
      </c>
      <c r="G295" s="89">
        <f t="shared" si="118"/>
        <v>0</v>
      </c>
      <c r="H295" s="89">
        <f t="shared" si="118"/>
        <v>0</v>
      </c>
      <c r="I295" s="89">
        <f t="shared" si="118"/>
        <v>0</v>
      </c>
      <c r="J295" s="89">
        <f t="shared" si="118"/>
        <v>0</v>
      </c>
      <c r="K295" s="89">
        <f t="shared" si="118"/>
        <v>0</v>
      </c>
      <c r="L295" s="89">
        <f t="shared" si="118"/>
        <v>0</v>
      </c>
      <c r="M295" s="89">
        <f t="shared" si="118"/>
        <v>0</v>
      </c>
      <c r="N295" s="89">
        <f t="shared" si="118"/>
        <v>0</v>
      </c>
      <c r="O295" s="89">
        <f t="shared" si="118"/>
        <v>0</v>
      </c>
      <c r="P295" s="89">
        <f t="shared" si="118"/>
        <v>0</v>
      </c>
      <c r="Q295" s="89">
        <f t="shared" si="118"/>
        <v>0</v>
      </c>
      <c r="R295" s="89">
        <f t="shared" si="118"/>
        <v>0</v>
      </c>
      <c r="S295" s="89">
        <f t="shared" si="118"/>
        <v>0</v>
      </c>
      <c r="T295" s="89">
        <f t="shared" si="118"/>
        <v>0</v>
      </c>
      <c r="U295" s="89">
        <f t="shared" si="118"/>
        <v>0</v>
      </c>
      <c r="V295" s="89">
        <f t="shared" si="118"/>
        <v>0</v>
      </c>
      <c r="W295" s="91">
        <f t="shared" si="119"/>
        <v>0</v>
      </c>
      <c r="X295" s="87" t="str">
        <f t="shared" si="120"/>
        <v>ok</v>
      </c>
      <c r="Y295" s="203" t="str">
        <f t="shared" si="121"/>
        <v/>
      </c>
    </row>
    <row r="296" spans="1:25" ht="12" hidden="1" customHeight="1" x14ac:dyDescent="0.25">
      <c r="A296" s="96" t="s">
        <v>2271</v>
      </c>
      <c r="C296" s="86" t="s">
        <v>815</v>
      </c>
      <c r="D296" s="86" t="s">
        <v>1659</v>
      </c>
      <c r="E296" s="86" t="s">
        <v>2269</v>
      </c>
      <c r="F296" s="90">
        <f>VLOOKUP(C296,'WSS-29'!$C$1:$AU$617,8,)</f>
        <v>0</v>
      </c>
      <c r="G296" s="89">
        <f t="shared" si="118"/>
        <v>0</v>
      </c>
      <c r="H296" s="89">
        <f t="shared" si="118"/>
        <v>0</v>
      </c>
      <c r="I296" s="89">
        <f t="shared" si="118"/>
        <v>0</v>
      </c>
      <c r="J296" s="89">
        <f t="shared" si="118"/>
        <v>0</v>
      </c>
      <c r="K296" s="89">
        <f t="shared" si="118"/>
        <v>0</v>
      </c>
      <c r="L296" s="89">
        <f t="shared" si="118"/>
        <v>0</v>
      </c>
      <c r="M296" s="89">
        <f t="shared" si="118"/>
        <v>0</v>
      </c>
      <c r="N296" s="89">
        <f t="shared" si="118"/>
        <v>0</v>
      </c>
      <c r="O296" s="89">
        <f t="shared" si="118"/>
        <v>0</v>
      </c>
      <c r="P296" s="89">
        <f t="shared" si="118"/>
        <v>0</v>
      </c>
      <c r="Q296" s="89">
        <f t="shared" si="118"/>
        <v>0</v>
      </c>
      <c r="R296" s="89">
        <f t="shared" si="118"/>
        <v>0</v>
      </c>
      <c r="S296" s="89">
        <f t="shared" si="118"/>
        <v>0</v>
      </c>
      <c r="T296" s="89">
        <f t="shared" si="118"/>
        <v>0</v>
      </c>
      <c r="U296" s="89">
        <f t="shared" si="118"/>
        <v>0</v>
      </c>
      <c r="V296" s="89">
        <f t="shared" si="118"/>
        <v>0</v>
      </c>
      <c r="W296" s="91">
        <f t="shared" si="119"/>
        <v>0</v>
      </c>
      <c r="X296" s="87" t="str">
        <f t="shared" si="120"/>
        <v>ok</v>
      </c>
      <c r="Y296" s="203" t="str">
        <f t="shared" si="121"/>
        <v/>
      </c>
    </row>
    <row r="297" spans="1:25" ht="12" customHeight="1" x14ac:dyDescent="0.25">
      <c r="A297" s="96" t="s">
        <v>2273</v>
      </c>
      <c r="C297" s="86" t="s">
        <v>815</v>
      </c>
      <c r="D297" s="86" t="s">
        <v>1660</v>
      </c>
      <c r="E297" s="86" t="s">
        <v>390</v>
      </c>
      <c r="F297" s="90">
        <f>VLOOKUP(C297,'WSS-29'!$C$1:$AU$617,9,)</f>
        <v>0</v>
      </c>
      <c r="G297" s="89">
        <f t="shared" si="118"/>
        <v>0</v>
      </c>
      <c r="H297" s="89">
        <f t="shared" si="118"/>
        <v>0</v>
      </c>
      <c r="I297" s="89">
        <f t="shared" si="118"/>
        <v>0</v>
      </c>
      <c r="J297" s="89">
        <f t="shared" si="118"/>
        <v>0</v>
      </c>
      <c r="K297" s="89">
        <f t="shared" si="118"/>
        <v>0</v>
      </c>
      <c r="L297" s="89">
        <f t="shared" si="118"/>
        <v>0</v>
      </c>
      <c r="M297" s="89">
        <f t="shared" si="118"/>
        <v>0</v>
      </c>
      <c r="N297" s="89">
        <f t="shared" si="118"/>
        <v>0</v>
      </c>
      <c r="O297" s="89">
        <f t="shared" si="118"/>
        <v>0</v>
      </c>
      <c r="P297" s="89">
        <f t="shared" si="118"/>
        <v>0</v>
      </c>
      <c r="Q297" s="89">
        <f t="shared" si="118"/>
        <v>0</v>
      </c>
      <c r="R297" s="89">
        <f t="shared" si="118"/>
        <v>0</v>
      </c>
      <c r="S297" s="89">
        <f t="shared" si="118"/>
        <v>0</v>
      </c>
      <c r="T297" s="89">
        <f t="shared" si="118"/>
        <v>0</v>
      </c>
      <c r="U297" s="89">
        <f t="shared" si="118"/>
        <v>0</v>
      </c>
      <c r="V297" s="89">
        <f t="shared" si="118"/>
        <v>0</v>
      </c>
      <c r="W297" s="91">
        <f t="shared" si="119"/>
        <v>0</v>
      </c>
      <c r="X297" s="87" t="str">
        <f t="shared" si="120"/>
        <v>ok</v>
      </c>
      <c r="Y297" s="203" t="str">
        <f t="shared" si="121"/>
        <v/>
      </c>
    </row>
    <row r="298" spans="1:25" ht="12" hidden="1" customHeight="1" x14ac:dyDescent="0.25">
      <c r="A298" s="96" t="s">
        <v>2272</v>
      </c>
      <c r="C298" s="86" t="s">
        <v>815</v>
      </c>
      <c r="D298" s="86" t="s">
        <v>1661</v>
      </c>
      <c r="E298" s="86" t="s">
        <v>390</v>
      </c>
      <c r="F298" s="90">
        <f>VLOOKUP(C298,'WSS-29'!$C$1:$AU$617,10,)</f>
        <v>0</v>
      </c>
      <c r="G298" s="89">
        <f t="shared" si="118"/>
        <v>0</v>
      </c>
      <c r="H298" s="89">
        <f t="shared" si="118"/>
        <v>0</v>
      </c>
      <c r="I298" s="89">
        <f t="shared" si="118"/>
        <v>0</v>
      </c>
      <c r="J298" s="89">
        <f t="shared" si="118"/>
        <v>0</v>
      </c>
      <c r="K298" s="89">
        <f t="shared" si="118"/>
        <v>0</v>
      </c>
      <c r="L298" s="89">
        <f t="shared" si="118"/>
        <v>0</v>
      </c>
      <c r="M298" s="89">
        <f t="shared" si="118"/>
        <v>0</v>
      </c>
      <c r="N298" s="89">
        <f t="shared" si="118"/>
        <v>0</v>
      </c>
      <c r="O298" s="89">
        <f t="shared" si="118"/>
        <v>0</v>
      </c>
      <c r="P298" s="89">
        <f t="shared" si="118"/>
        <v>0</v>
      </c>
      <c r="Q298" s="89">
        <f t="shared" si="118"/>
        <v>0</v>
      </c>
      <c r="R298" s="89">
        <f t="shared" si="118"/>
        <v>0</v>
      </c>
      <c r="S298" s="89">
        <f t="shared" si="118"/>
        <v>0</v>
      </c>
      <c r="T298" s="89">
        <f t="shared" si="118"/>
        <v>0</v>
      </c>
      <c r="U298" s="89">
        <f t="shared" si="118"/>
        <v>0</v>
      </c>
      <c r="V298" s="89">
        <f t="shared" si="118"/>
        <v>0</v>
      </c>
      <c r="W298" s="91">
        <f t="shared" si="119"/>
        <v>0</v>
      </c>
      <c r="X298" s="87" t="str">
        <f t="shared" si="120"/>
        <v>ok</v>
      </c>
      <c r="Y298" s="203" t="str">
        <f t="shared" si="121"/>
        <v/>
      </c>
    </row>
    <row r="299" spans="1:25" ht="12" hidden="1" customHeight="1" x14ac:dyDescent="0.25">
      <c r="A299" s="96" t="s">
        <v>2272</v>
      </c>
      <c r="C299" s="86" t="s">
        <v>815</v>
      </c>
      <c r="D299" s="86" t="s">
        <v>1662</v>
      </c>
      <c r="E299" s="86" t="s">
        <v>390</v>
      </c>
      <c r="F299" s="90">
        <f>VLOOKUP(C299,'WSS-29'!$C$1:$AU$617,11,)</f>
        <v>0</v>
      </c>
      <c r="G299" s="89">
        <f t="shared" si="118"/>
        <v>0</v>
      </c>
      <c r="H299" s="89">
        <f t="shared" si="118"/>
        <v>0</v>
      </c>
      <c r="I299" s="89">
        <f t="shared" si="118"/>
        <v>0</v>
      </c>
      <c r="J299" s="89">
        <f t="shared" si="118"/>
        <v>0</v>
      </c>
      <c r="K299" s="89">
        <f t="shared" si="118"/>
        <v>0</v>
      </c>
      <c r="L299" s="89">
        <f t="shared" si="118"/>
        <v>0</v>
      </c>
      <c r="M299" s="89">
        <f t="shared" si="118"/>
        <v>0</v>
      </c>
      <c r="N299" s="89">
        <f t="shared" si="118"/>
        <v>0</v>
      </c>
      <c r="O299" s="89">
        <f t="shared" si="118"/>
        <v>0</v>
      </c>
      <c r="P299" s="89">
        <f t="shared" si="118"/>
        <v>0</v>
      </c>
      <c r="Q299" s="89">
        <f t="shared" si="118"/>
        <v>0</v>
      </c>
      <c r="R299" s="89">
        <f t="shared" si="118"/>
        <v>0</v>
      </c>
      <c r="S299" s="89">
        <f t="shared" si="118"/>
        <v>0</v>
      </c>
      <c r="T299" s="89">
        <f t="shared" si="118"/>
        <v>0</v>
      </c>
      <c r="U299" s="89">
        <f t="shared" si="118"/>
        <v>0</v>
      </c>
      <c r="V299" s="89">
        <f t="shared" si="118"/>
        <v>0</v>
      </c>
      <c r="W299" s="91">
        <f t="shared" si="119"/>
        <v>0</v>
      </c>
      <c r="X299" s="87" t="str">
        <f t="shared" si="120"/>
        <v>ok</v>
      </c>
      <c r="Y299" s="203" t="str">
        <f t="shared" si="121"/>
        <v/>
      </c>
    </row>
    <row r="300" spans="1:25" ht="12" customHeight="1" x14ac:dyDescent="0.25">
      <c r="A300" s="86" t="s">
        <v>160</v>
      </c>
      <c r="D300" s="86" t="s">
        <v>1663</v>
      </c>
      <c r="F300" s="89">
        <f t="shared" ref="F300:T300" si="122">SUM(F294:F299)</f>
        <v>288540355.83999676</v>
      </c>
      <c r="G300" s="89">
        <f t="shared" si="122"/>
        <v>118364937.1874807</v>
      </c>
      <c r="H300" s="89">
        <f t="shared" si="122"/>
        <v>31880931.880053017</v>
      </c>
      <c r="I300" s="89">
        <f>SUM(I294:I299)</f>
        <v>2045712.312181192</v>
      </c>
      <c r="J300" s="89">
        <f>SUM(J294:J299)</f>
        <v>29730245.118969984</v>
      </c>
      <c r="K300" s="89">
        <f>SUM(K294:K299)</f>
        <v>1291635.8989978207</v>
      </c>
      <c r="L300" s="89">
        <f t="shared" si="122"/>
        <v>28592364.292966161</v>
      </c>
      <c r="M300" s="89">
        <f t="shared" si="122"/>
        <v>52341487.25327123</v>
      </c>
      <c r="N300" s="89">
        <f t="shared" si="122"/>
        <v>17037942.048564605</v>
      </c>
      <c r="O300" s="89">
        <f t="shared" si="122"/>
        <v>7055388.3599332664</v>
      </c>
      <c r="P300" s="89">
        <f>SUM(P294:P299)</f>
        <v>45987.42947091323</v>
      </c>
      <c r="Q300" s="89">
        <f t="shared" si="122"/>
        <v>1673.1642392686244</v>
      </c>
      <c r="R300" s="89">
        <f t="shared" si="122"/>
        <v>27360.051129582149</v>
      </c>
      <c r="S300" s="89">
        <f t="shared" si="122"/>
        <v>3521.706933990411</v>
      </c>
      <c r="T300" s="89">
        <f t="shared" si="122"/>
        <v>238.1430017415893</v>
      </c>
      <c r="U300" s="89">
        <f>SUM(U294:U299)</f>
        <v>106487.13</v>
      </c>
      <c r="V300" s="89">
        <f>SUM(V294:V299)</f>
        <v>14443.86</v>
      </c>
      <c r="W300" s="91">
        <f t="shared" si="119"/>
        <v>288540355.83719343</v>
      </c>
      <c r="X300" s="87" t="str">
        <f t="shared" si="120"/>
        <v>ok</v>
      </c>
      <c r="Y300" s="203" t="str">
        <f t="shared" si="121"/>
        <v/>
      </c>
    </row>
    <row r="301" spans="1:25" ht="12" customHeight="1" x14ac:dyDescent="0.25">
      <c r="F301" s="90"/>
      <c r="G301" s="90"/>
    </row>
    <row r="302" spans="1:25" ht="12" customHeight="1" x14ac:dyDescent="0.25">
      <c r="A302" s="23" t="s">
        <v>441</v>
      </c>
      <c r="F302" s="90"/>
      <c r="G302" s="90"/>
    </row>
    <row r="303" spans="1:25" ht="12" customHeight="1" x14ac:dyDescent="0.25">
      <c r="A303" s="96" t="s">
        <v>2249</v>
      </c>
      <c r="C303" s="86" t="s">
        <v>815</v>
      </c>
      <c r="D303" s="86" t="s">
        <v>1664</v>
      </c>
      <c r="E303" s="86" t="s">
        <v>2250</v>
      </c>
      <c r="F303" s="89">
        <f>VLOOKUP(C303,'WSS-29'!$C$1:$AU$617,13,)</f>
        <v>35077932.518008411</v>
      </c>
      <c r="G303" s="89">
        <f t="shared" ref="G303:V305" si="123">IF(VLOOKUP($E303,$D$5:$V$977,3,)=0,0,(VLOOKUP($E303,$D$5:$V$977,G$1,)/VLOOKUP($E303,$D$5:$V$977,3,))*$F303)</f>
        <v>15509605.826350367</v>
      </c>
      <c r="H303" s="89">
        <f t="shared" si="123"/>
        <v>3980996.4242400848</v>
      </c>
      <c r="I303" s="89">
        <f t="shared" si="123"/>
        <v>407432.25932898256</v>
      </c>
      <c r="J303" s="89">
        <f t="shared" si="123"/>
        <v>3551396.6039011264</v>
      </c>
      <c r="K303" s="89">
        <f t="shared" si="123"/>
        <v>152606.41077902185</v>
      </c>
      <c r="L303" s="89">
        <f t="shared" si="123"/>
        <v>3141795.7801769977</v>
      </c>
      <c r="M303" s="89">
        <f t="shared" si="123"/>
        <v>5116838.118490519</v>
      </c>
      <c r="N303" s="89">
        <f t="shared" si="123"/>
        <v>1774408.8426729415</v>
      </c>
      <c r="O303" s="89">
        <f t="shared" si="123"/>
        <v>1188990.0277144604</v>
      </c>
      <c r="P303" s="89">
        <f t="shared" si="123"/>
        <v>239475.67411773364</v>
      </c>
      <c r="Q303" s="89">
        <f t="shared" si="123"/>
        <v>8712.8621607774239</v>
      </c>
      <c r="R303" s="89">
        <f t="shared" si="123"/>
        <v>2347.4578764170692</v>
      </c>
      <c r="S303" s="89">
        <f t="shared" si="123"/>
        <v>3305.6033367539385</v>
      </c>
      <c r="T303" s="89">
        <f t="shared" si="123"/>
        <v>20.626862225123709</v>
      </c>
      <c r="U303" s="89">
        <f t="shared" si="123"/>
        <v>0</v>
      </c>
      <c r="V303" s="89">
        <f t="shared" si="123"/>
        <v>0</v>
      </c>
      <c r="W303" s="91">
        <f>SUM(G303:V303)</f>
        <v>35077932.518008411</v>
      </c>
      <c r="X303" s="87" t="str">
        <f>IF(ABS(F303-W303)&lt;0.01,"ok","err")</f>
        <v>ok</v>
      </c>
      <c r="Y303" s="203" t="str">
        <f>IF(X303="err",W303-F303,"")</f>
        <v/>
      </c>
    </row>
    <row r="304" spans="1:25" ht="12" hidden="1" customHeight="1" x14ac:dyDescent="0.25">
      <c r="A304" s="96" t="s">
        <v>2248</v>
      </c>
      <c r="C304" s="86" t="s">
        <v>815</v>
      </c>
      <c r="D304" s="86" t="s">
        <v>1665</v>
      </c>
      <c r="E304" s="86" t="s">
        <v>2250</v>
      </c>
      <c r="F304" s="90">
        <f>VLOOKUP(C304,'WSS-29'!$C$1:$AU$617,14,)</f>
        <v>0</v>
      </c>
      <c r="G304" s="89">
        <f t="shared" si="123"/>
        <v>0</v>
      </c>
      <c r="H304" s="89">
        <f t="shared" si="123"/>
        <v>0</v>
      </c>
      <c r="I304" s="89">
        <f t="shared" si="123"/>
        <v>0</v>
      </c>
      <c r="J304" s="89">
        <f t="shared" si="123"/>
        <v>0</v>
      </c>
      <c r="K304" s="89">
        <f t="shared" si="123"/>
        <v>0</v>
      </c>
      <c r="L304" s="89">
        <f t="shared" si="123"/>
        <v>0</v>
      </c>
      <c r="M304" s="89">
        <f t="shared" si="123"/>
        <v>0</v>
      </c>
      <c r="N304" s="89">
        <f t="shared" si="123"/>
        <v>0</v>
      </c>
      <c r="O304" s="89">
        <f t="shared" si="123"/>
        <v>0</v>
      </c>
      <c r="P304" s="89">
        <f t="shared" si="123"/>
        <v>0</v>
      </c>
      <c r="Q304" s="89">
        <f t="shared" si="123"/>
        <v>0</v>
      </c>
      <c r="R304" s="89">
        <f t="shared" si="123"/>
        <v>0</v>
      </c>
      <c r="S304" s="89">
        <f t="shared" si="123"/>
        <v>0</v>
      </c>
      <c r="T304" s="89">
        <f t="shared" si="123"/>
        <v>0</v>
      </c>
      <c r="U304" s="89">
        <f t="shared" si="123"/>
        <v>0</v>
      </c>
      <c r="V304" s="89">
        <f t="shared" si="123"/>
        <v>0</v>
      </c>
      <c r="W304" s="91">
        <f>SUM(G304:V304)</f>
        <v>0</v>
      </c>
      <c r="X304" s="87" t="str">
        <f>IF(ABS(F304-W304)&lt;0.01,"ok","err")</f>
        <v>ok</v>
      </c>
      <c r="Y304" s="203" t="str">
        <f>IF(X304="err",W304-F304,"")</f>
        <v/>
      </c>
    </row>
    <row r="305" spans="1:25" ht="12" hidden="1" customHeight="1" x14ac:dyDescent="0.25">
      <c r="A305" s="96" t="s">
        <v>2248</v>
      </c>
      <c r="C305" s="86" t="s">
        <v>815</v>
      </c>
      <c r="D305" s="86" t="s">
        <v>1666</v>
      </c>
      <c r="E305" s="86" t="s">
        <v>2250</v>
      </c>
      <c r="F305" s="90">
        <f>VLOOKUP(C305,'WSS-29'!$C$1:$AU$617,15,)</f>
        <v>0</v>
      </c>
      <c r="G305" s="89">
        <f t="shared" si="123"/>
        <v>0</v>
      </c>
      <c r="H305" s="89">
        <f t="shared" si="123"/>
        <v>0</v>
      </c>
      <c r="I305" s="89">
        <f t="shared" si="123"/>
        <v>0</v>
      </c>
      <c r="J305" s="89">
        <f t="shared" si="123"/>
        <v>0</v>
      </c>
      <c r="K305" s="89">
        <f t="shared" si="123"/>
        <v>0</v>
      </c>
      <c r="L305" s="89">
        <f t="shared" si="123"/>
        <v>0</v>
      </c>
      <c r="M305" s="89">
        <f t="shared" si="123"/>
        <v>0</v>
      </c>
      <c r="N305" s="89">
        <f t="shared" si="123"/>
        <v>0</v>
      </c>
      <c r="O305" s="89">
        <f t="shared" si="123"/>
        <v>0</v>
      </c>
      <c r="P305" s="89">
        <f t="shared" si="123"/>
        <v>0</v>
      </c>
      <c r="Q305" s="89">
        <f t="shared" si="123"/>
        <v>0</v>
      </c>
      <c r="R305" s="89">
        <f t="shared" si="123"/>
        <v>0</v>
      </c>
      <c r="S305" s="89">
        <f t="shared" si="123"/>
        <v>0</v>
      </c>
      <c r="T305" s="89">
        <f t="shared" si="123"/>
        <v>0</v>
      </c>
      <c r="U305" s="89">
        <f t="shared" si="123"/>
        <v>0</v>
      </c>
      <c r="V305" s="89">
        <f t="shared" si="123"/>
        <v>0</v>
      </c>
      <c r="W305" s="91">
        <f>SUM(G305:V305)</f>
        <v>0</v>
      </c>
      <c r="X305" s="87" t="str">
        <f>IF(ABS(F305-W305)&lt;0.01,"ok","err")</f>
        <v>ok</v>
      </c>
      <c r="Y305" s="203" t="str">
        <f>IF(X305="err",W305-F305,"")</f>
        <v/>
      </c>
    </row>
    <row r="306" spans="1:25" ht="12" hidden="1" customHeight="1" x14ac:dyDescent="0.25">
      <c r="A306" s="86" t="s">
        <v>443</v>
      </c>
      <c r="D306" s="86" t="s">
        <v>1667</v>
      </c>
      <c r="F306" s="89">
        <f t="shared" ref="F306:T306" si="124">SUM(F303:F305)</f>
        <v>35077932.518008411</v>
      </c>
      <c r="G306" s="89">
        <f t="shared" si="124"/>
        <v>15509605.826350367</v>
      </c>
      <c r="H306" s="89">
        <f t="shared" si="124"/>
        <v>3980996.4242400848</v>
      </c>
      <c r="I306" s="89">
        <f>SUM(I303:I305)</f>
        <v>407432.25932898256</v>
      </c>
      <c r="J306" s="89">
        <f>SUM(J303:J305)</f>
        <v>3551396.6039011264</v>
      </c>
      <c r="K306" s="89">
        <f>SUM(K303:K305)</f>
        <v>152606.41077902185</v>
      </c>
      <c r="L306" s="89">
        <f t="shared" si="124"/>
        <v>3141795.7801769977</v>
      </c>
      <c r="M306" s="89">
        <f t="shared" si="124"/>
        <v>5116838.118490519</v>
      </c>
      <c r="N306" s="89">
        <f t="shared" si="124"/>
        <v>1774408.8426729415</v>
      </c>
      <c r="O306" s="89">
        <f t="shared" si="124"/>
        <v>1188990.0277144604</v>
      </c>
      <c r="P306" s="89">
        <f>SUM(P303:P305)</f>
        <v>239475.67411773364</v>
      </c>
      <c r="Q306" s="89">
        <f t="shared" si="124"/>
        <v>8712.8621607774239</v>
      </c>
      <c r="R306" s="89">
        <f t="shared" si="124"/>
        <v>2347.4578764170692</v>
      </c>
      <c r="S306" s="89">
        <f t="shared" si="124"/>
        <v>3305.6033367539385</v>
      </c>
      <c r="T306" s="89">
        <f t="shared" si="124"/>
        <v>20.626862225123709</v>
      </c>
      <c r="U306" s="89">
        <f>SUM(U303:U305)</f>
        <v>0</v>
      </c>
      <c r="V306" s="89">
        <f>SUM(V303:V305)</f>
        <v>0</v>
      </c>
      <c r="W306" s="91">
        <f>SUM(G306:V306)</f>
        <v>35077932.518008411</v>
      </c>
      <c r="X306" s="87" t="str">
        <f>IF(ABS(F306-W306)&lt;0.01,"ok","err")</f>
        <v>ok</v>
      </c>
      <c r="Y306" s="91" t="str">
        <f>IF(X306="err",W306-F306,"")</f>
        <v/>
      </c>
    </row>
    <row r="307" spans="1:25" ht="12" customHeight="1" x14ac:dyDescent="0.25">
      <c r="F307" s="90"/>
      <c r="G307" s="90"/>
    </row>
    <row r="308" spans="1:25" ht="12" customHeight="1" x14ac:dyDescent="0.25">
      <c r="A308" s="23" t="s">
        <v>1628</v>
      </c>
      <c r="F308" s="90"/>
      <c r="G308" s="90"/>
    </row>
    <row r="309" spans="1:25" ht="12" customHeight="1" x14ac:dyDescent="0.25">
      <c r="A309" s="96" t="s">
        <v>145</v>
      </c>
      <c r="C309" s="86" t="s">
        <v>815</v>
      </c>
      <c r="D309" s="86" t="s">
        <v>1668</v>
      </c>
      <c r="E309" s="86" t="s">
        <v>2254</v>
      </c>
      <c r="F309" s="89">
        <f>VLOOKUP(C309,'WSS-29'!$C$1:$AU$617,17,)</f>
        <v>0</v>
      </c>
      <c r="G309" s="89">
        <f t="shared" ref="G309:V309" si="125">IF(VLOOKUP($E309,$D$5:$V$977,3,)=0,0,(VLOOKUP($E309,$D$5:$V$977,G$1,)/VLOOKUP($E309,$D$5:$V$977,3,))*$F309)</f>
        <v>0</v>
      </c>
      <c r="H309" s="89">
        <f t="shared" si="125"/>
        <v>0</v>
      </c>
      <c r="I309" s="89">
        <f t="shared" si="125"/>
        <v>0</v>
      </c>
      <c r="J309" s="89">
        <f t="shared" si="125"/>
        <v>0</v>
      </c>
      <c r="K309" s="89">
        <f t="shared" si="125"/>
        <v>0</v>
      </c>
      <c r="L309" s="89">
        <f t="shared" si="125"/>
        <v>0</v>
      </c>
      <c r="M309" s="89">
        <f t="shared" si="125"/>
        <v>0</v>
      </c>
      <c r="N309" s="89">
        <f t="shared" si="125"/>
        <v>0</v>
      </c>
      <c r="O309" s="89">
        <f t="shared" si="125"/>
        <v>0</v>
      </c>
      <c r="P309" s="89">
        <f t="shared" si="125"/>
        <v>0</v>
      </c>
      <c r="Q309" s="89">
        <f t="shared" si="125"/>
        <v>0</v>
      </c>
      <c r="R309" s="89">
        <f t="shared" si="125"/>
        <v>0</v>
      </c>
      <c r="S309" s="89">
        <f t="shared" si="125"/>
        <v>0</v>
      </c>
      <c r="T309" s="89">
        <f t="shared" si="125"/>
        <v>0</v>
      </c>
      <c r="U309" s="89">
        <f t="shared" si="125"/>
        <v>0</v>
      </c>
      <c r="V309" s="89">
        <f t="shared" si="125"/>
        <v>0</v>
      </c>
      <c r="W309" s="91">
        <f>SUM(G309:V309)</f>
        <v>0</v>
      </c>
      <c r="X309" s="87" t="str">
        <f>IF(ABS(F309-W309)&lt;0.01,"ok","err")</f>
        <v>ok</v>
      </c>
      <c r="Y309" s="203" t="str">
        <f>IF(X309="err",W309-F309,"")</f>
        <v/>
      </c>
    </row>
    <row r="310" spans="1:25" ht="12" customHeight="1" x14ac:dyDescent="0.25">
      <c r="F310" s="90"/>
    </row>
    <row r="311" spans="1:25" ht="12" customHeight="1" x14ac:dyDescent="0.25">
      <c r="A311" s="23" t="s">
        <v>1629</v>
      </c>
      <c r="F311" s="90"/>
      <c r="G311" s="90"/>
    </row>
    <row r="312" spans="1:25" ht="12" customHeight="1" x14ac:dyDescent="0.25">
      <c r="A312" s="96" t="s">
        <v>147</v>
      </c>
      <c r="C312" s="86" t="s">
        <v>815</v>
      </c>
      <c r="D312" s="86" t="s">
        <v>1669</v>
      </c>
      <c r="E312" s="86" t="s">
        <v>2254</v>
      </c>
      <c r="F312" s="89">
        <f>VLOOKUP(C312,'WSS-29'!$C$1:$AU$617,18,)</f>
        <v>7353571.5914639523</v>
      </c>
      <c r="G312" s="89">
        <f t="shared" ref="G312:V312" si="126">IF(VLOOKUP($E312,$D$5:$V$977,3,)=0,0,(VLOOKUP($E312,$D$5:$V$977,G$1,)/VLOOKUP($E312,$D$5:$V$977,3,))*$F312)</f>
        <v>3551382.6247918298</v>
      </c>
      <c r="H312" s="89">
        <f t="shared" si="126"/>
        <v>911566.78568739141</v>
      </c>
      <c r="I312" s="89">
        <f t="shared" si="126"/>
        <v>93293.657025267894</v>
      </c>
      <c r="J312" s="89">
        <f t="shared" si="126"/>
        <v>813197.21042885096</v>
      </c>
      <c r="K312" s="89">
        <f t="shared" si="126"/>
        <v>34943.747877311122</v>
      </c>
      <c r="L312" s="89">
        <f t="shared" si="126"/>
        <v>719406.99649556808</v>
      </c>
      <c r="M312" s="89">
        <f t="shared" si="126"/>
        <v>1171651.3102484078</v>
      </c>
      <c r="N312" s="89">
        <f t="shared" si="126"/>
        <v>0</v>
      </c>
      <c r="O312" s="89">
        <f t="shared" si="126"/>
        <v>0</v>
      </c>
      <c r="P312" s="89">
        <f t="shared" si="126"/>
        <v>54835.033052684448</v>
      </c>
      <c r="Q312" s="89">
        <f t="shared" si="126"/>
        <v>1995.0672916148765</v>
      </c>
      <c r="R312" s="89">
        <f t="shared" si="126"/>
        <v>537.5198575694593</v>
      </c>
      <c r="S312" s="89">
        <f t="shared" si="126"/>
        <v>756.91557774194564</v>
      </c>
      <c r="T312" s="89">
        <f t="shared" si="126"/>
        <v>4.7231297126728444</v>
      </c>
      <c r="U312" s="89">
        <f t="shared" si="126"/>
        <v>0</v>
      </c>
      <c r="V312" s="89">
        <f t="shared" si="126"/>
        <v>0</v>
      </c>
      <c r="W312" s="91">
        <f>SUM(G312:V312)</f>
        <v>7353571.5914639514</v>
      </c>
      <c r="X312" s="87" t="str">
        <f>IF(ABS(F312-W312)&lt;0.01,"ok","err")</f>
        <v>ok</v>
      </c>
      <c r="Y312" s="203" t="str">
        <f>IF(X312="err",W312-F312,"")</f>
        <v/>
      </c>
    </row>
    <row r="313" spans="1:25" ht="12" customHeight="1" x14ac:dyDescent="0.25">
      <c r="F313" s="90"/>
    </row>
    <row r="314" spans="1:25" ht="12" customHeight="1" x14ac:dyDescent="0.25">
      <c r="A314" s="23" t="s">
        <v>146</v>
      </c>
      <c r="F314" s="90"/>
    </row>
    <row r="315" spans="1:25" ht="12" customHeight="1" x14ac:dyDescent="0.25">
      <c r="A315" s="96" t="s">
        <v>792</v>
      </c>
      <c r="C315" s="86" t="s">
        <v>815</v>
      </c>
      <c r="D315" s="86" t="s">
        <v>1670</v>
      </c>
      <c r="E315" s="86" t="s">
        <v>2254</v>
      </c>
      <c r="F315" s="89">
        <f>VLOOKUP(C315,'WSS-29'!$C$1:$AU$617,19,)</f>
        <v>0</v>
      </c>
      <c r="G315" s="89">
        <f t="shared" ref="G315:V319" si="127">IF(VLOOKUP($E315,$D$5:$V$977,3,)=0,0,(VLOOKUP($E315,$D$5:$V$977,G$1,)/VLOOKUP($E315,$D$5:$V$977,3,))*$F315)</f>
        <v>0</v>
      </c>
      <c r="H315" s="89">
        <f t="shared" si="127"/>
        <v>0</v>
      </c>
      <c r="I315" s="89">
        <f t="shared" si="127"/>
        <v>0</v>
      </c>
      <c r="J315" s="89">
        <f t="shared" si="127"/>
        <v>0</v>
      </c>
      <c r="K315" s="89">
        <f t="shared" si="127"/>
        <v>0</v>
      </c>
      <c r="L315" s="89">
        <f t="shared" si="127"/>
        <v>0</v>
      </c>
      <c r="M315" s="89">
        <f t="shared" si="127"/>
        <v>0</v>
      </c>
      <c r="N315" s="89">
        <f t="shared" si="127"/>
        <v>0</v>
      </c>
      <c r="O315" s="89">
        <f t="shared" si="127"/>
        <v>0</v>
      </c>
      <c r="P315" s="89">
        <f t="shared" si="127"/>
        <v>0</v>
      </c>
      <c r="Q315" s="89">
        <f t="shared" si="127"/>
        <v>0</v>
      </c>
      <c r="R315" s="89">
        <f t="shared" si="127"/>
        <v>0</v>
      </c>
      <c r="S315" s="89">
        <f t="shared" si="127"/>
        <v>0</v>
      </c>
      <c r="T315" s="89">
        <f t="shared" si="127"/>
        <v>0</v>
      </c>
      <c r="U315" s="89">
        <f t="shared" si="127"/>
        <v>0</v>
      </c>
      <c r="V315" s="89">
        <f t="shared" si="127"/>
        <v>0</v>
      </c>
      <c r="W315" s="91">
        <f t="shared" ref="W315:W320" si="128">SUM(G315:V315)</f>
        <v>0</v>
      </c>
      <c r="X315" s="87" t="str">
        <f t="shared" ref="X315:X320" si="129">IF(ABS(F315-W315)&lt;0.01,"ok","err")</f>
        <v>ok</v>
      </c>
      <c r="Y315" s="203" t="str">
        <f t="shared" ref="Y315:Y320" si="130">IF(X315="err",W315-F315,"")</f>
        <v/>
      </c>
    </row>
    <row r="316" spans="1:25" ht="12" customHeight="1" x14ac:dyDescent="0.25">
      <c r="A316" s="96" t="s">
        <v>793</v>
      </c>
      <c r="C316" s="86" t="s">
        <v>815</v>
      </c>
      <c r="D316" s="86" t="s">
        <v>1671</v>
      </c>
      <c r="E316" s="86" t="s">
        <v>2254</v>
      </c>
      <c r="F316" s="90">
        <f>VLOOKUP(C316,'WSS-29'!$C$1:$AU$617,20,)</f>
        <v>5848687.6286234111</v>
      </c>
      <c r="G316" s="89">
        <f t="shared" si="127"/>
        <v>2824603.9851218783</v>
      </c>
      <c r="H316" s="89">
        <f t="shared" si="127"/>
        <v>725017.6755337012</v>
      </c>
      <c r="I316" s="89">
        <f t="shared" si="127"/>
        <v>74201.420477922162</v>
      </c>
      <c r="J316" s="89">
        <f t="shared" si="127"/>
        <v>646779.10660273256</v>
      </c>
      <c r="K316" s="89">
        <f t="shared" si="127"/>
        <v>27792.626122659134</v>
      </c>
      <c r="L316" s="89">
        <f t="shared" si="127"/>
        <v>572182.74793610955</v>
      </c>
      <c r="M316" s="89">
        <f t="shared" si="127"/>
        <v>931876.76737448468</v>
      </c>
      <c r="N316" s="89">
        <f t="shared" si="127"/>
        <v>0</v>
      </c>
      <c r="O316" s="89">
        <f t="shared" si="127"/>
        <v>0</v>
      </c>
      <c r="P316" s="89">
        <f t="shared" si="127"/>
        <v>43613.225959841875</v>
      </c>
      <c r="Q316" s="89">
        <f t="shared" si="127"/>
        <v>1586.7834074375507</v>
      </c>
      <c r="R316" s="89">
        <f t="shared" si="127"/>
        <v>427.51820690169535</v>
      </c>
      <c r="S316" s="89">
        <f t="shared" si="127"/>
        <v>602.01532281136565</v>
      </c>
      <c r="T316" s="89">
        <f t="shared" si="127"/>
        <v>3.7565569295550834</v>
      </c>
      <c r="U316" s="89">
        <f t="shared" si="127"/>
        <v>0</v>
      </c>
      <c r="V316" s="89">
        <f t="shared" si="127"/>
        <v>0</v>
      </c>
      <c r="W316" s="91">
        <f t="shared" si="128"/>
        <v>5848687.6286234092</v>
      </c>
      <c r="X316" s="87" t="str">
        <f t="shared" si="129"/>
        <v>ok</v>
      </c>
      <c r="Y316" s="203" t="str">
        <f t="shared" si="130"/>
        <v/>
      </c>
    </row>
    <row r="317" spans="1:25" ht="12" customHeight="1" x14ac:dyDescent="0.25">
      <c r="A317" s="96" t="s">
        <v>794</v>
      </c>
      <c r="C317" s="86" t="s">
        <v>815</v>
      </c>
      <c r="D317" s="86" t="s">
        <v>1672</v>
      </c>
      <c r="E317" s="86" t="s">
        <v>905</v>
      </c>
      <c r="F317" s="90">
        <f>VLOOKUP(C317,'WSS-29'!$C$1:$AU$617,21,)</f>
        <v>11368475.22127467</v>
      </c>
      <c r="G317" s="89">
        <f t="shared" si="127"/>
        <v>9132462.7189320903</v>
      </c>
      <c r="H317" s="89">
        <f t="shared" si="127"/>
        <v>1709134.0947142125</v>
      </c>
      <c r="I317" s="89">
        <f t="shared" si="127"/>
        <v>8753.7791863020157</v>
      </c>
      <c r="J317" s="89">
        <f t="shared" si="127"/>
        <v>91687.578694262411</v>
      </c>
      <c r="K317" s="89">
        <f t="shared" si="127"/>
        <v>4211.7239481264414</v>
      </c>
      <c r="L317" s="89">
        <f t="shared" si="127"/>
        <v>15814.610511102228</v>
      </c>
      <c r="M317" s="89">
        <f t="shared" si="127"/>
        <v>5285.300640786123</v>
      </c>
      <c r="N317" s="89">
        <f t="shared" si="127"/>
        <v>0</v>
      </c>
      <c r="O317" s="89">
        <f t="shared" si="127"/>
        <v>0</v>
      </c>
      <c r="P317" s="89">
        <f t="shared" si="127"/>
        <v>397533.06186850317</v>
      </c>
      <c r="Q317" s="89">
        <f t="shared" si="127"/>
        <v>247.74846753684955</v>
      </c>
      <c r="R317" s="89">
        <f t="shared" si="127"/>
        <v>3055.5644329544775</v>
      </c>
      <c r="S317" s="89">
        <f t="shared" si="127"/>
        <v>82.582822512283173</v>
      </c>
      <c r="T317" s="89">
        <f t="shared" si="127"/>
        <v>206.45705628070792</v>
      </c>
      <c r="U317" s="89">
        <f t="shared" si="127"/>
        <v>0</v>
      </c>
      <c r="V317" s="89">
        <f t="shared" si="127"/>
        <v>0</v>
      </c>
      <c r="W317" s="91">
        <f t="shared" si="128"/>
        <v>11368475.22127467</v>
      </c>
      <c r="X317" s="87" t="str">
        <f t="shared" si="129"/>
        <v>ok</v>
      </c>
      <c r="Y317" s="203" t="str">
        <f t="shared" si="130"/>
        <v/>
      </c>
    </row>
    <row r="318" spans="1:25" ht="12" customHeight="1" x14ac:dyDescent="0.25">
      <c r="A318" s="96" t="s">
        <v>795</v>
      </c>
      <c r="C318" s="86" t="s">
        <v>815</v>
      </c>
      <c r="D318" s="86" t="s">
        <v>1673</v>
      </c>
      <c r="E318" s="86" t="s">
        <v>734</v>
      </c>
      <c r="F318" s="90">
        <f>VLOOKUP(C318,'WSS-29'!$C$1:$AU$617,22,)</f>
        <v>2632989.6932173292</v>
      </c>
      <c r="G318" s="89">
        <f t="shared" si="127"/>
        <v>2180834.3309825393</v>
      </c>
      <c r="H318" s="89">
        <f t="shared" si="127"/>
        <v>406810.57420213165</v>
      </c>
      <c r="I318" s="89">
        <f t="shared" si="127"/>
        <v>29487.776485532715</v>
      </c>
      <c r="J318" s="89">
        <f t="shared" si="127"/>
        <v>0</v>
      </c>
      <c r="K318" s="89">
        <f t="shared" si="127"/>
        <v>0</v>
      </c>
      <c r="L318" s="89">
        <f t="shared" si="127"/>
        <v>0</v>
      </c>
      <c r="M318" s="89">
        <f t="shared" si="127"/>
        <v>0</v>
      </c>
      <c r="N318" s="89">
        <f t="shared" si="127"/>
        <v>0</v>
      </c>
      <c r="O318" s="89">
        <f t="shared" si="127"/>
        <v>0</v>
      </c>
      <c r="P318" s="89">
        <f t="shared" si="127"/>
        <v>15155.730127285862</v>
      </c>
      <c r="Q318" s="89">
        <f t="shared" si="127"/>
        <v>551.41211328238558</v>
      </c>
      <c r="R318" s="89">
        <f t="shared" si="127"/>
        <v>148.56389147340997</v>
      </c>
      <c r="S318" s="89">
        <f t="shared" si="127"/>
        <v>0</v>
      </c>
      <c r="T318" s="89">
        <f t="shared" si="127"/>
        <v>1.3054150840514633</v>
      </c>
      <c r="U318" s="89">
        <f t="shared" si="127"/>
        <v>0</v>
      </c>
      <c r="V318" s="89">
        <f t="shared" si="127"/>
        <v>0</v>
      </c>
      <c r="W318" s="91">
        <f t="shared" si="128"/>
        <v>2632989.6932173287</v>
      </c>
      <c r="X318" s="87" t="str">
        <f t="shared" si="129"/>
        <v>ok</v>
      </c>
      <c r="Y318" s="203" t="str">
        <f t="shared" si="130"/>
        <v/>
      </c>
    </row>
    <row r="319" spans="1:25" ht="12" customHeight="1" x14ac:dyDescent="0.25">
      <c r="A319" s="96" t="s">
        <v>796</v>
      </c>
      <c r="C319" s="86" t="s">
        <v>815</v>
      </c>
      <c r="D319" s="86" t="s">
        <v>1674</v>
      </c>
      <c r="E319" s="86" t="s">
        <v>904</v>
      </c>
      <c r="F319" s="90">
        <f>VLOOKUP(C319,'WSS-29'!$C$1:$AU$617,23,)</f>
        <v>5315352.2236691518</v>
      </c>
      <c r="G319" s="89">
        <f t="shared" si="127"/>
        <v>4273470.3051736318</v>
      </c>
      <c r="H319" s="89">
        <f t="shared" si="127"/>
        <v>799777.01810701669</v>
      </c>
      <c r="I319" s="89">
        <f t="shared" si="127"/>
        <v>4096.2680672276656</v>
      </c>
      <c r="J319" s="89">
        <f t="shared" si="127"/>
        <v>42904.543600372788</v>
      </c>
      <c r="K319" s="89">
        <f t="shared" si="127"/>
        <v>0</v>
      </c>
      <c r="L319" s="89">
        <f t="shared" si="127"/>
        <v>7400.3333478688483</v>
      </c>
      <c r="M319" s="89">
        <f t="shared" si="127"/>
        <v>0</v>
      </c>
      <c r="N319" s="89">
        <f t="shared" si="127"/>
        <v>0</v>
      </c>
      <c r="O319" s="89">
        <f t="shared" si="127"/>
        <v>0</v>
      </c>
      <c r="P319" s="89">
        <f t="shared" si="127"/>
        <v>186022.73970393563</v>
      </c>
      <c r="Q319" s="89">
        <f t="shared" si="127"/>
        <v>115.93211511021696</v>
      </c>
      <c r="R319" s="89">
        <f t="shared" si="127"/>
        <v>1429.8294196926759</v>
      </c>
      <c r="S319" s="89">
        <f t="shared" si="127"/>
        <v>38.644038370072316</v>
      </c>
      <c r="T319" s="89">
        <f t="shared" si="127"/>
        <v>96.610095925180786</v>
      </c>
      <c r="U319" s="89">
        <f t="shared" si="127"/>
        <v>0</v>
      </c>
      <c r="V319" s="89">
        <f t="shared" si="127"/>
        <v>0</v>
      </c>
      <c r="W319" s="91">
        <f t="shared" si="128"/>
        <v>5315352.2236691527</v>
      </c>
      <c r="X319" s="87" t="str">
        <f t="shared" si="129"/>
        <v>ok</v>
      </c>
      <c r="Y319" s="203" t="str">
        <f t="shared" si="130"/>
        <v/>
      </c>
    </row>
    <row r="320" spans="1:25" ht="12" customHeight="1" x14ac:dyDescent="0.25">
      <c r="A320" s="86" t="s">
        <v>151</v>
      </c>
      <c r="D320" s="86" t="s">
        <v>1675</v>
      </c>
      <c r="F320" s="89">
        <f>SUM(F315:F319)</f>
        <v>25165504.766784564</v>
      </c>
      <c r="G320" s="89">
        <f t="shared" ref="G320:T320" si="131">SUM(G315:G319)</f>
        <v>18411371.34021014</v>
      </c>
      <c r="H320" s="89">
        <f t="shared" si="131"/>
        <v>3640739.3625570619</v>
      </c>
      <c r="I320" s="89">
        <f>SUM(I315:I319)</f>
        <v>116539.24421698455</v>
      </c>
      <c r="J320" s="89">
        <f>SUM(J315:J319)</f>
        <v>781371.22889736772</v>
      </c>
      <c r="K320" s="89">
        <f>SUM(K315:K319)</f>
        <v>32004.350070785575</v>
      </c>
      <c r="L320" s="89">
        <f t="shared" si="131"/>
        <v>595397.69179508067</v>
      </c>
      <c r="M320" s="89">
        <f t="shared" si="131"/>
        <v>937162.06801527075</v>
      </c>
      <c r="N320" s="89">
        <f t="shared" si="131"/>
        <v>0</v>
      </c>
      <c r="O320" s="89">
        <f t="shared" si="131"/>
        <v>0</v>
      </c>
      <c r="P320" s="89">
        <f>SUM(P315:P319)</f>
        <v>642324.75765956659</v>
      </c>
      <c r="Q320" s="89">
        <f t="shared" si="131"/>
        <v>2501.8761033670025</v>
      </c>
      <c r="R320" s="89">
        <f t="shared" si="131"/>
        <v>5061.4759510222593</v>
      </c>
      <c r="S320" s="89">
        <f t="shared" si="131"/>
        <v>723.24218369372113</v>
      </c>
      <c r="T320" s="89">
        <f t="shared" si="131"/>
        <v>308.12912421949522</v>
      </c>
      <c r="U320" s="89">
        <f>SUM(U315:U319)</f>
        <v>0</v>
      </c>
      <c r="V320" s="89">
        <f>SUM(V315:V319)</f>
        <v>0</v>
      </c>
      <c r="W320" s="91">
        <f t="shared" si="128"/>
        <v>25165504.76678456</v>
      </c>
      <c r="X320" s="87" t="str">
        <f t="shared" si="129"/>
        <v>ok</v>
      </c>
      <c r="Y320" s="91" t="str">
        <f t="shared" si="130"/>
        <v/>
      </c>
    </row>
    <row r="321" spans="1:25" ht="12" customHeight="1" x14ac:dyDescent="0.25">
      <c r="F321" s="90"/>
    </row>
    <row r="322" spans="1:25" ht="12" customHeight="1" x14ac:dyDescent="0.25">
      <c r="A322" s="23" t="s">
        <v>791</v>
      </c>
      <c r="F322" s="90"/>
    </row>
    <row r="323" spans="1:25" ht="12" customHeight="1" x14ac:dyDescent="0.25">
      <c r="A323" s="96" t="s">
        <v>389</v>
      </c>
      <c r="C323" s="86" t="s">
        <v>815</v>
      </c>
      <c r="D323" s="86" t="s">
        <v>1676</v>
      </c>
      <c r="E323" s="86" t="s">
        <v>2179</v>
      </c>
      <c r="F323" s="89">
        <f>VLOOKUP(C323,'WSS-29'!$C$1:$AU$617,24,)</f>
        <v>3838199.390866559</v>
      </c>
      <c r="G323" s="89">
        <f t="shared" ref="G323:V324" si="132">IF(VLOOKUP($E323,$D$5:$V$977,3,)=0,0,(VLOOKUP($E323,$D$5:$V$977,G$1,)/VLOOKUP($E323,$D$5:$V$977,3,))*$F323)</f>
        <v>2623627.6828614427</v>
      </c>
      <c r="H323" s="89">
        <f t="shared" si="132"/>
        <v>489408.78680894943</v>
      </c>
      <c r="I323" s="89">
        <f t="shared" si="132"/>
        <v>35474.930669593232</v>
      </c>
      <c r="J323" s="89">
        <f t="shared" si="132"/>
        <v>361587.28333150031</v>
      </c>
      <c r="K323" s="89">
        <f t="shared" si="132"/>
        <v>0</v>
      </c>
      <c r="L323" s="89">
        <f t="shared" si="132"/>
        <v>308595.52288733015</v>
      </c>
      <c r="M323" s="89">
        <f t="shared" si="132"/>
        <v>0</v>
      </c>
      <c r="N323" s="89">
        <f t="shared" si="132"/>
        <v>0</v>
      </c>
      <c r="O323" s="89">
        <f t="shared" si="132"/>
        <v>0</v>
      </c>
      <c r="P323" s="89">
        <f t="shared" si="132"/>
        <v>18232.926981670265</v>
      </c>
      <c r="Q323" s="89">
        <f t="shared" si="132"/>
        <v>663.37000684550355</v>
      </c>
      <c r="R323" s="89">
        <f t="shared" si="132"/>
        <v>178.7280825534574</v>
      </c>
      <c r="S323" s="89">
        <f t="shared" si="132"/>
        <v>428.58877205711053</v>
      </c>
      <c r="T323" s="89">
        <f t="shared" si="132"/>
        <v>1.5704646169061696</v>
      </c>
      <c r="U323" s="89">
        <f t="shared" si="132"/>
        <v>0</v>
      </c>
      <c r="V323" s="89">
        <f t="shared" si="132"/>
        <v>0</v>
      </c>
      <c r="W323" s="91">
        <f>SUM(G323:V323)</f>
        <v>3838199.390866559</v>
      </c>
      <c r="X323" s="87" t="str">
        <f>IF(ABS(F323-W323)&lt;0.01,"ok","err")</f>
        <v>ok</v>
      </c>
      <c r="Y323" s="203" t="str">
        <f>IF(X323="err",W323-F323,"")</f>
        <v/>
      </c>
    </row>
    <row r="324" spans="1:25" ht="12" customHeight="1" x14ac:dyDescent="0.25">
      <c r="A324" s="96" t="s">
        <v>392</v>
      </c>
      <c r="C324" s="86" t="s">
        <v>815</v>
      </c>
      <c r="D324" s="86" t="s">
        <v>1677</v>
      </c>
      <c r="E324" s="86" t="s">
        <v>2178</v>
      </c>
      <c r="F324" s="90">
        <f>VLOOKUP(C324,'WSS-29'!$C$1:$AU$617,25,)</f>
        <v>3188879.6905575609</v>
      </c>
      <c r="G324" s="89">
        <f t="shared" si="132"/>
        <v>2563815.5461618663</v>
      </c>
      <c r="H324" s="89">
        <f t="shared" si="132"/>
        <v>479816.30994448625</v>
      </c>
      <c r="I324" s="89">
        <f t="shared" si="132"/>
        <v>2457.5052596692858</v>
      </c>
      <c r="J324" s="89">
        <f t="shared" si="132"/>
        <v>25740.049193847404</v>
      </c>
      <c r="K324" s="89">
        <f t="shared" si="132"/>
        <v>0</v>
      </c>
      <c r="L324" s="89">
        <f t="shared" si="132"/>
        <v>4439.7382757232854</v>
      </c>
      <c r="M324" s="89">
        <f t="shared" si="132"/>
        <v>0</v>
      </c>
      <c r="N324" s="89">
        <f t="shared" si="132"/>
        <v>0</v>
      </c>
      <c r="O324" s="89">
        <f t="shared" si="132"/>
        <v>0</v>
      </c>
      <c r="P324" s="89">
        <f t="shared" si="132"/>
        <v>111602.03720502855</v>
      </c>
      <c r="Q324" s="89">
        <f t="shared" si="132"/>
        <v>69.552035651017533</v>
      </c>
      <c r="R324" s="89">
        <f t="shared" si="132"/>
        <v>857.80843969588295</v>
      </c>
      <c r="S324" s="89">
        <f t="shared" si="132"/>
        <v>23.184011883672508</v>
      </c>
      <c r="T324" s="89">
        <f t="shared" si="132"/>
        <v>57.960029709181271</v>
      </c>
      <c r="U324" s="89">
        <f t="shared" si="132"/>
        <v>0</v>
      </c>
      <c r="V324" s="89">
        <f t="shared" si="132"/>
        <v>0</v>
      </c>
      <c r="W324" s="91">
        <f>SUM(G324:V324)</f>
        <v>3188879.6905575604</v>
      </c>
      <c r="X324" s="87" t="str">
        <f>IF(ABS(F324-W324)&lt;0.01,"ok","err")</f>
        <v>ok</v>
      </c>
      <c r="Y324" s="203" t="str">
        <f>IF(X324="err",W324-F324,"")</f>
        <v/>
      </c>
    </row>
    <row r="325" spans="1:25" ht="12" customHeight="1" x14ac:dyDescent="0.25">
      <c r="A325" s="86" t="s">
        <v>1469</v>
      </c>
      <c r="D325" s="86" t="s">
        <v>1678</v>
      </c>
      <c r="F325" s="89">
        <f t="shared" ref="F325:T325" si="133">F323+F324</f>
        <v>7027079.0814241199</v>
      </c>
      <c r="G325" s="89">
        <f t="shared" si="133"/>
        <v>5187443.2290233094</v>
      </c>
      <c r="H325" s="89">
        <f t="shared" si="133"/>
        <v>969225.09675343568</v>
      </c>
      <c r="I325" s="89">
        <f>I323+I324</f>
        <v>37932.435929262516</v>
      </c>
      <c r="J325" s="89">
        <f>J323+J324</f>
        <v>387327.33252534771</v>
      </c>
      <c r="K325" s="89">
        <f>K323+K324</f>
        <v>0</v>
      </c>
      <c r="L325" s="89">
        <f t="shared" si="133"/>
        <v>313035.26116305345</v>
      </c>
      <c r="M325" s="89">
        <f t="shared" si="133"/>
        <v>0</v>
      </c>
      <c r="N325" s="89">
        <f t="shared" si="133"/>
        <v>0</v>
      </c>
      <c r="O325" s="89">
        <f t="shared" si="133"/>
        <v>0</v>
      </c>
      <c r="P325" s="89">
        <f>P323+P324</f>
        <v>129834.96418669881</v>
      </c>
      <c r="Q325" s="89">
        <f t="shared" si="133"/>
        <v>732.92204249652104</v>
      </c>
      <c r="R325" s="89">
        <f t="shared" si="133"/>
        <v>1036.5365222493404</v>
      </c>
      <c r="S325" s="89">
        <f t="shared" si="133"/>
        <v>451.77278394078303</v>
      </c>
      <c r="T325" s="89">
        <f t="shared" si="133"/>
        <v>59.530494326087442</v>
      </c>
      <c r="U325" s="89">
        <f>U323+U324</f>
        <v>0</v>
      </c>
      <c r="V325" s="89">
        <f>V323+V324</f>
        <v>0</v>
      </c>
      <c r="W325" s="91">
        <f>SUM(G325:V325)</f>
        <v>7027079.081424119</v>
      </c>
      <c r="X325" s="87" t="str">
        <f>IF(ABS(F325-W325)&lt;0.01,"ok","err")</f>
        <v>ok</v>
      </c>
      <c r="Y325" s="91" t="str">
        <f>IF(X325="err",W325-F325,"")</f>
        <v/>
      </c>
    </row>
    <row r="326" spans="1:25" ht="12" customHeight="1" x14ac:dyDescent="0.25">
      <c r="F326" s="90"/>
    </row>
    <row r="327" spans="1:25" ht="12" customHeight="1" x14ac:dyDescent="0.25">
      <c r="A327" s="23" t="s">
        <v>128</v>
      </c>
      <c r="F327" s="90"/>
    </row>
    <row r="328" spans="1:25" ht="12" customHeight="1" x14ac:dyDescent="0.25">
      <c r="A328" s="96" t="s">
        <v>392</v>
      </c>
      <c r="C328" s="86" t="s">
        <v>815</v>
      </c>
      <c r="D328" s="86" t="s">
        <v>1679</v>
      </c>
      <c r="E328" s="86" t="s">
        <v>393</v>
      </c>
      <c r="F328" s="89">
        <f>VLOOKUP(C328,'WSS-29'!$C$1:$AU$617,26,)</f>
        <v>2688631.0447375085</v>
      </c>
      <c r="G328" s="89">
        <f t="shared" ref="G328:V328" si="134">IF(VLOOKUP($E328,$D$5:$V$977,3,)=0,0,(VLOOKUP($E328,$D$5:$V$977,G$1,)/VLOOKUP($E328,$D$5:$V$977,3,))*$F328)</f>
        <v>2126340.3341860347</v>
      </c>
      <c r="H328" s="89">
        <f t="shared" si="134"/>
        <v>478016.49018120562</v>
      </c>
      <c r="I328" s="89">
        <f t="shared" si="134"/>
        <v>4324.9652427125493</v>
      </c>
      <c r="J328" s="89">
        <f t="shared" si="134"/>
        <v>62120.808257356352</v>
      </c>
      <c r="K328" s="89">
        <f t="shared" si="134"/>
        <v>0</v>
      </c>
      <c r="L328" s="89">
        <f t="shared" si="134"/>
        <v>17772.491017207976</v>
      </c>
      <c r="M328" s="89">
        <f t="shared" si="134"/>
        <v>0</v>
      </c>
      <c r="N328" s="89">
        <f t="shared" si="134"/>
        <v>0</v>
      </c>
      <c r="O328" s="89">
        <f t="shared" si="134"/>
        <v>0</v>
      </c>
      <c r="P328" s="89">
        <f t="shared" si="134"/>
        <v>0</v>
      </c>
      <c r="Q328" s="89">
        <f t="shared" si="134"/>
        <v>0</v>
      </c>
      <c r="R328" s="89">
        <f t="shared" si="134"/>
        <v>0</v>
      </c>
      <c r="S328" s="89">
        <f t="shared" si="134"/>
        <v>55.955852991098702</v>
      </c>
      <c r="T328" s="89">
        <f t="shared" si="134"/>
        <v>0</v>
      </c>
      <c r="U328" s="89">
        <f t="shared" si="134"/>
        <v>0</v>
      </c>
      <c r="V328" s="89">
        <f t="shared" si="134"/>
        <v>0</v>
      </c>
      <c r="W328" s="91">
        <f>SUM(G328:V328)</f>
        <v>2688631.0447375085</v>
      </c>
      <c r="X328" s="87" t="str">
        <f>IF(ABS(F328-W328)&lt;0.01,"ok","err")</f>
        <v>ok</v>
      </c>
      <c r="Y328" s="203" t="str">
        <f>IF(X328="err",W328-F328,"")</f>
        <v/>
      </c>
    </row>
    <row r="329" spans="1:25" ht="12" customHeight="1" x14ac:dyDescent="0.25">
      <c r="F329" s="90"/>
    </row>
    <row r="330" spans="1:25" ht="12" customHeight="1" x14ac:dyDescent="0.25">
      <c r="A330" s="23" t="s">
        <v>127</v>
      </c>
      <c r="F330" s="90"/>
    </row>
    <row r="331" spans="1:25" ht="12" customHeight="1" x14ac:dyDescent="0.25">
      <c r="A331" s="96" t="s">
        <v>392</v>
      </c>
      <c r="C331" s="86" t="s">
        <v>815</v>
      </c>
      <c r="D331" s="86" t="s">
        <v>1680</v>
      </c>
      <c r="E331" s="86" t="s">
        <v>2456</v>
      </c>
      <c r="F331" s="89">
        <f>VLOOKUP(C331,'WSS-29'!$C$1:$AU$617,27,)</f>
        <v>1599033.2051107571</v>
      </c>
      <c r="G331" s="89">
        <f t="shared" ref="G331:V331" si="135">IF(VLOOKUP($E331,$D$5:$V$977,3,)=0,0,(VLOOKUP($E331,$D$5:$V$977,G$1,)/VLOOKUP($E331,$D$5:$V$977,3,))*$F331)</f>
        <v>956411.85092510236</v>
      </c>
      <c r="H331" s="89">
        <f t="shared" si="135"/>
        <v>385940.69796462188</v>
      </c>
      <c r="I331" s="89">
        <f t="shared" si="135"/>
        <v>7877.8619721439618</v>
      </c>
      <c r="J331" s="89">
        <f t="shared" si="135"/>
        <v>120669.22755149136</v>
      </c>
      <c r="K331" s="89">
        <f t="shared" si="135"/>
        <v>23598.193308835249</v>
      </c>
      <c r="L331" s="89">
        <f t="shared" si="135"/>
        <v>21583.136033536066</v>
      </c>
      <c r="M331" s="89">
        <f t="shared" si="135"/>
        <v>41803.530391774701</v>
      </c>
      <c r="N331" s="89">
        <f t="shared" si="135"/>
        <v>20725.891819075743</v>
      </c>
      <c r="O331" s="89">
        <f t="shared" si="135"/>
        <v>1279.4002283467983</v>
      </c>
      <c r="P331" s="89">
        <f t="shared" si="135"/>
        <v>0</v>
      </c>
      <c r="Q331" s="89">
        <f t="shared" si="135"/>
        <v>233.51266682188987</v>
      </c>
      <c r="R331" s="89">
        <f t="shared" si="135"/>
        <v>2877.8274031475498</v>
      </c>
      <c r="S331" s="89">
        <f t="shared" si="135"/>
        <v>108.6938458599514</v>
      </c>
      <c r="T331" s="89">
        <f t="shared" si="135"/>
        <v>15923.380999999999</v>
      </c>
      <c r="U331" s="89">
        <f t="shared" si="135"/>
        <v>0</v>
      </c>
      <c r="V331" s="89">
        <f t="shared" si="135"/>
        <v>0</v>
      </c>
      <c r="W331" s="91">
        <f>SUM(G331:V331)</f>
        <v>1599033.2051107574</v>
      </c>
      <c r="X331" s="87" t="str">
        <f>IF(ABS(F331-W331)&lt;0.01,"ok","err")</f>
        <v>ok</v>
      </c>
      <c r="Y331" s="203" t="str">
        <f>IF(X331="err",W331-F331,"")</f>
        <v/>
      </c>
    </row>
    <row r="332" spans="1:25" ht="12" customHeight="1" x14ac:dyDescent="0.25">
      <c r="F332" s="90"/>
    </row>
    <row r="333" spans="1:25" ht="12" customHeight="1" x14ac:dyDescent="0.25">
      <c r="A333" s="23" t="s">
        <v>144</v>
      </c>
      <c r="F333" s="90"/>
    </row>
    <row r="334" spans="1:25" ht="12" customHeight="1" x14ac:dyDescent="0.25">
      <c r="A334" s="96" t="s">
        <v>392</v>
      </c>
      <c r="C334" s="86" t="s">
        <v>815</v>
      </c>
      <c r="D334" s="86" t="s">
        <v>1681</v>
      </c>
      <c r="E334" s="86" t="s">
        <v>395</v>
      </c>
      <c r="F334" s="89">
        <f>VLOOKUP(C334,'WSS-29'!$C$1:$AU$617,28,)</f>
        <v>3079036.9524739203</v>
      </c>
      <c r="G334" s="89">
        <f t="shared" ref="G334:V334" si="136">IF(VLOOKUP($E334,$D$5:$V$977,3,)=0,0,(VLOOKUP($E334,$D$5:$V$977,G$1,)/VLOOKUP($E334,$D$5:$V$977,3,))*$F334)</f>
        <v>0</v>
      </c>
      <c r="H334" s="89">
        <f t="shared" si="136"/>
        <v>0</v>
      </c>
      <c r="I334" s="89">
        <f t="shared" si="136"/>
        <v>0</v>
      </c>
      <c r="J334" s="89">
        <f t="shared" si="136"/>
        <v>0</v>
      </c>
      <c r="K334" s="89">
        <f t="shared" si="136"/>
        <v>0</v>
      </c>
      <c r="L334" s="89">
        <f t="shared" si="136"/>
        <v>0</v>
      </c>
      <c r="M334" s="89">
        <f t="shared" si="136"/>
        <v>0</v>
      </c>
      <c r="N334" s="89">
        <f t="shared" si="136"/>
        <v>0</v>
      </c>
      <c r="O334" s="89">
        <f t="shared" si="136"/>
        <v>0</v>
      </c>
      <c r="P334" s="89">
        <f t="shared" si="136"/>
        <v>3079036.9524739203</v>
      </c>
      <c r="Q334" s="89">
        <f t="shared" si="136"/>
        <v>0</v>
      </c>
      <c r="R334" s="89">
        <f t="shared" si="136"/>
        <v>0</v>
      </c>
      <c r="S334" s="89">
        <f t="shared" si="136"/>
        <v>0</v>
      </c>
      <c r="T334" s="89">
        <f t="shared" si="136"/>
        <v>0</v>
      </c>
      <c r="U334" s="89">
        <f t="shared" si="136"/>
        <v>0</v>
      </c>
      <c r="V334" s="89">
        <f t="shared" si="136"/>
        <v>0</v>
      </c>
      <c r="W334" s="91">
        <f>SUM(G334:V334)</f>
        <v>3079036.9524739203</v>
      </c>
      <c r="X334" s="87" t="str">
        <f>IF(ABS(F334-W334)&lt;0.01,"ok","err")</f>
        <v>ok</v>
      </c>
      <c r="Y334" s="203" t="str">
        <f>IF(X334="err",W334-F334,"")</f>
        <v/>
      </c>
    </row>
    <row r="335" spans="1:25" ht="12" customHeight="1" x14ac:dyDescent="0.25">
      <c r="F335" s="90"/>
    </row>
    <row r="336" spans="1:25" ht="12" customHeight="1" x14ac:dyDescent="0.25">
      <c r="A336" s="23" t="s">
        <v>292</v>
      </c>
      <c r="F336" s="90"/>
    </row>
    <row r="337" spans="1:25" ht="12" customHeight="1" x14ac:dyDescent="0.25">
      <c r="A337" s="96" t="s">
        <v>392</v>
      </c>
      <c r="C337" s="86" t="s">
        <v>815</v>
      </c>
      <c r="D337" s="86" t="s">
        <v>1682</v>
      </c>
      <c r="E337" s="86" t="s">
        <v>396</v>
      </c>
      <c r="F337" s="89">
        <f>VLOOKUP(C337,'WSS-29'!$C$1:$AU$617,30,)</f>
        <v>0</v>
      </c>
      <c r="G337" s="89">
        <f t="shared" ref="G337:V337" si="137">IF(VLOOKUP($E337,$D$5:$V$977,3,)=0,0,(VLOOKUP($E337,$D$5:$V$977,G$1,)/VLOOKUP($E337,$D$5:$V$977,3,))*$F337)</f>
        <v>0</v>
      </c>
      <c r="H337" s="89">
        <f t="shared" si="137"/>
        <v>0</v>
      </c>
      <c r="I337" s="89">
        <f t="shared" si="137"/>
        <v>0</v>
      </c>
      <c r="J337" s="89">
        <f t="shared" si="137"/>
        <v>0</v>
      </c>
      <c r="K337" s="89">
        <f t="shared" si="137"/>
        <v>0</v>
      </c>
      <c r="L337" s="89">
        <f t="shared" si="137"/>
        <v>0</v>
      </c>
      <c r="M337" s="89">
        <f t="shared" si="137"/>
        <v>0</v>
      </c>
      <c r="N337" s="89">
        <f t="shared" si="137"/>
        <v>0</v>
      </c>
      <c r="O337" s="89">
        <f t="shared" si="137"/>
        <v>0</v>
      </c>
      <c r="P337" s="89">
        <f t="shared" si="137"/>
        <v>0</v>
      </c>
      <c r="Q337" s="89">
        <f t="shared" si="137"/>
        <v>0</v>
      </c>
      <c r="R337" s="89">
        <f t="shared" si="137"/>
        <v>0</v>
      </c>
      <c r="S337" s="89">
        <f t="shared" si="137"/>
        <v>0</v>
      </c>
      <c r="T337" s="89">
        <f t="shared" si="137"/>
        <v>0</v>
      </c>
      <c r="U337" s="89">
        <f t="shared" si="137"/>
        <v>0</v>
      </c>
      <c r="V337" s="89">
        <f t="shared" si="137"/>
        <v>0</v>
      </c>
      <c r="W337" s="91">
        <f>SUM(G337:V337)</f>
        <v>0</v>
      </c>
      <c r="X337" s="87" t="str">
        <f>IF(ABS(F337-W337)&lt;0.01,"ok","err")</f>
        <v>ok</v>
      </c>
      <c r="Y337" s="203" t="str">
        <f>IF(X337="err",W337-F337,"")</f>
        <v/>
      </c>
    </row>
    <row r="338" spans="1:25" ht="12" customHeight="1" x14ac:dyDescent="0.25">
      <c r="F338" s="90"/>
    </row>
    <row r="339" spans="1:25" ht="12" customHeight="1" x14ac:dyDescent="0.25">
      <c r="A339" s="23" t="s">
        <v>1631</v>
      </c>
      <c r="F339" s="90"/>
    </row>
    <row r="340" spans="1:25" ht="12" customHeight="1" x14ac:dyDescent="0.25">
      <c r="A340" s="96" t="s">
        <v>392</v>
      </c>
      <c r="C340" s="86" t="s">
        <v>815</v>
      </c>
      <c r="D340" s="86" t="s">
        <v>1683</v>
      </c>
      <c r="E340" s="86" t="s">
        <v>396</v>
      </c>
      <c r="F340" s="89">
        <f>VLOOKUP(C340,'WSS-29'!$C$1:$AU$617,32,)</f>
        <v>0</v>
      </c>
      <c r="G340" s="89">
        <f t="shared" ref="G340:V340" si="138">IF(VLOOKUP($E340,$D$5:$V$977,3,)=0,0,(VLOOKUP($E340,$D$5:$V$977,G$1,)/VLOOKUP($E340,$D$5:$V$977,3,))*$F340)</f>
        <v>0</v>
      </c>
      <c r="H340" s="89">
        <f t="shared" si="138"/>
        <v>0</v>
      </c>
      <c r="I340" s="89">
        <f t="shared" si="138"/>
        <v>0</v>
      </c>
      <c r="J340" s="89">
        <f t="shared" si="138"/>
        <v>0</v>
      </c>
      <c r="K340" s="89">
        <f t="shared" si="138"/>
        <v>0</v>
      </c>
      <c r="L340" s="89">
        <f t="shared" si="138"/>
        <v>0</v>
      </c>
      <c r="M340" s="89">
        <f t="shared" si="138"/>
        <v>0</v>
      </c>
      <c r="N340" s="89">
        <f t="shared" si="138"/>
        <v>0</v>
      </c>
      <c r="O340" s="89">
        <f t="shared" si="138"/>
        <v>0</v>
      </c>
      <c r="P340" s="89">
        <f t="shared" si="138"/>
        <v>0</v>
      </c>
      <c r="Q340" s="89">
        <f t="shared" si="138"/>
        <v>0</v>
      </c>
      <c r="R340" s="89">
        <f t="shared" si="138"/>
        <v>0</v>
      </c>
      <c r="S340" s="89">
        <f t="shared" si="138"/>
        <v>0</v>
      </c>
      <c r="T340" s="89">
        <f t="shared" si="138"/>
        <v>0</v>
      </c>
      <c r="U340" s="89">
        <f t="shared" si="138"/>
        <v>0</v>
      </c>
      <c r="V340" s="89">
        <f t="shared" si="138"/>
        <v>0</v>
      </c>
      <c r="W340" s="91">
        <f>SUM(G340:V340)</f>
        <v>0</v>
      </c>
      <c r="X340" s="87" t="str">
        <f>IF(ABS(F340-W340)&lt;0.01,"ok","err")</f>
        <v>ok</v>
      </c>
      <c r="Y340" s="203" t="str">
        <f>IF(X340="err",W340-F340,"")</f>
        <v/>
      </c>
    </row>
    <row r="341" spans="1:25" ht="12" customHeight="1" x14ac:dyDescent="0.25">
      <c r="F341" s="90"/>
    </row>
    <row r="342" spans="1:25" ht="12" customHeight="1" x14ac:dyDescent="0.25">
      <c r="A342" s="23" t="s">
        <v>1630</v>
      </c>
      <c r="F342" s="90"/>
    </row>
    <row r="343" spans="1:25" ht="12" customHeight="1" x14ac:dyDescent="0.25">
      <c r="A343" s="96" t="s">
        <v>392</v>
      </c>
      <c r="C343" s="86" t="s">
        <v>815</v>
      </c>
      <c r="D343" s="86" t="s">
        <v>1684</v>
      </c>
      <c r="E343" s="86" t="s">
        <v>397</v>
      </c>
      <c r="F343" s="89">
        <f>VLOOKUP(C343,'WSS-29'!$C$1:$AU$617,34,)</f>
        <v>0</v>
      </c>
      <c r="G343" s="89">
        <f t="shared" ref="G343:V343" si="139">IF(VLOOKUP($E343,$D$5:$V$977,3,)=0,0,(VLOOKUP($E343,$D$5:$V$977,G$1,)/VLOOKUP($E343,$D$5:$V$977,3,))*$F343)</f>
        <v>0</v>
      </c>
      <c r="H343" s="89">
        <f t="shared" si="139"/>
        <v>0</v>
      </c>
      <c r="I343" s="89">
        <f t="shared" si="139"/>
        <v>0</v>
      </c>
      <c r="J343" s="89">
        <f t="shared" si="139"/>
        <v>0</v>
      </c>
      <c r="K343" s="89">
        <f t="shared" si="139"/>
        <v>0</v>
      </c>
      <c r="L343" s="89">
        <f t="shared" si="139"/>
        <v>0</v>
      </c>
      <c r="M343" s="89">
        <f t="shared" si="139"/>
        <v>0</v>
      </c>
      <c r="N343" s="89">
        <f t="shared" si="139"/>
        <v>0</v>
      </c>
      <c r="O343" s="89">
        <f t="shared" si="139"/>
        <v>0</v>
      </c>
      <c r="P343" s="89">
        <f t="shared" si="139"/>
        <v>0</v>
      </c>
      <c r="Q343" s="89">
        <f t="shared" si="139"/>
        <v>0</v>
      </c>
      <c r="R343" s="89">
        <f t="shared" si="139"/>
        <v>0</v>
      </c>
      <c r="S343" s="89">
        <f t="shared" si="139"/>
        <v>0</v>
      </c>
      <c r="T343" s="89">
        <f t="shared" si="139"/>
        <v>0</v>
      </c>
      <c r="U343" s="89">
        <f t="shared" si="139"/>
        <v>0</v>
      </c>
      <c r="V343" s="89">
        <f t="shared" si="139"/>
        <v>0</v>
      </c>
      <c r="W343" s="91">
        <f>SUM(G343:V343)</f>
        <v>0</v>
      </c>
      <c r="X343" s="87" t="str">
        <f>IF(ABS(F343-W343)&lt;0.01,"ok","err")</f>
        <v>ok</v>
      </c>
      <c r="Y343" s="203" t="str">
        <f>IF(X343="err",W343-F343,"")</f>
        <v/>
      </c>
    </row>
    <row r="344" spans="1:25" ht="12" customHeight="1" x14ac:dyDescent="0.25">
      <c r="F344" s="90"/>
    </row>
    <row r="345" spans="1:25" ht="12" customHeight="1" x14ac:dyDescent="0.25">
      <c r="A345" s="86" t="s">
        <v>62</v>
      </c>
      <c r="D345" s="86" t="s">
        <v>1685</v>
      </c>
      <c r="F345" s="89">
        <f>F300+F306+F309+F312+F320+F325+F328+F331+F334+F337+F340+F343</f>
        <v>370531144.99999994</v>
      </c>
      <c r="G345" s="89">
        <f t="shared" ref="G345:T345" si="140">G300+G306+G309+G312+G320+G325+G328+G331+G334+G337+G340+G343</f>
        <v>164107492.39296746</v>
      </c>
      <c r="H345" s="89">
        <f t="shared" si="140"/>
        <v>42247416.737436824</v>
      </c>
      <c r="I345" s="89">
        <f>I300+I306+I309+I312+I320+I325+I328+I331+I334+I337+I340+I343</f>
        <v>2713112.7358965459</v>
      </c>
      <c r="J345" s="89">
        <f>J300+J306+J309+J312+J320+J325+J328+J331+J334+J337+J340+J343</f>
        <v>35446327.530531526</v>
      </c>
      <c r="K345" s="89">
        <f>K300+K306+K309+K312+K320+K325+K328+K331+K334+K337+K340+K343</f>
        <v>1534788.6010337744</v>
      </c>
      <c r="L345" s="89">
        <f t="shared" si="140"/>
        <v>33401355.649647601</v>
      </c>
      <c r="M345" s="89">
        <f t="shared" si="140"/>
        <v>59608942.280417196</v>
      </c>
      <c r="N345" s="89">
        <f t="shared" si="140"/>
        <v>18833076.783056621</v>
      </c>
      <c r="O345" s="89">
        <f>O300+O306+O309+O312+O320+O325+O328+O331+O334+O337+O340+O343</f>
        <v>8245657.7878760733</v>
      </c>
      <c r="P345" s="89">
        <f>P300+P306+P309+P312+P320+P325+P328+P331+P334+P337+P340+P343</f>
        <v>4191494.810961517</v>
      </c>
      <c r="Q345" s="89">
        <f t="shared" si="140"/>
        <v>15849.404504346336</v>
      </c>
      <c r="R345" s="89">
        <f t="shared" si="140"/>
        <v>39220.868739987833</v>
      </c>
      <c r="S345" s="89">
        <f t="shared" si="140"/>
        <v>8923.8905149718503</v>
      </c>
      <c r="T345" s="89">
        <f t="shared" si="140"/>
        <v>16554.533612224968</v>
      </c>
      <c r="U345" s="89">
        <f>U300+U306+U309+U312+U320+U325+U328+U331+U334+U337+U340+U343</f>
        <v>106487.13</v>
      </c>
      <c r="V345" s="89">
        <f>V300+V306+V309+V312+V320+V325+V328+V331+V334+V337+V340+V343</f>
        <v>14443.86</v>
      </c>
      <c r="W345" s="91">
        <f>SUM(G345:V345)</f>
        <v>370531144.99719673</v>
      </c>
      <c r="X345" s="87" t="str">
        <f>IF(ABS(F345-W345)&lt;0.01,"ok","err")</f>
        <v>ok</v>
      </c>
      <c r="Y345" s="203" t="str">
        <f>IF(X345="err",W345-F345,"")</f>
        <v/>
      </c>
    </row>
    <row r="348" spans="1:25" ht="12" customHeight="1" x14ac:dyDescent="0.25">
      <c r="A348" s="22" t="s">
        <v>63</v>
      </c>
    </row>
    <row r="350" spans="1:25" ht="12" customHeight="1" x14ac:dyDescent="0.25">
      <c r="A350" s="23" t="s">
        <v>137</v>
      </c>
    </row>
    <row r="351" spans="1:25" ht="12" customHeight="1" x14ac:dyDescent="0.25">
      <c r="A351" s="96" t="s">
        <v>2270</v>
      </c>
      <c r="C351" s="86" t="s">
        <v>66</v>
      </c>
      <c r="D351" s="86" t="s">
        <v>69</v>
      </c>
      <c r="E351" s="86" t="s">
        <v>2269</v>
      </c>
      <c r="F351" s="89">
        <f>VLOOKUP(C351,'WSS-29'!$C$1:$AU$617,6,)</f>
        <v>0</v>
      </c>
      <c r="G351" s="89">
        <f t="shared" ref="G351:V356" si="141">IF(VLOOKUP($E351,$D$5:$V$977,3,)=0,0,(VLOOKUP($E351,$D$5:$V$977,G$1,)/VLOOKUP($E351,$D$5:$V$977,3,))*$F351)</f>
        <v>0</v>
      </c>
      <c r="H351" s="89">
        <f t="shared" si="141"/>
        <v>0</v>
      </c>
      <c r="I351" s="89">
        <f t="shared" si="141"/>
        <v>0</v>
      </c>
      <c r="J351" s="89">
        <f t="shared" si="141"/>
        <v>0</v>
      </c>
      <c r="K351" s="89">
        <f t="shared" si="141"/>
        <v>0</v>
      </c>
      <c r="L351" s="89">
        <f t="shared" si="141"/>
        <v>0</v>
      </c>
      <c r="M351" s="89">
        <f t="shared" si="141"/>
        <v>0</v>
      </c>
      <c r="N351" s="89">
        <f t="shared" si="141"/>
        <v>0</v>
      </c>
      <c r="O351" s="89">
        <f t="shared" si="141"/>
        <v>0</v>
      </c>
      <c r="P351" s="89">
        <f t="shared" si="141"/>
        <v>0</v>
      </c>
      <c r="Q351" s="89">
        <f t="shared" si="141"/>
        <v>0</v>
      </c>
      <c r="R351" s="89">
        <f t="shared" si="141"/>
        <v>0</v>
      </c>
      <c r="S351" s="89">
        <f t="shared" si="141"/>
        <v>0</v>
      </c>
      <c r="T351" s="89">
        <f t="shared" si="141"/>
        <v>0</v>
      </c>
      <c r="U351" s="89">
        <f t="shared" si="141"/>
        <v>0</v>
      </c>
      <c r="V351" s="89">
        <f t="shared" si="141"/>
        <v>0</v>
      </c>
      <c r="W351" s="91">
        <f t="shared" ref="W351:W356" si="142">SUM(G351:V351)</f>
        <v>0</v>
      </c>
      <c r="X351" s="87" t="str">
        <f t="shared" ref="X351:X356" si="143">IF(ABS(F351-W351)&lt;0.01,"ok","err")</f>
        <v>ok</v>
      </c>
      <c r="Y351" s="203" t="str">
        <f t="shared" ref="Y351:Y356" si="144">IF(X351="err",W351-F351,"")</f>
        <v/>
      </c>
    </row>
    <row r="352" spans="1:25" ht="12" hidden="1" customHeight="1" x14ac:dyDescent="0.25">
      <c r="A352" s="96" t="s">
        <v>2271</v>
      </c>
      <c r="C352" s="86" t="s">
        <v>66</v>
      </c>
      <c r="D352" s="86" t="s">
        <v>70</v>
      </c>
      <c r="E352" s="86" t="s">
        <v>2269</v>
      </c>
      <c r="F352" s="90">
        <f>VLOOKUP(C352,'WSS-29'!$C$1:$AU$617,7,)</f>
        <v>0</v>
      </c>
      <c r="G352" s="89">
        <f t="shared" si="141"/>
        <v>0</v>
      </c>
      <c r="H352" s="89">
        <f t="shared" si="141"/>
        <v>0</v>
      </c>
      <c r="I352" s="89">
        <f t="shared" si="141"/>
        <v>0</v>
      </c>
      <c r="J352" s="89">
        <f t="shared" si="141"/>
        <v>0</v>
      </c>
      <c r="K352" s="89">
        <f t="shared" si="141"/>
        <v>0</v>
      </c>
      <c r="L352" s="89">
        <f t="shared" si="141"/>
        <v>0</v>
      </c>
      <c r="M352" s="89">
        <f t="shared" si="141"/>
        <v>0</v>
      </c>
      <c r="N352" s="89">
        <f t="shared" si="141"/>
        <v>0</v>
      </c>
      <c r="O352" s="89">
        <f t="shared" si="141"/>
        <v>0</v>
      </c>
      <c r="P352" s="89">
        <f t="shared" si="141"/>
        <v>0</v>
      </c>
      <c r="Q352" s="89">
        <f t="shared" si="141"/>
        <v>0</v>
      </c>
      <c r="R352" s="89">
        <f t="shared" si="141"/>
        <v>0</v>
      </c>
      <c r="S352" s="89">
        <f t="shared" si="141"/>
        <v>0</v>
      </c>
      <c r="T352" s="89">
        <f t="shared" si="141"/>
        <v>0</v>
      </c>
      <c r="U352" s="89">
        <f t="shared" si="141"/>
        <v>0</v>
      </c>
      <c r="V352" s="89">
        <f t="shared" si="141"/>
        <v>0</v>
      </c>
      <c r="W352" s="91">
        <f t="shared" si="142"/>
        <v>0</v>
      </c>
      <c r="X352" s="87" t="str">
        <f t="shared" si="143"/>
        <v>ok</v>
      </c>
      <c r="Y352" s="203" t="str">
        <f t="shared" si="144"/>
        <v/>
      </c>
    </row>
    <row r="353" spans="1:25" ht="12" hidden="1" customHeight="1" x14ac:dyDescent="0.25">
      <c r="A353" s="96" t="s">
        <v>2271</v>
      </c>
      <c r="C353" s="86" t="s">
        <v>66</v>
      </c>
      <c r="D353" s="86" t="s">
        <v>71</v>
      </c>
      <c r="E353" s="86" t="s">
        <v>2269</v>
      </c>
      <c r="F353" s="90">
        <f>VLOOKUP(C353,'WSS-29'!$C$1:$AU$617,8,)</f>
        <v>0</v>
      </c>
      <c r="G353" s="89">
        <f t="shared" si="141"/>
        <v>0</v>
      </c>
      <c r="H353" s="89">
        <f t="shared" si="141"/>
        <v>0</v>
      </c>
      <c r="I353" s="89">
        <f t="shared" si="141"/>
        <v>0</v>
      </c>
      <c r="J353" s="89">
        <f t="shared" si="141"/>
        <v>0</v>
      </c>
      <c r="K353" s="89">
        <f t="shared" si="141"/>
        <v>0</v>
      </c>
      <c r="L353" s="89">
        <f t="shared" si="141"/>
        <v>0</v>
      </c>
      <c r="M353" s="89">
        <f t="shared" si="141"/>
        <v>0</v>
      </c>
      <c r="N353" s="89">
        <f t="shared" si="141"/>
        <v>0</v>
      </c>
      <c r="O353" s="89">
        <f t="shared" si="141"/>
        <v>0</v>
      </c>
      <c r="P353" s="89">
        <f t="shared" si="141"/>
        <v>0</v>
      </c>
      <c r="Q353" s="89">
        <f t="shared" si="141"/>
        <v>0</v>
      </c>
      <c r="R353" s="89">
        <f t="shared" si="141"/>
        <v>0</v>
      </c>
      <c r="S353" s="89">
        <f t="shared" si="141"/>
        <v>0</v>
      </c>
      <c r="T353" s="89">
        <f t="shared" si="141"/>
        <v>0</v>
      </c>
      <c r="U353" s="89">
        <f t="shared" si="141"/>
        <v>0</v>
      </c>
      <c r="V353" s="89">
        <f t="shared" si="141"/>
        <v>0</v>
      </c>
      <c r="W353" s="91">
        <f t="shared" si="142"/>
        <v>0</v>
      </c>
      <c r="X353" s="87" t="str">
        <f t="shared" si="143"/>
        <v>ok</v>
      </c>
      <c r="Y353" s="203" t="str">
        <f t="shared" si="144"/>
        <v/>
      </c>
    </row>
    <row r="354" spans="1:25" ht="12" customHeight="1" x14ac:dyDescent="0.25">
      <c r="A354" s="96" t="s">
        <v>2273</v>
      </c>
      <c r="C354" s="86" t="s">
        <v>66</v>
      </c>
      <c r="D354" s="86" t="s">
        <v>72</v>
      </c>
      <c r="E354" s="86" t="s">
        <v>390</v>
      </c>
      <c r="F354" s="90">
        <f>VLOOKUP(C354,'WSS-29'!$C$1:$AU$617,9,)</f>
        <v>0</v>
      </c>
      <c r="G354" s="89">
        <f t="shared" si="141"/>
        <v>0</v>
      </c>
      <c r="H354" s="89">
        <f t="shared" si="141"/>
        <v>0</v>
      </c>
      <c r="I354" s="89">
        <f t="shared" si="141"/>
        <v>0</v>
      </c>
      <c r="J354" s="89">
        <f t="shared" si="141"/>
        <v>0</v>
      </c>
      <c r="K354" s="89">
        <f t="shared" si="141"/>
        <v>0</v>
      </c>
      <c r="L354" s="89">
        <f t="shared" si="141"/>
        <v>0</v>
      </c>
      <c r="M354" s="89">
        <f t="shared" si="141"/>
        <v>0</v>
      </c>
      <c r="N354" s="89">
        <f t="shared" si="141"/>
        <v>0</v>
      </c>
      <c r="O354" s="89">
        <f t="shared" si="141"/>
        <v>0</v>
      </c>
      <c r="P354" s="89">
        <f t="shared" si="141"/>
        <v>0</v>
      </c>
      <c r="Q354" s="89">
        <f t="shared" si="141"/>
        <v>0</v>
      </c>
      <c r="R354" s="89">
        <f t="shared" si="141"/>
        <v>0</v>
      </c>
      <c r="S354" s="89">
        <f t="shared" si="141"/>
        <v>0</v>
      </c>
      <c r="T354" s="89">
        <f t="shared" si="141"/>
        <v>0</v>
      </c>
      <c r="U354" s="89">
        <f t="shared" si="141"/>
        <v>0</v>
      </c>
      <c r="V354" s="89">
        <f t="shared" si="141"/>
        <v>0</v>
      </c>
      <c r="W354" s="91">
        <f t="shared" si="142"/>
        <v>0</v>
      </c>
      <c r="X354" s="87" t="str">
        <f t="shared" si="143"/>
        <v>ok</v>
      </c>
      <c r="Y354" s="203" t="str">
        <f t="shared" si="144"/>
        <v/>
      </c>
    </row>
    <row r="355" spans="1:25" ht="12" hidden="1" customHeight="1" x14ac:dyDescent="0.25">
      <c r="A355" s="96" t="s">
        <v>2272</v>
      </c>
      <c r="C355" s="86" t="s">
        <v>66</v>
      </c>
      <c r="D355" s="86" t="s">
        <v>73</v>
      </c>
      <c r="E355" s="86" t="s">
        <v>390</v>
      </c>
      <c r="F355" s="90">
        <f>VLOOKUP(C355,'WSS-29'!$C$1:$AU$617,10,)</f>
        <v>0</v>
      </c>
      <c r="G355" s="89">
        <f t="shared" si="141"/>
        <v>0</v>
      </c>
      <c r="H355" s="89">
        <f t="shared" si="141"/>
        <v>0</v>
      </c>
      <c r="I355" s="89">
        <f t="shared" si="141"/>
        <v>0</v>
      </c>
      <c r="J355" s="89">
        <f t="shared" si="141"/>
        <v>0</v>
      </c>
      <c r="K355" s="89">
        <f t="shared" si="141"/>
        <v>0</v>
      </c>
      <c r="L355" s="89">
        <f t="shared" si="141"/>
        <v>0</v>
      </c>
      <c r="M355" s="89">
        <f t="shared" si="141"/>
        <v>0</v>
      </c>
      <c r="N355" s="89">
        <f t="shared" si="141"/>
        <v>0</v>
      </c>
      <c r="O355" s="89">
        <f t="shared" si="141"/>
        <v>0</v>
      </c>
      <c r="P355" s="89">
        <f t="shared" si="141"/>
        <v>0</v>
      </c>
      <c r="Q355" s="89">
        <f t="shared" si="141"/>
        <v>0</v>
      </c>
      <c r="R355" s="89">
        <f t="shared" si="141"/>
        <v>0</v>
      </c>
      <c r="S355" s="89">
        <f t="shared" si="141"/>
        <v>0</v>
      </c>
      <c r="T355" s="89">
        <f t="shared" si="141"/>
        <v>0</v>
      </c>
      <c r="U355" s="89">
        <f t="shared" si="141"/>
        <v>0</v>
      </c>
      <c r="V355" s="89">
        <f t="shared" si="141"/>
        <v>0</v>
      </c>
      <c r="W355" s="91">
        <f t="shared" si="142"/>
        <v>0</v>
      </c>
      <c r="X355" s="87" t="str">
        <f t="shared" si="143"/>
        <v>ok</v>
      </c>
      <c r="Y355" s="203" t="str">
        <f t="shared" si="144"/>
        <v/>
      </c>
    </row>
    <row r="356" spans="1:25" ht="12" hidden="1" customHeight="1" x14ac:dyDescent="0.25">
      <c r="A356" s="96" t="s">
        <v>2272</v>
      </c>
      <c r="C356" s="86" t="s">
        <v>66</v>
      </c>
      <c r="D356" s="86" t="s">
        <v>74</v>
      </c>
      <c r="E356" s="86" t="s">
        <v>390</v>
      </c>
      <c r="F356" s="90">
        <f>VLOOKUP(C356,'WSS-29'!$C$1:$AU$617,11,)</f>
        <v>0</v>
      </c>
      <c r="G356" s="89">
        <f t="shared" si="141"/>
        <v>0</v>
      </c>
      <c r="H356" s="89">
        <f t="shared" si="141"/>
        <v>0</v>
      </c>
      <c r="I356" s="89">
        <f t="shared" si="141"/>
        <v>0</v>
      </c>
      <c r="J356" s="89">
        <f t="shared" si="141"/>
        <v>0</v>
      </c>
      <c r="K356" s="89">
        <f t="shared" si="141"/>
        <v>0</v>
      </c>
      <c r="L356" s="89">
        <f t="shared" si="141"/>
        <v>0</v>
      </c>
      <c r="M356" s="89">
        <f t="shared" si="141"/>
        <v>0</v>
      </c>
      <c r="N356" s="89">
        <f t="shared" si="141"/>
        <v>0</v>
      </c>
      <c r="O356" s="89">
        <f t="shared" si="141"/>
        <v>0</v>
      </c>
      <c r="P356" s="89">
        <f t="shared" si="141"/>
        <v>0</v>
      </c>
      <c r="Q356" s="89">
        <f t="shared" si="141"/>
        <v>0</v>
      </c>
      <c r="R356" s="89">
        <f t="shared" si="141"/>
        <v>0</v>
      </c>
      <c r="S356" s="89">
        <f t="shared" si="141"/>
        <v>0</v>
      </c>
      <c r="T356" s="89">
        <f t="shared" si="141"/>
        <v>0</v>
      </c>
      <c r="U356" s="89">
        <f t="shared" si="141"/>
        <v>0</v>
      </c>
      <c r="V356" s="89">
        <f t="shared" si="141"/>
        <v>0</v>
      </c>
      <c r="W356" s="91">
        <f t="shared" si="142"/>
        <v>0</v>
      </c>
      <c r="X356" s="87" t="str">
        <f t="shared" si="143"/>
        <v>ok</v>
      </c>
      <c r="Y356" s="203" t="str">
        <f t="shared" si="144"/>
        <v/>
      </c>
    </row>
    <row r="357" spans="1:25" ht="12" customHeight="1" x14ac:dyDescent="0.25">
      <c r="A357" s="86" t="s">
        <v>160</v>
      </c>
      <c r="D357" s="86" t="s">
        <v>75</v>
      </c>
      <c r="F357" s="89">
        <f t="shared" ref="F357:T357" si="145">SUM(F351:F356)</f>
        <v>0</v>
      </c>
      <c r="G357" s="89">
        <f t="shared" si="145"/>
        <v>0</v>
      </c>
      <c r="H357" s="89">
        <f t="shared" si="145"/>
        <v>0</v>
      </c>
      <c r="I357" s="89">
        <f>SUM(I351:I356)</f>
        <v>0</v>
      </c>
      <c r="J357" s="89">
        <f>SUM(J351:J356)</f>
        <v>0</v>
      </c>
      <c r="K357" s="89">
        <f>SUM(K351:K356)</f>
        <v>0</v>
      </c>
      <c r="L357" s="89">
        <f t="shared" si="145"/>
        <v>0</v>
      </c>
      <c r="M357" s="89">
        <f t="shared" si="145"/>
        <v>0</v>
      </c>
      <c r="N357" s="89">
        <f t="shared" si="145"/>
        <v>0</v>
      </c>
      <c r="O357" s="89">
        <f t="shared" si="145"/>
        <v>0</v>
      </c>
      <c r="P357" s="89">
        <f>SUM(P351:P356)</f>
        <v>0</v>
      </c>
      <c r="Q357" s="89">
        <f t="shared" si="145"/>
        <v>0</v>
      </c>
      <c r="R357" s="89">
        <f t="shared" si="145"/>
        <v>0</v>
      </c>
      <c r="S357" s="89">
        <f t="shared" si="145"/>
        <v>0</v>
      </c>
      <c r="T357" s="89">
        <f t="shared" si="145"/>
        <v>0</v>
      </c>
      <c r="U357" s="89">
        <f>SUM(U351:U356)</f>
        <v>0</v>
      </c>
      <c r="V357" s="89">
        <f>SUM(V351:V356)</f>
        <v>0</v>
      </c>
      <c r="W357" s="91">
        <f>SUM(G357:V357)</f>
        <v>0</v>
      </c>
      <c r="X357" s="87" t="str">
        <f>IF(ABS(F357-W357)&lt;0.01,"ok","err")</f>
        <v>ok</v>
      </c>
      <c r="Y357" s="91" t="str">
        <f>IF(X357="err",W357-F357,"")</f>
        <v/>
      </c>
    </row>
    <row r="358" spans="1:25" ht="12" customHeight="1" x14ac:dyDescent="0.25">
      <c r="F358" s="90"/>
      <c r="G358" s="90"/>
    </row>
    <row r="359" spans="1:25" ht="12" customHeight="1" x14ac:dyDescent="0.25">
      <c r="A359" s="23" t="s">
        <v>441</v>
      </c>
      <c r="F359" s="90"/>
      <c r="G359" s="90"/>
    </row>
    <row r="360" spans="1:25" ht="12" customHeight="1" x14ac:dyDescent="0.25">
      <c r="A360" s="96" t="s">
        <v>2249</v>
      </c>
      <c r="C360" s="86" t="s">
        <v>66</v>
      </c>
      <c r="D360" s="86" t="s">
        <v>76</v>
      </c>
      <c r="E360" s="86" t="s">
        <v>2250</v>
      </c>
      <c r="F360" s="89">
        <f>VLOOKUP(C360,'WSS-29'!$C$1:$AU$617,13,)</f>
        <v>0</v>
      </c>
      <c r="G360" s="89">
        <f t="shared" ref="G360:V362" si="146">IF(VLOOKUP($E360,$D$5:$V$977,3,)=0,0,(VLOOKUP($E360,$D$5:$V$977,G$1,)/VLOOKUP($E360,$D$5:$V$977,3,))*$F360)</f>
        <v>0</v>
      </c>
      <c r="H360" s="89">
        <f t="shared" si="146"/>
        <v>0</v>
      </c>
      <c r="I360" s="89">
        <f t="shared" si="146"/>
        <v>0</v>
      </c>
      <c r="J360" s="89">
        <f t="shared" si="146"/>
        <v>0</v>
      </c>
      <c r="K360" s="89">
        <f t="shared" si="146"/>
        <v>0</v>
      </c>
      <c r="L360" s="89">
        <f t="shared" si="146"/>
        <v>0</v>
      </c>
      <c r="M360" s="89">
        <f t="shared" si="146"/>
        <v>0</v>
      </c>
      <c r="N360" s="89">
        <f t="shared" si="146"/>
        <v>0</v>
      </c>
      <c r="O360" s="89">
        <f t="shared" si="146"/>
        <v>0</v>
      </c>
      <c r="P360" s="89">
        <f t="shared" si="146"/>
        <v>0</v>
      </c>
      <c r="Q360" s="89">
        <f t="shared" si="146"/>
        <v>0</v>
      </c>
      <c r="R360" s="89">
        <f t="shared" si="146"/>
        <v>0</v>
      </c>
      <c r="S360" s="89">
        <f t="shared" si="146"/>
        <v>0</v>
      </c>
      <c r="T360" s="89">
        <f t="shared" si="146"/>
        <v>0</v>
      </c>
      <c r="U360" s="89">
        <f t="shared" si="146"/>
        <v>0</v>
      </c>
      <c r="V360" s="89">
        <f t="shared" si="146"/>
        <v>0</v>
      </c>
      <c r="W360" s="91">
        <f>SUM(G360:V360)</f>
        <v>0</v>
      </c>
      <c r="X360" s="87" t="str">
        <f>IF(ABS(F360-W360)&lt;0.01,"ok","err")</f>
        <v>ok</v>
      </c>
      <c r="Y360" s="203" t="str">
        <f>IF(X360="err",W360-F360,"")</f>
        <v/>
      </c>
    </row>
    <row r="361" spans="1:25" ht="12" hidden="1" customHeight="1" x14ac:dyDescent="0.25">
      <c r="A361" s="96" t="s">
        <v>2248</v>
      </c>
      <c r="C361" s="86" t="s">
        <v>66</v>
      </c>
      <c r="D361" s="86" t="s">
        <v>77</v>
      </c>
      <c r="E361" s="86" t="s">
        <v>2250</v>
      </c>
      <c r="F361" s="90">
        <f>VLOOKUP(C361,'WSS-29'!$C$1:$AU$617,14,)</f>
        <v>0</v>
      </c>
      <c r="G361" s="89">
        <f t="shared" si="146"/>
        <v>0</v>
      </c>
      <c r="H361" s="89">
        <f t="shared" si="146"/>
        <v>0</v>
      </c>
      <c r="I361" s="89">
        <f t="shared" si="146"/>
        <v>0</v>
      </c>
      <c r="J361" s="89">
        <f t="shared" si="146"/>
        <v>0</v>
      </c>
      <c r="K361" s="89">
        <f t="shared" si="146"/>
        <v>0</v>
      </c>
      <c r="L361" s="89">
        <f t="shared" si="146"/>
        <v>0</v>
      </c>
      <c r="M361" s="89">
        <f t="shared" si="146"/>
        <v>0</v>
      </c>
      <c r="N361" s="89">
        <f t="shared" si="146"/>
        <v>0</v>
      </c>
      <c r="O361" s="89">
        <f t="shared" si="146"/>
        <v>0</v>
      </c>
      <c r="P361" s="89">
        <f t="shared" si="146"/>
        <v>0</v>
      </c>
      <c r="Q361" s="89">
        <f t="shared" si="146"/>
        <v>0</v>
      </c>
      <c r="R361" s="89">
        <f t="shared" si="146"/>
        <v>0</v>
      </c>
      <c r="S361" s="89">
        <f t="shared" si="146"/>
        <v>0</v>
      </c>
      <c r="T361" s="89">
        <f t="shared" si="146"/>
        <v>0</v>
      </c>
      <c r="U361" s="89">
        <f t="shared" si="146"/>
        <v>0</v>
      </c>
      <c r="V361" s="89">
        <f t="shared" si="146"/>
        <v>0</v>
      </c>
      <c r="W361" s="91">
        <f>SUM(G361:V361)</f>
        <v>0</v>
      </c>
      <c r="X361" s="87" t="str">
        <f>IF(ABS(F361-W361)&lt;0.01,"ok","err")</f>
        <v>ok</v>
      </c>
      <c r="Y361" s="203" t="str">
        <f>IF(X361="err",W361-F361,"")</f>
        <v/>
      </c>
    </row>
    <row r="362" spans="1:25" ht="12" hidden="1" customHeight="1" x14ac:dyDescent="0.25">
      <c r="A362" s="96" t="s">
        <v>2248</v>
      </c>
      <c r="C362" s="86" t="s">
        <v>66</v>
      </c>
      <c r="D362" s="86" t="s">
        <v>78</v>
      </c>
      <c r="E362" s="86" t="s">
        <v>2250</v>
      </c>
      <c r="F362" s="90">
        <f>VLOOKUP(C362,'WSS-29'!$C$1:$AU$617,15,)</f>
        <v>0</v>
      </c>
      <c r="G362" s="89">
        <f t="shared" si="146"/>
        <v>0</v>
      </c>
      <c r="H362" s="89">
        <f t="shared" si="146"/>
        <v>0</v>
      </c>
      <c r="I362" s="89">
        <f t="shared" si="146"/>
        <v>0</v>
      </c>
      <c r="J362" s="89">
        <f t="shared" si="146"/>
        <v>0</v>
      </c>
      <c r="K362" s="89">
        <f t="shared" si="146"/>
        <v>0</v>
      </c>
      <c r="L362" s="89">
        <f t="shared" si="146"/>
        <v>0</v>
      </c>
      <c r="M362" s="89">
        <f t="shared" si="146"/>
        <v>0</v>
      </c>
      <c r="N362" s="89">
        <f t="shared" si="146"/>
        <v>0</v>
      </c>
      <c r="O362" s="89">
        <f t="shared" si="146"/>
        <v>0</v>
      </c>
      <c r="P362" s="89">
        <f t="shared" si="146"/>
        <v>0</v>
      </c>
      <c r="Q362" s="89">
        <f t="shared" si="146"/>
        <v>0</v>
      </c>
      <c r="R362" s="89">
        <f t="shared" si="146"/>
        <v>0</v>
      </c>
      <c r="S362" s="89">
        <f t="shared" si="146"/>
        <v>0</v>
      </c>
      <c r="T362" s="89">
        <f t="shared" si="146"/>
        <v>0</v>
      </c>
      <c r="U362" s="89">
        <f t="shared" si="146"/>
        <v>0</v>
      </c>
      <c r="V362" s="89">
        <f t="shared" si="146"/>
        <v>0</v>
      </c>
      <c r="W362" s="91">
        <f>SUM(G362:V362)</f>
        <v>0</v>
      </c>
      <c r="X362" s="87" t="str">
        <f>IF(ABS(F362-W362)&lt;0.01,"ok","err")</f>
        <v>ok</v>
      </c>
      <c r="Y362" s="203" t="str">
        <f>IF(X362="err",W362-F362,"")</f>
        <v/>
      </c>
    </row>
    <row r="363" spans="1:25" ht="12" hidden="1" customHeight="1" x14ac:dyDescent="0.25">
      <c r="A363" s="86" t="s">
        <v>443</v>
      </c>
      <c r="D363" s="86" t="s">
        <v>79</v>
      </c>
      <c r="F363" s="89">
        <f t="shared" ref="F363:T363" si="147">SUM(F360:F362)</f>
        <v>0</v>
      </c>
      <c r="G363" s="89">
        <f t="shared" si="147"/>
        <v>0</v>
      </c>
      <c r="H363" s="89">
        <f t="shared" si="147"/>
        <v>0</v>
      </c>
      <c r="I363" s="89">
        <f>SUM(I360:I362)</f>
        <v>0</v>
      </c>
      <c r="J363" s="89">
        <f>SUM(J360:J362)</f>
        <v>0</v>
      </c>
      <c r="K363" s="89">
        <f>SUM(K360:K362)</f>
        <v>0</v>
      </c>
      <c r="L363" s="89">
        <f t="shared" si="147"/>
        <v>0</v>
      </c>
      <c r="M363" s="89">
        <f t="shared" si="147"/>
        <v>0</v>
      </c>
      <c r="N363" s="89">
        <f t="shared" si="147"/>
        <v>0</v>
      </c>
      <c r="O363" s="89">
        <f t="shared" si="147"/>
        <v>0</v>
      </c>
      <c r="P363" s="89">
        <f>SUM(P360:P362)</f>
        <v>0</v>
      </c>
      <c r="Q363" s="89">
        <f t="shared" si="147"/>
        <v>0</v>
      </c>
      <c r="R363" s="89">
        <f t="shared" si="147"/>
        <v>0</v>
      </c>
      <c r="S363" s="89">
        <f t="shared" si="147"/>
        <v>0</v>
      </c>
      <c r="T363" s="89">
        <f t="shared" si="147"/>
        <v>0</v>
      </c>
      <c r="U363" s="89">
        <f>SUM(U360:U362)</f>
        <v>0</v>
      </c>
      <c r="V363" s="89">
        <f>SUM(V360:V362)</f>
        <v>0</v>
      </c>
      <c r="W363" s="91">
        <f>SUM(G363:V363)</f>
        <v>0</v>
      </c>
      <c r="X363" s="87" t="str">
        <f>IF(ABS(F363-W363)&lt;0.01,"ok","err")</f>
        <v>ok</v>
      </c>
      <c r="Y363" s="91" t="str">
        <f>IF(X363="err",W363-F363,"")</f>
        <v/>
      </c>
    </row>
    <row r="364" spans="1:25" ht="12" customHeight="1" x14ac:dyDescent="0.25">
      <c r="F364" s="90"/>
      <c r="G364" s="90"/>
    </row>
    <row r="365" spans="1:25" ht="12" customHeight="1" x14ac:dyDescent="0.25">
      <c r="A365" s="23" t="s">
        <v>1628</v>
      </c>
      <c r="F365" s="90"/>
      <c r="G365" s="90"/>
    </row>
    <row r="366" spans="1:25" ht="12" customHeight="1" x14ac:dyDescent="0.25">
      <c r="A366" s="96" t="s">
        <v>145</v>
      </c>
      <c r="C366" s="86" t="s">
        <v>66</v>
      </c>
      <c r="D366" s="86" t="s">
        <v>80</v>
      </c>
      <c r="E366" s="86" t="s">
        <v>2254</v>
      </c>
      <c r="F366" s="89">
        <f>VLOOKUP(C366,'WSS-29'!$C$1:$AU$617,17,)</f>
        <v>0</v>
      </c>
      <c r="G366" s="89">
        <f t="shared" ref="G366:V366" si="148">IF(VLOOKUP($E366,$D$5:$V$977,3,)=0,0,(VLOOKUP($E366,$D$5:$V$977,G$1,)/VLOOKUP($E366,$D$5:$V$977,3,))*$F366)</f>
        <v>0</v>
      </c>
      <c r="H366" s="89">
        <f t="shared" si="148"/>
        <v>0</v>
      </c>
      <c r="I366" s="89">
        <f t="shared" si="148"/>
        <v>0</v>
      </c>
      <c r="J366" s="89">
        <f t="shared" si="148"/>
        <v>0</v>
      </c>
      <c r="K366" s="89">
        <f t="shared" si="148"/>
        <v>0</v>
      </c>
      <c r="L366" s="89">
        <f t="shared" si="148"/>
        <v>0</v>
      </c>
      <c r="M366" s="89">
        <f t="shared" si="148"/>
        <v>0</v>
      </c>
      <c r="N366" s="89">
        <f t="shared" si="148"/>
        <v>0</v>
      </c>
      <c r="O366" s="89">
        <f t="shared" si="148"/>
        <v>0</v>
      </c>
      <c r="P366" s="89">
        <f t="shared" si="148"/>
        <v>0</v>
      </c>
      <c r="Q366" s="89">
        <f t="shared" si="148"/>
        <v>0</v>
      </c>
      <c r="R366" s="89">
        <f t="shared" si="148"/>
        <v>0</v>
      </c>
      <c r="S366" s="89">
        <f t="shared" si="148"/>
        <v>0</v>
      </c>
      <c r="T366" s="89">
        <f t="shared" si="148"/>
        <v>0</v>
      </c>
      <c r="U366" s="89">
        <f t="shared" si="148"/>
        <v>0</v>
      </c>
      <c r="V366" s="89">
        <f t="shared" si="148"/>
        <v>0</v>
      </c>
      <c r="W366" s="91">
        <f>SUM(G366:V366)</f>
        <v>0</v>
      </c>
      <c r="X366" s="87" t="str">
        <f>IF(ABS(F366-W366)&lt;0.01,"ok","err")</f>
        <v>ok</v>
      </c>
      <c r="Y366" s="203" t="str">
        <f>IF(X366="err",W366-F366,"")</f>
        <v/>
      </c>
    </row>
    <row r="367" spans="1:25" ht="12" customHeight="1" x14ac:dyDescent="0.25">
      <c r="F367" s="90"/>
    </row>
    <row r="368" spans="1:25" ht="12" customHeight="1" x14ac:dyDescent="0.25">
      <c r="A368" s="23" t="s">
        <v>1629</v>
      </c>
      <c r="F368" s="90"/>
      <c r="G368" s="90"/>
    </row>
    <row r="369" spans="1:25" ht="12" customHeight="1" x14ac:dyDescent="0.25">
      <c r="A369" s="96" t="s">
        <v>147</v>
      </c>
      <c r="C369" s="86" t="s">
        <v>66</v>
      </c>
      <c r="D369" s="86" t="s">
        <v>81</v>
      </c>
      <c r="E369" s="86" t="s">
        <v>2254</v>
      </c>
      <c r="F369" s="89">
        <f>VLOOKUP(C369,'WSS-29'!$C$1:$AU$617,18,)</f>
        <v>0</v>
      </c>
      <c r="G369" s="89">
        <f t="shared" ref="G369:V369" si="149">IF(VLOOKUP($E369,$D$5:$V$977,3,)=0,0,(VLOOKUP($E369,$D$5:$V$977,G$1,)/VLOOKUP($E369,$D$5:$V$977,3,))*$F369)</f>
        <v>0</v>
      </c>
      <c r="H369" s="89">
        <f t="shared" si="149"/>
        <v>0</v>
      </c>
      <c r="I369" s="89">
        <f t="shared" si="149"/>
        <v>0</v>
      </c>
      <c r="J369" s="89">
        <f t="shared" si="149"/>
        <v>0</v>
      </c>
      <c r="K369" s="89">
        <f t="shared" si="149"/>
        <v>0</v>
      </c>
      <c r="L369" s="89">
        <f t="shared" si="149"/>
        <v>0</v>
      </c>
      <c r="M369" s="89">
        <f t="shared" si="149"/>
        <v>0</v>
      </c>
      <c r="N369" s="89">
        <f t="shared" si="149"/>
        <v>0</v>
      </c>
      <c r="O369" s="89">
        <f t="shared" si="149"/>
        <v>0</v>
      </c>
      <c r="P369" s="89">
        <f t="shared" si="149"/>
        <v>0</v>
      </c>
      <c r="Q369" s="89">
        <f t="shared" si="149"/>
        <v>0</v>
      </c>
      <c r="R369" s="89">
        <f t="shared" si="149"/>
        <v>0</v>
      </c>
      <c r="S369" s="89">
        <f t="shared" si="149"/>
        <v>0</v>
      </c>
      <c r="T369" s="89">
        <f t="shared" si="149"/>
        <v>0</v>
      </c>
      <c r="U369" s="89">
        <f t="shared" si="149"/>
        <v>0</v>
      </c>
      <c r="V369" s="89">
        <f t="shared" si="149"/>
        <v>0</v>
      </c>
      <c r="W369" s="91">
        <f>SUM(G369:V369)</f>
        <v>0</v>
      </c>
      <c r="X369" s="87" t="str">
        <f>IF(ABS(F369-W369)&lt;0.01,"ok","err")</f>
        <v>ok</v>
      </c>
      <c r="Y369" s="203" t="str">
        <f>IF(X369="err",W369-F369,"")</f>
        <v/>
      </c>
    </row>
    <row r="370" spans="1:25" ht="12" customHeight="1" x14ac:dyDescent="0.25">
      <c r="F370" s="90"/>
    </row>
    <row r="371" spans="1:25" ht="12" customHeight="1" x14ac:dyDescent="0.25">
      <c r="A371" s="23" t="s">
        <v>146</v>
      </c>
      <c r="F371" s="90"/>
    </row>
    <row r="372" spans="1:25" ht="12" customHeight="1" x14ac:dyDescent="0.25">
      <c r="A372" s="96" t="s">
        <v>792</v>
      </c>
      <c r="C372" s="86" t="s">
        <v>66</v>
      </c>
      <c r="D372" s="86" t="s">
        <v>82</v>
      </c>
      <c r="E372" s="86" t="s">
        <v>2254</v>
      </c>
      <c r="F372" s="89">
        <f>VLOOKUP(C372,'WSS-29'!$C$1:$AU$617,19,)</f>
        <v>0</v>
      </c>
      <c r="G372" s="89">
        <f t="shared" ref="G372:V376" si="150">IF(VLOOKUP($E372,$D$5:$V$977,3,)=0,0,(VLOOKUP($E372,$D$5:$V$977,G$1,)/VLOOKUP($E372,$D$5:$V$977,3,))*$F372)</f>
        <v>0</v>
      </c>
      <c r="H372" s="89">
        <f t="shared" si="150"/>
        <v>0</v>
      </c>
      <c r="I372" s="89">
        <f t="shared" si="150"/>
        <v>0</v>
      </c>
      <c r="J372" s="89">
        <f t="shared" si="150"/>
        <v>0</v>
      </c>
      <c r="K372" s="89">
        <f t="shared" si="150"/>
        <v>0</v>
      </c>
      <c r="L372" s="89">
        <f t="shared" si="150"/>
        <v>0</v>
      </c>
      <c r="M372" s="89">
        <f t="shared" si="150"/>
        <v>0</v>
      </c>
      <c r="N372" s="89">
        <f t="shared" si="150"/>
        <v>0</v>
      </c>
      <c r="O372" s="89">
        <f t="shared" si="150"/>
        <v>0</v>
      </c>
      <c r="P372" s="89">
        <f t="shared" si="150"/>
        <v>0</v>
      </c>
      <c r="Q372" s="89">
        <f t="shared" si="150"/>
        <v>0</v>
      </c>
      <c r="R372" s="89">
        <f t="shared" si="150"/>
        <v>0</v>
      </c>
      <c r="S372" s="89">
        <f t="shared" si="150"/>
        <v>0</v>
      </c>
      <c r="T372" s="89">
        <f t="shared" si="150"/>
        <v>0</v>
      </c>
      <c r="U372" s="89">
        <f t="shared" si="150"/>
        <v>0</v>
      </c>
      <c r="V372" s="89">
        <f t="shared" si="150"/>
        <v>0</v>
      </c>
      <c r="W372" s="91">
        <f t="shared" ref="W372:W377" si="151">SUM(G372:V372)</f>
        <v>0</v>
      </c>
      <c r="X372" s="87" t="str">
        <f t="shared" ref="X372:X377" si="152">IF(ABS(F372-W372)&lt;0.01,"ok","err")</f>
        <v>ok</v>
      </c>
      <c r="Y372" s="203" t="str">
        <f t="shared" ref="Y372:Y377" si="153">IF(X372="err",W372-F372,"")</f>
        <v/>
      </c>
    </row>
    <row r="373" spans="1:25" ht="12" customHeight="1" x14ac:dyDescent="0.25">
      <c r="A373" s="96" t="s">
        <v>793</v>
      </c>
      <c r="C373" s="86" t="s">
        <v>66</v>
      </c>
      <c r="D373" s="86" t="s">
        <v>83</v>
      </c>
      <c r="E373" s="86" t="s">
        <v>2254</v>
      </c>
      <c r="F373" s="90">
        <f>VLOOKUP(C373,'WSS-29'!$C$1:$AU$617,20,)</f>
        <v>0</v>
      </c>
      <c r="G373" s="89">
        <f t="shared" si="150"/>
        <v>0</v>
      </c>
      <c r="H373" s="89">
        <f t="shared" si="150"/>
        <v>0</v>
      </c>
      <c r="I373" s="89">
        <f t="shared" si="150"/>
        <v>0</v>
      </c>
      <c r="J373" s="89">
        <f t="shared" si="150"/>
        <v>0</v>
      </c>
      <c r="K373" s="89">
        <f t="shared" si="150"/>
        <v>0</v>
      </c>
      <c r="L373" s="89">
        <f t="shared" si="150"/>
        <v>0</v>
      </c>
      <c r="M373" s="89">
        <f t="shared" si="150"/>
        <v>0</v>
      </c>
      <c r="N373" s="89">
        <f t="shared" si="150"/>
        <v>0</v>
      </c>
      <c r="O373" s="89">
        <f t="shared" si="150"/>
        <v>0</v>
      </c>
      <c r="P373" s="89">
        <f t="shared" si="150"/>
        <v>0</v>
      </c>
      <c r="Q373" s="89">
        <f t="shared" si="150"/>
        <v>0</v>
      </c>
      <c r="R373" s="89">
        <f t="shared" si="150"/>
        <v>0</v>
      </c>
      <c r="S373" s="89">
        <f t="shared" si="150"/>
        <v>0</v>
      </c>
      <c r="T373" s="89">
        <f t="shared" si="150"/>
        <v>0</v>
      </c>
      <c r="U373" s="89">
        <f t="shared" si="150"/>
        <v>0</v>
      </c>
      <c r="V373" s="89">
        <f t="shared" si="150"/>
        <v>0</v>
      </c>
      <c r="W373" s="91">
        <f t="shared" si="151"/>
        <v>0</v>
      </c>
      <c r="X373" s="87" t="str">
        <f t="shared" si="152"/>
        <v>ok</v>
      </c>
      <c r="Y373" s="203" t="str">
        <f t="shared" si="153"/>
        <v/>
      </c>
    </row>
    <row r="374" spans="1:25" ht="12" customHeight="1" x14ac:dyDescent="0.25">
      <c r="A374" s="96" t="s">
        <v>794</v>
      </c>
      <c r="C374" s="86" t="s">
        <v>66</v>
      </c>
      <c r="D374" s="86" t="s">
        <v>84</v>
      </c>
      <c r="E374" s="86" t="s">
        <v>905</v>
      </c>
      <c r="F374" s="90">
        <f>VLOOKUP(C374,'WSS-29'!$C$1:$AU$617,21,)</f>
        <v>0</v>
      </c>
      <c r="G374" s="89">
        <f t="shared" si="150"/>
        <v>0</v>
      </c>
      <c r="H374" s="89">
        <f t="shared" si="150"/>
        <v>0</v>
      </c>
      <c r="I374" s="89">
        <f t="shared" si="150"/>
        <v>0</v>
      </c>
      <c r="J374" s="89">
        <f t="shared" si="150"/>
        <v>0</v>
      </c>
      <c r="K374" s="89">
        <f t="shared" si="150"/>
        <v>0</v>
      </c>
      <c r="L374" s="89">
        <f t="shared" si="150"/>
        <v>0</v>
      </c>
      <c r="M374" s="89">
        <f t="shared" si="150"/>
        <v>0</v>
      </c>
      <c r="N374" s="89">
        <f t="shared" si="150"/>
        <v>0</v>
      </c>
      <c r="O374" s="89">
        <f t="shared" si="150"/>
        <v>0</v>
      </c>
      <c r="P374" s="89">
        <f t="shared" si="150"/>
        <v>0</v>
      </c>
      <c r="Q374" s="89">
        <f t="shared" si="150"/>
        <v>0</v>
      </c>
      <c r="R374" s="89">
        <f t="shared" si="150"/>
        <v>0</v>
      </c>
      <c r="S374" s="89">
        <f t="shared" si="150"/>
        <v>0</v>
      </c>
      <c r="T374" s="89">
        <f t="shared" si="150"/>
        <v>0</v>
      </c>
      <c r="U374" s="89">
        <f t="shared" si="150"/>
        <v>0</v>
      </c>
      <c r="V374" s="89">
        <f t="shared" si="150"/>
        <v>0</v>
      </c>
      <c r="W374" s="91">
        <f t="shared" si="151"/>
        <v>0</v>
      </c>
      <c r="X374" s="87" t="str">
        <f t="shared" si="152"/>
        <v>ok</v>
      </c>
      <c r="Y374" s="203" t="str">
        <f t="shared" si="153"/>
        <v/>
      </c>
    </row>
    <row r="375" spans="1:25" ht="12" customHeight="1" x14ac:dyDescent="0.25">
      <c r="A375" s="96" t="s">
        <v>795</v>
      </c>
      <c r="C375" s="86" t="s">
        <v>66</v>
      </c>
      <c r="D375" s="86" t="s">
        <v>85</v>
      </c>
      <c r="E375" s="86" t="s">
        <v>734</v>
      </c>
      <c r="F375" s="90">
        <f>VLOOKUP(C375,'WSS-29'!$C$1:$AU$617,22,)</f>
        <v>0</v>
      </c>
      <c r="G375" s="89">
        <f t="shared" si="150"/>
        <v>0</v>
      </c>
      <c r="H375" s="89">
        <f t="shared" si="150"/>
        <v>0</v>
      </c>
      <c r="I375" s="89">
        <f t="shared" si="150"/>
        <v>0</v>
      </c>
      <c r="J375" s="89">
        <f t="shared" si="150"/>
        <v>0</v>
      </c>
      <c r="K375" s="89">
        <f t="shared" si="150"/>
        <v>0</v>
      </c>
      <c r="L375" s="89">
        <f t="shared" si="150"/>
        <v>0</v>
      </c>
      <c r="M375" s="89">
        <f t="shared" si="150"/>
        <v>0</v>
      </c>
      <c r="N375" s="89">
        <f t="shared" si="150"/>
        <v>0</v>
      </c>
      <c r="O375" s="89">
        <f t="shared" si="150"/>
        <v>0</v>
      </c>
      <c r="P375" s="89">
        <f t="shared" si="150"/>
        <v>0</v>
      </c>
      <c r="Q375" s="89">
        <f t="shared" si="150"/>
        <v>0</v>
      </c>
      <c r="R375" s="89">
        <f t="shared" si="150"/>
        <v>0</v>
      </c>
      <c r="S375" s="89">
        <f t="shared" si="150"/>
        <v>0</v>
      </c>
      <c r="T375" s="89">
        <f t="shared" si="150"/>
        <v>0</v>
      </c>
      <c r="U375" s="89">
        <f t="shared" si="150"/>
        <v>0</v>
      </c>
      <c r="V375" s="89">
        <f t="shared" si="150"/>
        <v>0</v>
      </c>
      <c r="W375" s="91">
        <f t="shared" si="151"/>
        <v>0</v>
      </c>
      <c r="X375" s="87" t="str">
        <f t="shared" si="152"/>
        <v>ok</v>
      </c>
      <c r="Y375" s="203" t="str">
        <f t="shared" si="153"/>
        <v/>
      </c>
    </row>
    <row r="376" spans="1:25" ht="12" customHeight="1" x14ac:dyDescent="0.25">
      <c r="A376" s="96" t="s">
        <v>796</v>
      </c>
      <c r="C376" s="86" t="s">
        <v>66</v>
      </c>
      <c r="D376" s="86" t="s">
        <v>86</v>
      </c>
      <c r="E376" s="86" t="s">
        <v>904</v>
      </c>
      <c r="F376" s="90">
        <f>VLOOKUP(C376,'WSS-29'!$C$1:$AU$617,23,)</f>
        <v>0</v>
      </c>
      <c r="G376" s="89">
        <f t="shared" si="150"/>
        <v>0</v>
      </c>
      <c r="H376" s="89">
        <f t="shared" si="150"/>
        <v>0</v>
      </c>
      <c r="I376" s="89">
        <f t="shared" si="150"/>
        <v>0</v>
      </c>
      <c r="J376" s="89">
        <f t="shared" si="150"/>
        <v>0</v>
      </c>
      <c r="K376" s="89">
        <f t="shared" si="150"/>
        <v>0</v>
      </c>
      <c r="L376" s="89">
        <f t="shared" si="150"/>
        <v>0</v>
      </c>
      <c r="M376" s="89">
        <f t="shared" si="150"/>
        <v>0</v>
      </c>
      <c r="N376" s="89">
        <f t="shared" si="150"/>
        <v>0</v>
      </c>
      <c r="O376" s="89">
        <f t="shared" si="150"/>
        <v>0</v>
      </c>
      <c r="P376" s="89">
        <f t="shared" si="150"/>
        <v>0</v>
      </c>
      <c r="Q376" s="89">
        <f t="shared" si="150"/>
        <v>0</v>
      </c>
      <c r="R376" s="89">
        <f t="shared" si="150"/>
        <v>0</v>
      </c>
      <c r="S376" s="89">
        <f t="shared" si="150"/>
        <v>0</v>
      </c>
      <c r="T376" s="89">
        <f t="shared" si="150"/>
        <v>0</v>
      </c>
      <c r="U376" s="89">
        <f t="shared" si="150"/>
        <v>0</v>
      </c>
      <c r="V376" s="89">
        <f t="shared" si="150"/>
        <v>0</v>
      </c>
      <c r="W376" s="91">
        <f t="shared" si="151"/>
        <v>0</v>
      </c>
      <c r="X376" s="87" t="str">
        <f t="shared" si="152"/>
        <v>ok</v>
      </c>
      <c r="Y376" s="203" t="str">
        <f t="shared" si="153"/>
        <v/>
      </c>
    </row>
    <row r="377" spans="1:25" ht="12" customHeight="1" x14ac:dyDescent="0.25">
      <c r="A377" s="86" t="s">
        <v>151</v>
      </c>
      <c r="D377" s="86" t="s">
        <v>87</v>
      </c>
      <c r="F377" s="89">
        <f t="shared" ref="F377:T377" si="154">SUM(F372:F376)</f>
        <v>0</v>
      </c>
      <c r="G377" s="89">
        <f t="shared" si="154"/>
        <v>0</v>
      </c>
      <c r="H377" s="89">
        <f t="shared" si="154"/>
        <v>0</v>
      </c>
      <c r="I377" s="89">
        <f>SUM(I372:I376)</f>
        <v>0</v>
      </c>
      <c r="J377" s="89">
        <f>SUM(J372:J376)</f>
        <v>0</v>
      </c>
      <c r="K377" s="89">
        <f>SUM(K372:K376)</f>
        <v>0</v>
      </c>
      <c r="L377" s="89">
        <f t="shared" si="154"/>
        <v>0</v>
      </c>
      <c r="M377" s="89">
        <f t="shared" si="154"/>
        <v>0</v>
      </c>
      <c r="N377" s="89">
        <f t="shared" si="154"/>
        <v>0</v>
      </c>
      <c r="O377" s="89">
        <f t="shared" si="154"/>
        <v>0</v>
      </c>
      <c r="P377" s="89">
        <f>SUM(P372:P376)</f>
        <v>0</v>
      </c>
      <c r="Q377" s="89">
        <f t="shared" si="154"/>
        <v>0</v>
      </c>
      <c r="R377" s="89">
        <f t="shared" si="154"/>
        <v>0</v>
      </c>
      <c r="S377" s="89">
        <f t="shared" si="154"/>
        <v>0</v>
      </c>
      <c r="T377" s="89">
        <f t="shared" si="154"/>
        <v>0</v>
      </c>
      <c r="U377" s="89">
        <f>SUM(U372:U376)</f>
        <v>0</v>
      </c>
      <c r="V377" s="89">
        <f>SUM(V372:V376)</f>
        <v>0</v>
      </c>
      <c r="W377" s="91">
        <f t="shared" si="151"/>
        <v>0</v>
      </c>
      <c r="X377" s="87" t="str">
        <f t="shared" si="152"/>
        <v>ok</v>
      </c>
      <c r="Y377" s="91" t="str">
        <f t="shared" si="153"/>
        <v/>
      </c>
    </row>
    <row r="378" spans="1:25" ht="12" customHeight="1" x14ac:dyDescent="0.25">
      <c r="F378" s="90"/>
    </row>
    <row r="379" spans="1:25" ht="12" customHeight="1" x14ac:dyDescent="0.25">
      <c r="A379" s="23" t="s">
        <v>791</v>
      </c>
      <c r="F379" s="90"/>
    </row>
    <row r="380" spans="1:25" ht="12" customHeight="1" x14ac:dyDescent="0.25">
      <c r="A380" s="96" t="s">
        <v>389</v>
      </c>
      <c r="C380" s="86" t="s">
        <v>66</v>
      </c>
      <c r="D380" s="86" t="s">
        <v>88</v>
      </c>
      <c r="E380" s="86" t="s">
        <v>2179</v>
      </c>
      <c r="F380" s="89">
        <f>VLOOKUP(C380,'WSS-29'!$C$1:$AU$617,24,)</f>
        <v>0</v>
      </c>
      <c r="G380" s="89">
        <f t="shared" ref="G380:V381" si="155">IF(VLOOKUP($E380,$D$5:$V$977,3,)=0,0,(VLOOKUP($E380,$D$5:$V$977,G$1,)/VLOOKUP($E380,$D$5:$V$977,3,))*$F380)</f>
        <v>0</v>
      </c>
      <c r="H380" s="89">
        <f t="shared" si="155"/>
        <v>0</v>
      </c>
      <c r="I380" s="89">
        <f t="shared" si="155"/>
        <v>0</v>
      </c>
      <c r="J380" s="89">
        <f t="shared" si="155"/>
        <v>0</v>
      </c>
      <c r="K380" s="89">
        <f t="shared" si="155"/>
        <v>0</v>
      </c>
      <c r="L380" s="89">
        <f t="shared" si="155"/>
        <v>0</v>
      </c>
      <c r="M380" s="89">
        <f t="shared" si="155"/>
        <v>0</v>
      </c>
      <c r="N380" s="89">
        <f t="shared" si="155"/>
        <v>0</v>
      </c>
      <c r="O380" s="89">
        <f t="shared" si="155"/>
        <v>0</v>
      </c>
      <c r="P380" s="89">
        <f t="shared" si="155"/>
        <v>0</v>
      </c>
      <c r="Q380" s="89">
        <f t="shared" si="155"/>
        <v>0</v>
      </c>
      <c r="R380" s="89">
        <f t="shared" si="155"/>
        <v>0</v>
      </c>
      <c r="S380" s="89">
        <f t="shared" si="155"/>
        <v>0</v>
      </c>
      <c r="T380" s="89">
        <f t="shared" si="155"/>
        <v>0</v>
      </c>
      <c r="U380" s="89">
        <f t="shared" si="155"/>
        <v>0</v>
      </c>
      <c r="V380" s="89">
        <f t="shared" si="155"/>
        <v>0</v>
      </c>
      <c r="W380" s="91">
        <f>SUM(G380:V380)</f>
        <v>0</v>
      </c>
      <c r="X380" s="87" t="str">
        <f>IF(ABS(F380-W380)&lt;0.01,"ok","err")</f>
        <v>ok</v>
      </c>
      <c r="Y380" s="203" t="str">
        <f>IF(X380="err",W380-F380,"")</f>
        <v/>
      </c>
    </row>
    <row r="381" spans="1:25" ht="12" customHeight="1" x14ac:dyDescent="0.25">
      <c r="A381" s="96" t="s">
        <v>392</v>
      </c>
      <c r="C381" s="86" t="s">
        <v>66</v>
      </c>
      <c r="D381" s="86" t="s">
        <v>89</v>
      </c>
      <c r="E381" s="86" t="s">
        <v>2178</v>
      </c>
      <c r="F381" s="90">
        <f>VLOOKUP(C381,'WSS-29'!$C$1:$AU$617,25,)</f>
        <v>0</v>
      </c>
      <c r="G381" s="89">
        <f t="shared" si="155"/>
        <v>0</v>
      </c>
      <c r="H381" s="89">
        <f t="shared" si="155"/>
        <v>0</v>
      </c>
      <c r="I381" s="89">
        <f t="shared" si="155"/>
        <v>0</v>
      </c>
      <c r="J381" s="89">
        <f t="shared" si="155"/>
        <v>0</v>
      </c>
      <c r="K381" s="89">
        <f t="shared" si="155"/>
        <v>0</v>
      </c>
      <c r="L381" s="89">
        <f t="shared" si="155"/>
        <v>0</v>
      </c>
      <c r="M381" s="89">
        <f t="shared" si="155"/>
        <v>0</v>
      </c>
      <c r="N381" s="89">
        <f t="shared" si="155"/>
        <v>0</v>
      </c>
      <c r="O381" s="89">
        <f t="shared" si="155"/>
        <v>0</v>
      </c>
      <c r="P381" s="89">
        <f t="shared" si="155"/>
        <v>0</v>
      </c>
      <c r="Q381" s="89">
        <f t="shared" si="155"/>
        <v>0</v>
      </c>
      <c r="R381" s="89">
        <f t="shared" si="155"/>
        <v>0</v>
      </c>
      <c r="S381" s="89">
        <f t="shared" si="155"/>
        <v>0</v>
      </c>
      <c r="T381" s="89">
        <f t="shared" si="155"/>
        <v>0</v>
      </c>
      <c r="U381" s="89">
        <f t="shared" si="155"/>
        <v>0</v>
      </c>
      <c r="V381" s="89">
        <f t="shared" si="155"/>
        <v>0</v>
      </c>
      <c r="W381" s="91">
        <f>SUM(G381:V381)</f>
        <v>0</v>
      </c>
      <c r="X381" s="87" t="str">
        <f>IF(ABS(F381-W381)&lt;0.01,"ok","err")</f>
        <v>ok</v>
      </c>
      <c r="Y381" s="203" t="str">
        <f>IF(X381="err",W381-F381,"")</f>
        <v/>
      </c>
    </row>
    <row r="382" spans="1:25" ht="12" customHeight="1" x14ac:dyDescent="0.25">
      <c r="A382" s="86" t="s">
        <v>1469</v>
      </c>
      <c r="D382" s="86" t="s">
        <v>90</v>
      </c>
      <c r="F382" s="89">
        <f t="shared" ref="F382:T382" si="156">F380+F381</f>
        <v>0</v>
      </c>
      <c r="G382" s="89">
        <f t="shared" si="156"/>
        <v>0</v>
      </c>
      <c r="H382" s="89">
        <f t="shared" si="156"/>
        <v>0</v>
      </c>
      <c r="I382" s="89">
        <f>I380+I381</f>
        <v>0</v>
      </c>
      <c r="J382" s="89">
        <f>J380+J381</f>
        <v>0</v>
      </c>
      <c r="K382" s="89">
        <f>K380+K381</f>
        <v>0</v>
      </c>
      <c r="L382" s="89">
        <f t="shared" si="156"/>
        <v>0</v>
      </c>
      <c r="M382" s="89">
        <f t="shared" si="156"/>
        <v>0</v>
      </c>
      <c r="N382" s="89">
        <f t="shared" si="156"/>
        <v>0</v>
      </c>
      <c r="O382" s="89">
        <f t="shared" si="156"/>
        <v>0</v>
      </c>
      <c r="P382" s="89">
        <f>P380+P381</f>
        <v>0</v>
      </c>
      <c r="Q382" s="89">
        <f t="shared" si="156"/>
        <v>0</v>
      </c>
      <c r="R382" s="89">
        <f t="shared" si="156"/>
        <v>0</v>
      </c>
      <c r="S382" s="89">
        <f t="shared" si="156"/>
        <v>0</v>
      </c>
      <c r="T382" s="89">
        <f t="shared" si="156"/>
        <v>0</v>
      </c>
      <c r="U382" s="89">
        <f>U380+U381</f>
        <v>0</v>
      </c>
      <c r="V382" s="89">
        <f>V380+V381</f>
        <v>0</v>
      </c>
      <c r="W382" s="91">
        <f>SUM(G382:V382)</f>
        <v>0</v>
      </c>
      <c r="X382" s="87" t="str">
        <f>IF(ABS(F382-W382)&lt;0.01,"ok","err")</f>
        <v>ok</v>
      </c>
      <c r="Y382" s="91" t="str">
        <f>IF(X382="err",W382-F382,"")</f>
        <v/>
      </c>
    </row>
    <row r="383" spans="1:25" ht="12" customHeight="1" x14ac:dyDescent="0.25">
      <c r="F383" s="90"/>
    </row>
    <row r="384" spans="1:25" ht="12" customHeight="1" x14ac:dyDescent="0.25">
      <c r="A384" s="23" t="s">
        <v>128</v>
      </c>
      <c r="F384" s="90"/>
    </row>
    <row r="385" spans="1:25" ht="12" customHeight="1" x14ac:dyDescent="0.25">
      <c r="A385" s="96" t="s">
        <v>392</v>
      </c>
      <c r="C385" s="86" t="s">
        <v>66</v>
      </c>
      <c r="D385" s="86" t="s">
        <v>91</v>
      </c>
      <c r="E385" s="86" t="s">
        <v>393</v>
      </c>
      <c r="F385" s="89">
        <f>VLOOKUP(C385,'WSS-29'!$C$1:$AU$617,26,)</f>
        <v>0</v>
      </c>
      <c r="G385" s="89">
        <f t="shared" ref="G385:V385" si="157">IF(VLOOKUP($E385,$D$5:$V$977,3,)=0,0,(VLOOKUP($E385,$D$5:$V$977,G$1,)/VLOOKUP($E385,$D$5:$V$977,3,))*$F385)</f>
        <v>0</v>
      </c>
      <c r="H385" s="89">
        <f t="shared" si="157"/>
        <v>0</v>
      </c>
      <c r="I385" s="89">
        <f t="shared" si="157"/>
        <v>0</v>
      </c>
      <c r="J385" s="89">
        <f t="shared" si="157"/>
        <v>0</v>
      </c>
      <c r="K385" s="89">
        <f t="shared" si="157"/>
        <v>0</v>
      </c>
      <c r="L385" s="89">
        <f t="shared" si="157"/>
        <v>0</v>
      </c>
      <c r="M385" s="89">
        <f t="shared" si="157"/>
        <v>0</v>
      </c>
      <c r="N385" s="89">
        <f t="shared" si="157"/>
        <v>0</v>
      </c>
      <c r="O385" s="89">
        <f t="shared" si="157"/>
        <v>0</v>
      </c>
      <c r="P385" s="89">
        <f t="shared" si="157"/>
        <v>0</v>
      </c>
      <c r="Q385" s="89">
        <f t="shared" si="157"/>
        <v>0</v>
      </c>
      <c r="R385" s="89">
        <f t="shared" si="157"/>
        <v>0</v>
      </c>
      <c r="S385" s="89">
        <f t="shared" si="157"/>
        <v>0</v>
      </c>
      <c r="T385" s="89">
        <f t="shared" si="157"/>
        <v>0</v>
      </c>
      <c r="U385" s="89">
        <f t="shared" si="157"/>
        <v>0</v>
      </c>
      <c r="V385" s="89">
        <f t="shared" si="157"/>
        <v>0</v>
      </c>
      <c r="W385" s="91">
        <f>SUM(G385:V385)</f>
        <v>0</v>
      </c>
      <c r="X385" s="87" t="str">
        <f>IF(ABS(F385-W385)&lt;0.01,"ok","err")</f>
        <v>ok</v>
      </c>
      <c r="Y385" s="203" t="str">
        <f>IF(X385="err",W385-F385,"")</f>
        <v/>
      </c>
    </row>
    <row r="386" spans="1:25" ht="12" customHeight="1" x14ac:dyDescent="0.25">
      <c r="F386" s="90"/>
    </row>
    <row r="387" spans="1:25" ht="12" customHeight="1" x14ac:dyDescent="0.25">
      <c r="A387" s="23" t="s">
        <v>127</v>
      </c>
      <c r="F387" s="90"/>
    </row>
    <row r="388" spans="1:25" ht="12" customHeight="1" x14ac:dyDescent="0.25">
      <c r="A388" s="96" t="s">
        <v>392</v>
      </c>
      <c r="C388" s="86" t="s">
        <v>66</v>
      </c>
      <c r="D388" s="86" t="s">
        <v>92</v>
      </c>
      <c r="E388" s="86" t="s">
        <v>394</v>
      </c>
      <c r="F388" s="89">
        <f>VLOOKUP(C388,'WSS-29'!$C$1:$AU$617,27,)</f>
        <v>0</v>
      </c>
      <c r="G388" s="89">
        <f t="shared" ref="G388:V388" si="158">IF(VLOOKUP($E388,$D$5:$V$977,3,)=0,0,(VLOOKUP($E388,$D$5:$V$977,G$1,)/VLOOKUP($E388,$D$5:$V$977,3,))*$F388)</f>
        <v>0</v>
      </c>
      <c r="H388" s="89">
        <f t="shared" si="158"/>
        <v>0</v>
      </c>
      <c r="I388" s="89">
        <f t="shared" si="158"/>
        <v>0</v>
      </c>
      <c r="J388" s="89">
        <f t="shared" si="158"/>
        <v>0</v>
      </c>
      <c r="K388" s="89">
        <f t="shared" si="158"/>
        <v>0</v>
      </c>
      <c r="L388" s="89">
        <f t="shared" si="158"/>
        <v>0</v>
      </c>
      <c r="M388" s="89">
        <f t="shared" si="158"/>
        <v>0</v>
      </c>
      <c r="N388" s="89">
        <f t="shared" si="158"/>
        <v>0</v>
      </c>
      <c r="O388" s="89">
        <f t="shared" si="158"/>
        <v>0</v>
      </c>
      <c r="P388" s="89">
        <f t="shared" si="158"/>
        <v>0</v>
      </c>
      <c r="Q388" s="89">
        <f t="shared" si="158"/>
        <v>0</v>
      </c>
      <c r="R388" s="89">
        <f t="shared" si="158"/>
        <v>0</v>
      </c>
      <c r="S388" s="89">
        <f t="shared" si="158"/>
        <v>0</v>
      </c>
      <c r="T388" s="89">
        <f t="shared" si="158"/>
        <v>0</v>
      </c>
      <c r="U388" s="89">
        <f t="shared" si="158"/>
        <v>0</v>
      </c>
      <c r="V388" s="89">
        <f t="shared" si="158"/>
        <v>0</v>
      </c>
      <c r="W388" s="91">
        <f>SUM(G388:V388)</f>
        <v>0</v>
      </c>
      <c r="X388" s="87" t="str">
        <f>IF(ABS(F388-W388)&lt;0.01,"ok","err")</f>
        <v>ok</v>
      </c>
      <c r="Y388" s="203" t="str">
        <f>IF(X388="err",W388-F388,"")</f>
        <v/>
      </c>
    </row>
    <row r="389" spans="1:25" ht="12" customHeight="1" x14ac:dyDescent="0.25">
      <c r="F389" s="90"/>
    </row>
    <row r="390" spans="1:25" ht="12" customHeight="1" x14ac:dyDescent="0.25">
      <c r="A390" s="23" t="s">
        <v>144</v>
      </c>
      <c r="F390" s="90"/>
    </row>
    <row r="391" spans="1:25" ht="12" customHeight="1" x14ac:dyDescent="0.25">
      <c r="A391" s="96" t="s">
        <v>392</v>
      </c>
      <c r="C391" s="86" t="s">
        <v>66</v>
      </c>
      <c r="D391" s="86" t="s">
        <v>93</v>
      </c>
      <c r="E391" s="86" t="s">
        <v>395</v>
      </c>
      <c r="F391" s="89">
        <f>VLOOKUP(C391,'WSS-29'!$C$1:$AU$617,28,)</f>
        <v>0</v>
      </c>
      <c r="G391" s="89">
        <f t="shared" ref="G391:V391" si="159">IF(VLOOKUP($E391,$D$5:$V$977,3,)=0,0,(VLOOKUP($E391,$D$5:$V$977,G$1,)/VLOOKUP($E391,$D$5:$V$977,3,))*$F391)</f>
        <v>0</v>
      </c>
      <c r="H391" s="89">
        <f t="shared" si="159"/>
        <v>0</v>
      </c>
      <c r="I391" s="89">
        <f t="shared" si="159"/>
        <v>0</v>
      </c>
      <c r="J391" s="89">
        <f t="shared" si="159"/>
        <v>0</v>
      </c>
      <c r="K391" s="89">
        <f t="shared" si="159"/>
        <v>0</v>
      </c>
      <c r="L391" s="89">
        <f t="shared" si="159"/>
        <v>0</v>
      </c>
      <c r="M391" s="89">
        <f t="shared" si="159"/>
        <v>0</v>
      </c>
      <c r="N391" s="89">
        <f t="shared" si="159"/>
        <v>0</v>
      </c>
      <c r="O391" s="89">
        <f t="shared" si="159"/>
        <v>0</v>
      </c>
      <c r="P391" s="89">
        <f t="shared" si="159"/>
        <v>0</v>
      </c>
      <c r="Q391" s="89">
        <f t="shared" si="159"/>
        <v>0</v>
      </c>
      <c r="R391" s="89">
        <f t="shared" si="159"/>
        <v>0</v>
      </c>
      <c r="S391" s="89">
        <f t="shared" si="159"/>
        <v>0</v>
      </c>
      <c r="T391" s="89">
        <f t="shared" si="159"/>
        <v>0</v>
      </c>
      <c r="U391" s="89">
        <f t="shared" si="159"/>
        <v>0</v>
      </c>
      <c r="V391" s="89">
        <f t="shared" si="159"/>
        <v>0</v>
      </c>
      <c r="W391" s="91">
        <f>SUM(G391:V391)</f>
        <v>0</v>
      </c>
      <c r="X391" s="87" t="str">
        <f>IF(ABS(F391-W391)&lt;0.01,"ok","err")</f>
        <v>ok</v>
      </c>
      <c r="Y391" s="203" t="str">
        <f>IF(X391="err",W391-F391,"")</f>
        <v/>
      </c>
    </row>
    <row r="392" spans="1:25" ht="12" customHeight="1" x14ac:dyDescent="0.25">
      <c r="F392" s="90"/>
    </row>
    <row r="393" spans="1:25" ht="12" customHeight="1" x14ac:dyDescent="0.25">
      <c r="A393" s="23" t="s">
        <v>292</v>
      </c>
      <c r="F393" s="90"/>
    </row>
    <row r="394" spans="1:25" ht="12" customHeight="1" x14ac:dyDescent="0.25">
      <c r="A394" s="96" t="s">
        <v>392</v>
      </c>
      <c r="C394" s="86" t="s">
        <v>66</v>
      </c>
      <c r="D394" s="86" t="s">
        <v>94</v>
      </c>
      <c r="E394" s="86" t="s">
        <v>396</v>
      </c>
      <c r="F394" s="89">
        <f>VLOOKUP(C394,'WSS-29'!$C$1:$AU$617,30,)</f>
        <v>0</v>
      </c>
      <c r="G394" s="89">
        <f t="shared" ref="G394:V394" si="160">IF(VLOOKUP($E394,$D$5:$V$977,3,)=0,0,(VLOOKUP($E394,$D$5:$V$977,G$1,)/VLOOKUP($E394,$D$5:$V$977,3,))*$F394)</f>
        <v>0</v>
      </c>
      <c r="H394" s="89">
        <f t="shared" si="160"/>
        <v>0</v>
      </c>
      <c r="I394" s="89">
        <f t="shared" si="160"/>
        <v>0</v>
      </c>
      <c r="J394" s="89">
        <f t="shared" si="160"/>
        <v>0</v>
      </c>
      <c r="K394" s="89">
        <f t="shared" si="160"/>
        <v>0</v>
      </c>
      <c r="L394" s="89">
        <f t="shared" si="160"/>
        <v>0</v>
      </c>
      <c r="M394" s="89">
        <f t="shared" si="160"/>
        <v>0</v>
      </c>
      <c r="N394" s="89">
        <f t="shared" si="160"/>
        <v>0</v>
      </c>
      <c r="O394" s="89">
        <f t="shared" si="160"/>
        <v>0</v>
      </c>
      <c r="P394" s="89">
        <f t="shared" si="160"/>
        <v>0</v>
      </c>
      <c r="Q394" s="89">
        <f t="shared" si="160"/>
        <v>0</v>
      </c>
      <c r="R394" s="89">
        <f t="shared" si="160"/>
        <v>0</v>
      </c>
      <c r="S394" s="89">
        <f t="shared" si="160"/>
        <v>0</v>
      </c>
      <c r="T394" s="89">
        <f t="shared" si="160"/>
        <v>0</v>
      </c>
      <c r="U394" s="89">
        <f t="shared" si="160"/>
        <v>0</v>
      </c>
      <c r="V394" s="89">
        <f t="shared" si="160"/>
        <v>0</v>
      </c>
      <c r="W394" s="91">
        <f>SUM(G394:V394)</f>
        <v>0</v>
      </c>
      <c r="X394" s="87" t="str">
        <f>IF(ABS(F394-W394)&lt;0.01,"ok","err")</f>
        <v>ok</v>
      </c>
      <c r="Y394" s="203" t="str">
        <f>IF(X394="err",W394-F394,"")</f>
        <v/>
      </c>
    </row>
    <row r="395" spans="1:25" ht="12" customHeight="1" x14ac:dyDescent="0.25">
      <c r="F395" s="90"/>
    </row>
    <row r="396" spans="1:25" ht="12" customHeight="1" x14ac:dyDescent="0.25">
      <c r="A396" s="23" t="s">
        <v>1631</v>
      </c>
      <c r="F396" s="90"/>
    </row>
    <row r="397" spans="1:25" ht="12" customHeight="1" x14ac:dyDescent="0.25">
      <c r="A397" s="96" t="s">
        <v>392</v>
      </c>
      <c r="C397" s="86" t="s">
        <v>66</v>
      </c>
      <c r="D397" s="86" t="s">
        <v>95</v>
      </c>
      <c r="E397" s="86" t="s">
        <v>396</v>
      </c>
      <c r="F397" s="89">
        <f>VLOOKUP(C397,'WSS-29'!$C$1:$AU$617,32,)</f>
        <v>0</v>
      </c>
      <c r="G397" s="89">
        <f t="shared" ref="G397:V397" si="161">IF(VLOOKUP($E397,$D$5:$V$977,3,)=0,0,(VLOOKUP($E397,$D$5:$V$977,G$1,)/VLOOKUP($E397,$D$5:$V$977,3,))*$F397)</f>
        <v>0</v>
      </c>
      <c r="H397" s="89">
        <f t="shared" si="161"/>
        <v>0</v>
      </c>
      <c r="I397" s="89">
        <f t="shared" si="161"/>
        <v>0</v>
      </c>
      <c r="J397" s="89">
        <f t="shared" si="161"/>
        <v>0</v>
      </c>
      <c r="K397" s="89">
        <f t="shared" si="161"/>
        <v>0</v>
      </c>
      <c r="L397" s="89">
        <f t="shared" si="161"/>
        <v>0</v>
      </c>
      <c r="M397" s="89">
        <f t="shared" si="161"/>
        <v>0</v>
      </c>
      <c r="N397" s="89">
        <f t="shared" si="161"/>
        <v>0</v>
      </c>
      <c r="O397" s="89">
        <f t="shared" si="161"/>
        <v>0</v>
      </c>
      <c r="P397" s="89">
        <f t="shared" si="161"/>
        <v>0</v>
      </c>
      <c r="Q397" s="89">
        <f t="shared" si="161"/>
        <v>0</v>
      </c>
      <c r="R397" s="89">
        <f t="shared" si="161"/>
        <v>0</v>
      </c>
      <c r="S397" s="89">
        <f t="shared" si="161"/>
        <v>0</v>
      </c>
      <c r="T397" s="89">
        <f t="shared" si="161"/>
        <v>0</v>
      </c>
      <c r="U397" s="89">
        <f t="shared" si="161"/>
        <v>0</v>
      </c>
      <c r="V397" s="89">
        <f t="shared" si="161"/>
        <v>0</v>
      </c>
      <c r="W397" s="91">
        <f>SUM(G397:V397)</f>
        <v>0</v>
      </c>
      <c r="X397" s="87" t="str">
        <f>IF(ABS(F397-W397)&lt;0.01,"ok","err")</f>
        <v>ok</v>
      </c>
      <c r="Y397" s="203" t="str">
        <f>IF(X397="err",W397-F397,"")</f>
        <v/>
      </c>
    </row>
    <row r="398" spans="1:25" ht="12" customHeight="1" x14ac:dyDescent="0.25">
      <c r="F398" s="90"/>
    </row>
    <row r="399" spans="1:25" ht="12" customHeight="1" x14ac:dyDescent="0.25">
      <c r="A399" s="23" t="s">
        <v>1630</v>
      </c>
      <c r="F399" s="90"/>
    </row>
    <row r="400" spans="1:25" ht="12" customHeight="1" x14ac:dyDescent="0.25">
      <c r="A400" s="96" t="s">
        <v>392</v>
      </c>
      <c r="C400" s="86" t="s">
        <v>66</v>
      </c>
      <c r="D400" s="86" t="s">
        <v>1684</v>
      </c>
      <c r="E400" s="86" t="s">
        <v>397</v>
      </c>
      <c r="F400" s="89">
        <f>VLOOKUP(C400,'WSS-29'!$C$1:$AU$617,34,)</f>
        <v>0</v>
      </c>
      <c r="G400" s="89">
        <f t="shared" ref="G400:V400" si="162">IF(VLOOKUP($E400,$D$5:$V$977,3,)=0,0,(VLOOKUP($E400,$D$5:$V$977,G$1,)/VLOOKUP($E400,$D$5:$V$977,3,))*$F400)</f>
        <v>0</v>
      </c>
      <c r="H400" s="89">
        <f t="shared" si="162"/>
        <v>0</v>
      </c>
      <c r="I400" s="89">
        <f t="shared" si="162"/>
        <v>0</v>
      </c>
      <c r="J400" s="89">
        <f t="shared" si="162"/>
        <v>0</v>
      </c>
      <c r="K400" s="89">
        <f t="shared" si="162"/>
        <v>0</v>
      </c>
      <c r="L400" s="89">
        <f t="shared" si="162"/>
        <v>0</v>
      </c>
      <c r="M400" s="89">
        <f t="shared" si="162"/>
        <v>0</v>
      </c>
      <c r="N400" s="89">
        <f t="shared" si="162"/>
        <v>0</v>
      </c>
      <c r="O400" s="89">
        <f t="shared" si="162"/>
        <v>0</v>
      </c>
      <c r="P400" s="89">
        <f t="shared" si="162"/>
        <v>0</v>
      </c>
      <c r="Q400" s="89">
        <f t="shared" si="162"/>
        <v>0</v>
      </c>
      <c r="R400" s="89">
        <f t="shared" si="162"/>
        <v>0</v>
      </c>
      <c r="S400" s="89">
        <f t="shared" si="162"/>
        <v>0</v>
      </c>
      <c r="T400" s="89">
        <f t="shared" si="162"/>
        <v>0</v>
      </c>
      <c r="U400" s="89">
        <f t="shared" si="162"/>
        <v>0</v>
      </c>
      <c r="V400" s="89">
        <f t="shared" si="162"/>
        <v>0</v>
      </c>
      <c r="W400" s="91">
        <f>SUM(G400:V400)</f>
        <v>0</v>
      </c>
      <c r="X400" s="87" t="str">
        <f>IF(ABS(F400-W400)&lt;0.01,"ok","err")</f>
        <v>ok</v>
      </c>
      <c r="Y400" s="203" t="str">
        <f>IF(X400="err",W400-F400,"")</f>
        <v/>
      </c>
    </row>
    <row r="401" spans="1:25" ht="12" customHeight="1" x14ac:dyDescent="0.25">
      <c r="F401" s="90"/>
    </row>
    <row r="402" spans="1:25" ht="12" customHeight="1" x14ac:dyDescent="0.25">
      <c r="A402" s="86" t="s">
        <v>62</v>
      </c>
      <c r="D402" s="86" t="s">
        <v>96</v>
      </c>
      <c r="F402" s="89">
        <f>F357+F363+F366+F369+F377+F382+F385+F388+F391+F394+F397+F400</f>
        <v>0</v>
      </c>
      <c r="G402" s="89">
        <f t="shared" ref="G402:T402" si="163">G357+G363+G366+G369+G377+G382+G385+G388+G391+G394+G397+G400</f>
        <v>0</v>
      </c>
      <c r="H402" s="89">
        <f t="shared" si="163"/>
        <v>0</v>
      </c>
      <c r="I402" s="89">
        <f>I357+I363+I366+I369+I377+I382+I385+I388+I391+I394+I397+I400</f>
        <v>0</v>
      </c>
      <c r="J402" s="89">
        <f>J357+J363+J366+J369+J377+J382+J385+J388+J391+J394+J397+J400</f>
        <v>0</v>
      </c>
      <c r="K402" s="89">
        <f>K357+K363+K366+K369+K377+K382+K385+K388+K391+K394+K397+K400</f>
        <v>0</v>
      </c>
      <c r="L402" s="89">
        <f t="shared" si="163"/>
        <v>0</v>
      </c>
      <c r="M402" s="89">
        <f t="shared" si="163"/>
        <v>0</v>
      </c>
      <c r="N402" s="89">
        <f t="shared" si="163"/>
        <v>0</v>
      </c>
      <c r="O402" s="89">
        <f>O357+O363+O366+O369+O377+O382+O385+O388+O391+O394+O397+O400</f>
        <v>0</v>
      </c>
      <c r="P402" s="89">
        <f>P357+P363+P366+P369+P377+P382+P385+P388+P391+P394+P397+P400</f>
        <v>0</v>
      </c>
      <c r="Q402" s="89">
        <f t="shared" si="163"/>
        <v>0</v>
      </c>
      <c r="R402" s="89">
        <f t="shared" si="163"/>
        <v>0</v>
      </c>
      <c r="S402" s="89">
        <f t="shared" si="163"/>
        <v>0</v>
      </c>
      <c r="T402" s="89">
        <f t="shared" si="163"/>
        <v>0</v>
      </c>
      <c r="U402" s="89">
        <f>U357+U363+U366+U369+U377+U382+U385+U388+U391+U394+U397+U400</f>
        <v>0</v>
      </c>
      <c r="V402" s="89">
        <f>V357+V363+V366+V369+V377+V382+V385+V388+V391+V394+V397+V400</f>
        <v>0</v>
      </c>
      <c r="W402" s="91">
        <f>SUM(G402:V402)</f>
        <v>0</v>
      </c>
      <c r="X402" s="87" t="str">
        <f>IF(ABS(F402-W402)&lt;0.01,"ok","err")</f>
        <v>ok</v>
      </c>
      <c r="Y402" s="91" t="str">
        <f>IF(X402="err",W402-F402,"")</f>
        <v/>
      </c>
    </row>
    <row r="405" spans="1:25" ht="12" customHeight="1" x14ac:dyDescent="0.25">
      <c r="A405" s="22" t="s">
        <v>373</v>
      </c>
    </row>
    <row r="407" spans="1:25" ht="12" customHeight="1" x14ac:dyDescent="0.25">
      <c r="A407" s="23" t="s">
        <v>137</v>
      </c>
    </row>
    <row r="408" spans="1:25" ht="12" customHeight="1" x14ac:dyDescent="0.25">
      <c r="A408" s="96" t="s">
        <v>2270</v>
      </c>
      <c r="C408" s="86" t="s">
        <v>374</v>
      </c>
      <c r="D408" s="86" t="s">
        <v>1687</v>
      </c>
      <c r="E408" s="86" t="s">
        <v>2406</v>
      </c>
      <c r="F408" s="89">
        <f>VLOOKUP(C408,'WSS-29'!$C$1:$AU$617,6,)</f>
        <v>22386637.187066048</v>
      </c>
      <c r="G408" s="89">
        <f t="shared" ref="G408:V413" si="164">IF(VLOOKUP($E408,$D$5:$V$977,3,)=0,0,(VLOOKUP($E408,$D$5:$V$977,G$1,)/VLOOKUP($E408,$D$5:$V$977,3,))*$F408)</f>
        <v>9185398.8008190319</v>
      </c>
      <c r="H408" s="89">
        <f t="shared" si="164"/>
        <v>2474035.6428035637</v>
      </c>
      <c r="I408" s="89">
        <f t="shared" si="164"/>
        <v>158752.10907573835</v>
      </c>
      <c r="J408" s="89">
        <f t="shared" si="164"/>
        <v>2307137.2684572889</v>
      </c>
      <c r="K408" s="89">
        <f t="shared" si="164"/>
        <v>100233.99766568925</v>
      </c>
      <c r="L408" s="89">
        <f t="shared" si="164"/>
        <v>2218835.0277515338</v>
      </c>
      <c r="M408" s="89">
        <f t="shared" si="164"/>
        <v>4061823.0843798686</v>
      </c>
      <c r="N408" s="89">
        <f t="shared" si="164"/>
        <v>1322184.5605631117</v>
      </c>
      <c r="O408" s="89">
        <f t="shared" si="164"/>
        <v>547514.80734531325</v>
      </c>
      <c r="P408" s="89">
        <f t="shared" si="164"/>
        <v>3568.7331869724867</v>
      </c>
      <c r="Q408" s="89">
        <f t="shared" si="164"/>
        <v>129.84149835359216</v>
      </c>
      <c r="R408" s="89">
        <f t="shared" si="164"/>
        <v>2123.2046145384375</v>
      </c>
      <c r="S408" s="89">
        <f t="shared" si="164"/>
        <v>273.29277923811571</v>
      </c>
      <c r="T408" s="89">
        <f t="shared" si="164"/>
        <v>18.480459624254351</v>
      </c>
      <c r="U408" s="89">
        <f t="shared" si="164"/>
        <v>4038.9486899610001</v>
      </c>
      <c r="V408" s="89">
        <f t="shared" si="164"/>
        <v>569.38697621906249</v>
      </c>
      <c r="W408" s="91">
        <f t="shared" ref="W408:W413" si="165">SUM(G408:V408)</f>
        <v>22386637.187066037</v>
      </c>
      <c r="X408" s="87" t="str">
        <f t="shared" ref="X408:X413" si="166">IF(ABS(F408-W408)&lt;0.01,"ok","err")</f>
        <v>ok</v>
      </c>
      <c r="Y408" s="203" t="str">
        <f t="shared" ref="Y408:Y413" si="167">IF(X408="err",W408-F408,"")</f>
        <v/>
      </c>
    </row>
    <row r="409" spans="1:25" ht="12" hidden="1" customHeight="1" x14ac:dyDescent="0.25">
      <c r="A409" s="96" t="s">
        <v>2271</v>
      </c>
      <c r="C409" s="86" t="s">
        <v>374</v>
      </c>
      <c r="D409" s="86" t="s">
        <v>1688</v>
      </c>
      <c r="E409" s="86" t="s">
        <v>2269</v>
      </c>
      <c r="F409" s="90">
        <f>VLOOKUP(C409,'WSS-29'!$C$1:$AU$617,7,)</f>
        <v>0</v>
      </c>
      <c r="G409" s="89">
        <f t="shared" si="164"/>
        <v>0</v>
      </c>
      <c r="H409" s="89">
        <f t="shared" si="164"/>
        <v>0</v>
      </c>
      <c r="I409" s="89">
        <f t="shared" si="164"/>
        <v>0</v>
      </c>
      <c r="J409" s="89">
        <f t="shared" si="164"/>
        <v>0</v>
      </c>
      <c r="K409" s="89">
        <f t="shared" si="164"/>
        <v>0</v>
      </c>
      <c r="L409" s="89">
        <f t="shared" si="164"/>
        <v>0</v>
      </c>
      <c r="M409" s="89">
        <f t="shared" si="164"/>
        <v>0</v>
      </c>
      <c r="N409" s="89">
        <f t="shared" si="164"/>
        <v>0</v>
      </c>
      <c r="O409" s="89">
        <f t="shared" si="164"/>
        <v>0</v>
      </c>
      <c r="P409" s="89">
        <f t="shared" si="164"/>
        <v>0</v>
      </c>
      <c r="Q409" s="89">
        <f t="shared" si="164"/>
        <v>0</v>
      </c>
      <c r="R409" s="89">
        <f t="shared" si="164"/>
        <v>0</v>
      </c>
      <c r="S409" s="89">
        <f t="shared" si="164"/>
        <v>0</v>
      </c>
      <c r="T409" s="89">
        <f t="shared" si="164"/>
        <v>0</v>
      </c>
      <c r="U409" s="89">
        <f t="shared" si="164"/>
        <v>0</v>
      </c>
      <c r="V409" s="89">
        <f t="shared" si="164"/>
        <v>0</v>
      </c>
      <c r="W409" s="91">
        <f t="shared" si="165"/>
        <v>0</v>
      </c>
      <c r="X409" s="87" t="str">
        <f t="shared" si="166"/>
        <v>ok</v>
      </c>
      <c r="Y409" s="203" t="str">
        <f t="shared" si="167"/>
        <v/>
      </c>
    </row>
    <row r="410" spans="1:25" ht="12" hidden="1" customHeight="1" x14ac:dyDescent="0.25">
      <c r="A410" s="96" t="s">
        <v>2271</v>
      </c>
      <c r="C410" s="86" t="s">
        <v>374</v>
      </c>
      <c r="D410" s="86" t="s">
        <v>1689</v>
      </c>
      <c r="E410" s="86" t="s">
        <v>2269</v>
      </c>
      <c r="F410" s="90">
        <f>VLOOKUP(C410,'WSS-29'!$C$1:$AU$617,8,)</f>
        <v>0</v>
      </c>
      <c r="G410" s="89">
        <f t="shared" si="164"/>
        <v>0</v>
      </c>
      <c r="H410" s="89">
        <f t="shared" si="164"/>
        <v>0</v>
      </c>
      <c r="I410" s="89">
        <f t="shared" si="164"/>
        <v>0</v>
      </c>
      <c r="J410" s="89">
        <f t="shared" si="164"/>
        <v>0</v>
      </c>
      <c r="K410" s="89">
        <f t="shared" si="164"/>
        <v>0</v>
      </c>
      <c r="L410" s="89">
        <f t="shared" si="164"/>
        <v>0</v>
      </c>
      <c r="M410" s="89">
        <f t="shared" si="164"/>
        <v>0</v>
      </c>
      <c r="N410" s="89">
        <f t="shared" si="164"/>
        <v>0</v>
      </c>
      <c r="O410" s="89">
        <f t="shared" si="164"/>
        <v>0</v>
      </c>
      <c r="P410" s="89">
        <f t="shared" si="164"/>
        <v>0</v>
      </c>
      <c r="Q410" s="89">
        <f t="shared" si="164"/>
        <v>0</v>
      </c>
      <c r="R410" s="89">
        <f t="shared" si="164"/>
        <v>0</v>
      </c>
      <c r="S410" s="89">
        <f t="shared" si="164"/>
        <v>0</v>
      </c>
      <c r="T410" s="89">
        <f t="shared" si="164"/>
        <v>0</v>
      </c>
      <c r="U410" s="89">
        <f t="shared" si="164"/>
        <v>0</v>
      </c>
      <c r="V410" s="89">
        <f t="shared" si="164"/>
        <v>0</v>
      </c>
      <c r="W410" s="91">
        <f t="shared" si="165"/>
        <v>0</v>
      </c>
      <c r="X410" s="87" t="str">
        <f t="shared" si="166"/>
        <v>ok</v>
      </c>
      <c r="Y410" s="203" t="str">
        <f t="shared" si="167"/>
        <v/>
      </c>
    </row>
    <row r="411" spans="1:25" ht="12" customHeight="1" x14ac:dyDescent="0.25">
      <c r="A411" s="96" t="s">
        <v>2273</v>
      </c>
      <c r="C411" s="86" t="s">
        <v>374</v>
      </c>
      <c r="D411" s="86" t="s">
        <v>1690</v>
      </c>
      <c r="E411" s="86" t="s">
        <v>390</v>
      </c>
      <c r="F411" s="90">
        <f>VLOOKUP(C411,'WSS-29'!$C$1:$AU$617,9,)</f>
        <v>0</v>
      </c>
      <c r="G411" s="89">
        <f t="shared" si="164"/>
        <v>0</v>
      </c>
      <c r="H411" s="89">
        <f t="shared" si="164"/>
        <v>0</v>
      </c>
      <c r="I411" s="89">
        <f t="shared" si="164"/>
        <v>0</v>
      </c>
      <c r="J411" s="89">
        <f t="shared" si="164"/>
        <v>0</v>
      </c>
      <c r="K411" s="89">
        <f t="shared" si="164"/>
        <v>0</v>
      </c>
      <c r="L411" s="89">
        <f t="shared" si="164"/>
        <v>0</v>
      </c>
      <c r="M411" s="89">
        <f t="shared" si="164"/>
        <v>0</v>
      </c>
      <c r="N411" s="89">
        <f t="shared" si="164"/>
        <v>0</v>
      </c>
      <c r="O411" s="89">
        <f t="shared" si="164"/>
        <v>0</v>
      </c>
      <c r="P411" s="89">
        <f t="shared" si="164"/>
        <v>0</v>
      </c>
      <c r="Q411" s="89">
        <f t="shared" si="164"/>
        <v>0</v>
      </c>
      <c r="R411" s="89">
        <f t="shared" si="164"/>
        <v>0</v>
      </c>
      <c r="S411" s="89">
        <f t="shared" si="164"/>
        <v>0</v>
      </c>
      <c r="T411" s="89">
        <f t="shared" si="164"/>
        <v>0</v>
      </c>
      <c r="U411" s="89">
        <f t="shared" si="164"/>
        <v>0</v>
      </c>
      <c r="V411" s="89">
        <f t="shared" si="164"/>
        <v>0</v>
      </c>
      <c r="W411" s="91">
        <f t="shared" si="165"/>
        <v>0</v>
      </c>
      <c r="X411" s="87" t="str">
        <f t="shared" si="166"/>
        <v>ok</v>
      </c>
      <c r="Y411" s="203" t="str">
        <f t="shared" si="167"/>
        <v/>
      </c>
    </row>
    <row r="412" spans="1:25" ht="12" hidden="1" customHeight="1" x14ac:dyDescent="0.25">
      <c r="A412" s="96" t="s">
        <v>2272</v>
      </c>
      <c r="C412" s="86" t="s">
        <v>374</v>
      </c>
      <c r="D412" s="86" t="s">
        <v>1691</v>
      </c>
      <c r="E412" s="86" t="s">
        <v>390</v>
      </c>
      <c r="F412" s="90">
        <f>VLOOKUP(C412,'WSS-29'!$C$1:$AU$617,10,)</f>
        <v>0</v>
      </c>
      <c r="G412" s="89">
        <f t="shared" si="164"/>
        <v>0</v>
      </c>
      <c r="H412" s="89">
        <f t="shared" si="164"/>
        <v>0</v>
      </c>
      <c r="I412" s="89">
        <f t="shared" si="164"/>
        <v>0</v>
      </c>
      <c r="J412" s="89">
        <f t="shared" si="164"/>
        <v>0</v>
      </c>
      <c r="K412" s="89">
        <f t="shared" si="164"/>
        <v>0</v>
      </c>
      <c r="L412" s="89">
        <f t="shared" si="164"/>
        <v>0</v>
      </c>
      <c r="M412" s="89">
        <f t="shared" si="164"/>
        <v>0</v>
      </c>
      <c r="N412" s="89">
        <f t="shared" si="164"/>
        <v>0</v>
      </c>
      <c r="O412" s="89">
        <f t="shared" si="164"/>
        <v>0</v>
      </c>
      <c r="P412" s="89">
        <f t="shared" si="164"/>
        <v>0</v>
      </c>
      <c r="Q412" s="89">
        <f t="shared" si="164"/>
        <v>0</v>
      </c>
      <c r="R412" s="89">
        <f t="shared" si="164"/>
        <v>0</v>
      </c>
      <c r="S412" s="89">
        <f t="shared" si="164"/>
        <v>0</v>
      </c>
      <c r="T412" s="89">
        <f t="shared" si="164"/>
        <v>0</v>
      </c>
      <c r="U412" s="89">
        <f t="shared" si="164"/>
        <v>0</v>
      </c>
      <c r="V412" s="89">
        <f t="shared" si="164"/>
        <v>0</v>
      </c>
      <c r="W412" s="91">
        <f t="shared" si="165"/>
        <v>0</v>
      </c>
      <c r="X412" s="87" t="str">
        <f t="shared" si="166"/>
        <v>ok</v>
      </c>
      <c r="Y412" s="203" t="str">
        <f t="shared" si="167"/>
        <v/>
      </c>
    </row>
    <row r="413" spans="1:25" ht="12" hidden="1" customHeight="1" x14ac:dyDescent="0.25">
      <c r="A413" s="96" t="s">
        <v>2272</v>
      </c>
      <c r="C413" s="86" t="s">
        <v>374</v>
      </c>
      <c r="D413" s="86" t="s">
        <v>1692</v>
      </c>
      <c r="E413" s="86" t="s">
        <v>390</v>
      </c>
      <c r="F413" s="90">
        <f>VLOOKUP(C413,'WSS-29'!$C$1:$AU$617,11,)</f>
        <v>0</v>
      </c>
      <c r="G413" s="89">
        <f t="shared" si="164"/>
        <v>0</v>
      </c>
      <c r="H413" s="89">
        <f t="shared" si="164"/>
        <v>0</v>
      </c>
      <c r="I413" s="89">
        <f t="shared" si="164"/>
        <v>0</v>
      </c>
      <c r="J413" s="89">
        <f t="shared" si="164"/>
        <v>0</v>
      </c>
      <c r="K413" s="89">
        <f t="shared" si="164"/>
        <v>0</v>
      </c>
      <c r="L413" s="89">
        <f t="shared" si="164"/>
        <v>0</v>
      </c>
      <c r="M413" s="89">
        <f t="shared" si="164"/>
        <v>0</v>
      </c>
      <c r="N413" s="89">
        <f t="shared" si="164"/>
        <v>0</v>
      </c>
      <c r="O413" s="89">
        <f t="shared" si="164"/>
        <v>0</v>
      </c>
      <c r="P413" s="89">
        <f t="shared" si="164"/>
        <v>0</v>
      </c>
      <c r="Q413" s="89">
        <f t="shared" si="164"/>
        <v>0</v>
      </c>
      <c r="R413" s="89">
        <f t="shared" si="164"/>
        <v>0</v>
      </c>
      <c r="S413" s="89">
        <f t="shared" si="164"/>
        <v>0</v>
      </c>
      <c r="T413" s="89">
        <f t="shared" si="164"/>
        <v>0</v>
      </c>
      <c r="U413" s="89">
        <f t="shared" si="164"/>
        <v>0</v>
      </c>
      <c r="V413" s="89">
        <f t="shared" si="164"/>
        <v>0</v>
      </c>
      <c r="W413" s="91">
        <f t="shared" si="165"/>
        <v>0</v>
      </c>
      <c r="X413" s="87" t="str">
        <f t="shared" si="166"/>
        <v>ok</v>
      </c>
      <c r="Y413" s="203" t="str">
        <f t="shared" si="167"/>
        <v/>
      </c>
    </row>
    <row r="414" spans="1:25" ht="12" customHeight="1" x14ac:dyDescent="0.25">
      <c r="A414" s="86" t="s">
        <v>160</v>
      </c>
      <c r="D414" s="86" t="s">
        <v>1693</v>
      </c>
      <c r="F414" s="89">
        <f t="shared" ref="F414:T414" si="168">SUM(F408:F413)</f>
        <v>22386637.187066048</v>
      </c>
      <c r="G414" s="89">
        <f t="shared" si="168"/>
        <v>9185398.8008190319</v>
      </c>
      <c r="H414" s="89">
        <f t="shared" si="168"/>
        <v>2474035.6428035637</v>
      </c>
      <c r="I414" s="89">
        <f>SUM(I408:I413)</f>
        <v>158752.10907573835</v>
      </c>
      <c r="J414" s="89">
        <f>SUM(J408:J413)</f>
        <v>2307137.2684572889</v>
      </c>
      <c r="K414" s="89">
        <f>SUM(K408:K413)</f>
        <v>100233.99766568925</v>
      </c>
      <c r="L414" s="89">
        <f t="shared" si="168"/>
        <v>2218835.0277515338</v>
      </c>
      <c r="M414" s="89">
        <f t="shared" si="168"/>
        <v>4061823.0843798686</v>
      </c>
      <c r="N414" s="89">
        <f t="shared" si="168"/>
        <v>1322184.5605631117</v>
      </c>
      <c r="O414" s="89">
        <f t="shared" si="168"/>
        <v>547514.80734531325</v>
      </c>
      <c r="P414" s="89">
        <f>SUM(P408:P413)</f>
        <v>3568.7331869724867</v>
      </c>
      <c r="Q414" s="89">
        <f t="shared" si="168"/>
        <v>129.84149835359216</v>
      </c>
      <c r="R414" s="89">
        <f t="shared" si="168"/>
        <v>2123.2046145384375</v>
      </c>
      <c r="S414" s="89">
        <f t="shared" si="168"/>
        <v>273.29277923811571</v>
      </c>
      <c r="T414" s="89">
        <f t="shared" si="168"/>
        <v>18.480459624254351</v>
      </c>
      <c r="U414" s="89">
        <f>SUM(U408:U413)</f>
        <v>4038.9486899610001</v>
      </c>
      <c r="V414" s="89">
        <f>SUM(V408:V413)</f>
        <v>569.38697621906249</v>
      </c>
      <c r="W414" s="91">
        <f>SUM(G414:V414)</f>
        <v>22386637.187066037</v>
      </c>
      <c r="X414" s="87" t="str">
        <f>IF(ABS(F414-W414)&lt;0.01,"ok","err")</f>
        <v>ok</v>
      </c>
      <c r="Y414" s="91" t="str">
        <f>IF(X414="err",W414-F414,"")</f>
        <v/>
      </c>
    </row>
    <row r="415" spans="1:25" ht="12" customHeight="1" x14ac:dyDescent="0.25">
      <c r="F415" s="90"/>
      <c r="G415" s="90"/>
    </row>
    <row r="416" spans="1:25" ht="12" customHeight="1" x14ac:dyDescent="0.25">
      <c r="A416" s="23" t="s">
        <v>441</v>
      </c>
      <c r="F416" s="90"/>
      <c r="G416" s="90"/>
    </row>
    <row r="417" spans="1:25" ht="12" customHeight="1" x14ac:dyDescent="0.25">
      <c r="A417" s="96" t="s">
        <v>2249</v>
      </c>
      <c r="C417" s="86" t="s">
        <v>374</v>
      </c>
      <c r="D417" s="86" t="s">
        <v>1694</v>
      </c>
      <c r="E417" s="86" t="s">
        <v>2250</v>
      </c>
      <c r="F417" s="89">
        <f>VLOOKUP(C417,'WSS-29'!$C$1:$AU$617,13,)</f>
        <v>5118215.0658043763</v>
      </c>
      <c r="G417" s="89">
        <f t="shared" ref="G417:V419" si="169">IF(VLOOKUP($E417,$D$5:$V$977,3,)=0,0,(VLOOKUP($E417,$D$5:$V$977,G$1,)/VLOOKUP($E417,$D$5:$V$977,3,))*$F417)</f>
        <v>2263003.90321923</v>
      </c>
      <c r="H417" s="89">
        <f t="shared" si="169"/>
        <v>580866.49961477832</v>
      </c>
      <c r="I417" s="89">
        <f t="shared" si="169"/>
        <v>59448.370479695281</v>
      </c>
      <c r="J417" s="89">
        <f t="shared" si="169"/>
        <v>518183.66414273635</v>
      </c>
      <c r="K417" s="89">
        <f t="shared" si="169"/>
        <v>22266.774998399113</v>
      </c>
      <c r="L417" s="89">
        <f t="shared" si="169"/>
        <v>458418.87880727084</v>
      </c>
      <c r="M417" s="89">
        <f t="shared" si="169"/>
        <v>746596.96474115935</v>
      </c>
      <c r="N417" s="89">
        <f t="shared" si="169"/>
        <v>258903.68729122542</v>
      </c>
      <c r="O417" s="89">
        <f t="shared" si="169"/>
        <v>173485.3292683404</v>
      </c>
      <c r="P417" s="89">
        <f t="shared" si="169"/>
        <v>34941.854185214484</v>
      </c>
      <c r="Q417" s="89">
        <f t="shared" si="169"/>
        <v>1271.2922106989608</v>
      </c>
      <c r="R417" s="89">
        <f t="shared" si="169"/>
        <v>342.51717267689031</v>
      </c>
      <c r="S417" s="89">
        <f t="shared" si="169"/>
        <v>482.32001105143269</v>
      </c>
      <c r="T417" s="89">
        <f t="shared" si="169"/>
        <v>3.0096618991641004</v>
      </c>
      <c r="U417" s="89">
        <f t="shared" si="169"/>
        <v>0</v>
      </c>
      <c r="V417" s="89">
        <f t="shared" si="169"/>
        <v>0</v>
      </c>
      <c r="W417" s="91">
        <f>SUM(G417:V417)</f>
        <v>5118215.0658043753</v>
      </c>
      <c r="X417" s="87" t="str">
        <f>IF(ABS(F417-W417)&lt;0.01,"ok","err")</f>
        <v>ok</v>
      </c>
      <c r="Y417" s="203" t="str">
        <f>IF(X417="err",W417-F417,"")</f>
        <v/>
      </c>
    </row>
    <row r="418" spans="1:25" ht="12" hidden="1" customHeight="1" x14ac:dyDescent="0.25">
      <c r="A418" s="96" t="s">
        <v>2248</v>
      </c>
      <c r="C418" s="86" t="s">
        <v>374</v>
      </c>
      <c r="D418" s="86" t="s">
        <v>1695</v>
      </c>
      <c r="E418" s="86" t="s">
        <v>2250</v>
      </c>
      <c r="F418" s="90">
        <f>VLOOKUP(C418,'WSS-29'!$C$1:$AU$617,14,)</f>
        <v>0</v>
      </c>
      <c r="G418" s="89">
        <f t="shared" si="169"/>
        <v>0</v>
      </c>
      <c r="H418" s="89">
        <f t="shared" si="169"/>
        <v>0</v>
      </c>
      <c r="I418" s="89">
        <f t="shared" si="169"/>
        <v>0</v>
      </c>
      <c r="J418" s="89">
        <f t="shared" si="169"/>
        <v>0</v>
      </c>
      <c r="K418" s="89">
        <f t="shared" si="169"/>
        <v>0</v>
      </c>
      <c r="L418" s="89">
        <f t="shared" si="169"/>
        <v>0</v>
      </c>
      <c r="M418" s="89">
        <f t="shared" si="169"/>
        <v>0</v>
      </c>
      <c r="N418" s="89">
        <f t="shared" si="169"/>
        <v>0</v>
      </c>
      <c r="O418" s="89">
        <f t="shared" si="169"/>
        <v>0</v>
      </c>
      <c r="P418" s="89">
        <f t="shared" si="169"/>
        <v>0</v>
      </c>
      <c r="Q418" s="89">
        <f t="shared" si="169"/>
        <v>0</v>
      </c>
      <c r="R418" s="89">
        <f t="shared" si="169"/>
        <v>0</v>
      </c>
      <c r="S418" s="89">
        <f t="shared" si="169"/>
        <v>0</v>
      </c>
      <c r="T418" s="89">
        <f t="shared" si="169"/>
        <v>0</v>
      </c>
      <c r="U418" s="89">
        <f t="shared" si="169"/>
        <v>0</v>
      </c>
      <c r="V418" s="89">
        <f t="shared" si="169"/>
        <v>0</v>
      </c>
      <c r="W418" s="91">
        <f>SUM(G418:V418)</f>
        <v>0</v>
      </c>
      <c r="X418" s="87" t="str">
        <f>IF(ABS(F418-W418)&lt;0.01,"ok","err")</f>
        <v>ok</v>
      </c>
      <c r="Y418" s="203" t="str">
        <f>IF(X418="err",W418-F418,"")</f>
        <v/>
      </c>
    </row>
    <row r="419" spans="1:25" ht="12" hidden="1" customHeight="1" x14ac:dyDescent="0.25">
      <c r="A419" s="96" t="s">
        <v>2248</v>
      </c>
      <c r="C419" s="86" t="s">
        <v>374</v>
      </c>
      <c r="D419" s="86" t="s">
        <v>1696</v>
      </c>
      <c r="E419" s="86" t="s">
        <v>2250</v>
      </c>
      <c r="F419" s="90">
        <f>VLOOKUP(C419,'WSS-29'!$C$1:$AU$617,15,)</f>
        <v>0</v>
      </c>
      <c r="G419" s="89">
        <f t="shared" si="169"/>
        <v>0</v>
      </c>
      <c r="H419" s="89">
        <f t="shared" si="169"/>
        <v>0</v>
      </c>
      <c r="I419" s="89">
        <f t="shared" si="169"/>
        <v>0</v>
      </c>
      <c r="J419" s="89">
        <f t="shared" si="169"/>
        <v>0</v>
      </c>
      <c r="K419" s="89">
        <f t="shared" si="169"/>
        <v>0</v>
      </c>
      <c r="L419" s="89">
        <f t="shared" si="169"/>
        <v>0</v>
      </c>
      <c r="M419" s="89">
        <f t="shared" si="169"/>
        <v>0</v>
      </c>
      <c r="N419" s="89">
        <f t="shared" si="169"/>
        <v>0</v>
      </c>
      <c r="O419" s="89">
        <f t="shared" si="169"/>
        <v>0</v>
      </c>
      <c r="P419" s="89">
        <f t="shared" si="169"/>
        <v>0</v>
      </c>
      <c r="Q419" s="89">
        <f t="shared" si="169"/>
        <v>0</v>
      </c>
      <c r="R419" s="89">
        <f t="shared" si="169"/>
        <v>0</v>
      </c>
      <c r="S419" s="89">
        <f t="shared" si="169"/>
        <v>0</v>
      </c>
      <c r="T419" s="89">
        <f t="shared" si="169"/>
        <v>0</v>
      </c>
      <c r="U419" s="89">
        <f t="shared" si="169"/>
        <v>0</v>
      </c>
      <c r="V419" s="89">
        <f t="shared" si="169"/>
        <v>0</v>
      </c>
      <c r="W419" s="91">
        <f>SUM(G419:V419)</f>
        <v>0</v>
      </c>
      <c r="X419" s="87" t="str">
        <f>IF(ABS(F419-W419)&lt;0.01,"ok","err")</f>
        <v>ok</v>
      </c>
      <c r="Y419" s="203" t="str">
        <f>IF(X419="err",W419-F419,"")</f>
        <v/>
      </c>
    </row>
    <row r="420" spans="1:25" ht="12" hidden="1" customHeight="1" x14ac:dyDescent="0.25">
      <c r="A420" s="86" t="s">
        <v>443</v>
      </c>
      <c r="D420" s="86" t="s">
        <v>1697</v>
      </c>
      <c r="F420" s="89">
        <f t="shared" ref="F420:T420" si="170">SUM(F417:F419)</f>
        <v>5118215.0658043763</v>
      </c>
      <c r="G420" s="89">
        <f t="shared" si="170"/>
        <v>2263003.90321923</v>
      </c>
      <c r="H420" s="89">
        <f t="shared" si="170"/>
        <v>580866.49961477832</v>
      </c>
      <c r="I420" s="89">
        <f>SUM(I417:I419)</f>
        <v>59448.370479695281</v>
      </c>
      <c r="J420" s="89">
        <f>SUM(J417:J419)</f>
        <v>518183.66414273635</v>
      </c>
      <c r="K420" s="89">
        <f>SUM(K417:K419)</f>
        <v>22266.774998399113</v>
      </c>
      <c r="L420" s="89">
        <f t="shared" si="170"/>
        <v>458418.87880727084</v>
      </c>
      <c r="M420" s="89">
        <f t="shared" si="170"/>
        <v>746596.96474115935</v>
      </c>
      <c r="N420" s="89">
        <f t="shared" si="170"/>
        <v>258903.68729122542</v>
      </c>
      <c r="O420" s="89">
        <f t="shared" si="170"/>
        <v>173485.3292683404</v>
      </c>
      <c r="P420" s="89">
        <f>SUM(P417:P419)</f>
        <v>34941.854185214484</v>
      </c>
      <c r="Q420" s="89">
        <f t="shared" si="170"/>
        <v>1271.2922106989608</v>
      </c>
      <c r="R420" s="89">
        <f t="shared" si="170"/>
        <v>342.51717267689031</v>
      </c>
      <c r="S420" s="89">
        <f t="shared" si="170"/>
        <v>482.32001105143269</v>
      </c>
      <c r="T420" s="89">
        <f t="shared" si="170"/>
        <v>3.0096618991641004</v>
      </c>
      <c r="U420" s="89">
        <f>SUM(U417:U419)</f>
        <v>0</v>
      </c>
      <c r="V420" s="89">
        <f>SUM(V417:V419)</f>
        <v>0</v>
      </c>
      <c r="W420" s="91">
        <f>SUM(G420:V420)</f>
        <v>5118215.0658043753</v>
      </c>
      <c r="X420" s="87" t="str">
        <f>IF(ABS(F420-W420)&lt;0.01,"ok","err")</f>
        <v>ok</v>
      </c>
      <c r="Y420" s="91" t="str">
        <f>IF(X420="err",W420-F420,"")</f>
        <v/>
      </c>
    </row>
    <row r="421" spans="1:25" ht="12" customHeight="1" x14ac:dyDescent="0.25">
      <c r="F421" s="90"/>
      <c r="G421" s="90"/>
    </row>
    <row r="422" spans="1:25" ht="12" customHeight="1" x14ac:dyDescent="0.25">
      <c r="A422" s="23" t="s">
        <v>1628</v>
      </c>
      <c r="F422" s="90"/>
      <c r="G422" s="90"/>
    </row>
    <row r="423" spans="1:25" ht="12" customHeight="1" x14ac:dyDescent="0.25">
      <c r="A423" s="96" t="s">
        <v>145</v>
      </c>
      <c r="C423" s="86" t="s">
        <v>374</v>
      </c>
      <c r="D423" s="86" t="s">
        <v>1698</v>
      </c>
      <c r="E423" s="86" t="s">
        <v>2254</v>
      </c>
      <c r="F423" s="89">
        <f>VLOOKUP(C423,'WSS-29'!$C$1:$AU$617,17,)</f>
        <v>0</v>
      </c>
      <c r="G423" s="89">
        <f t="shared" ref="G423:V423" si="171">IF(VLOOKUP($E423,$D$5:$V$977,3,)=0,0,(VLOOKUP($E423,$D$5:$V$977,G$1,)/VLOOKUP($E423,$D$5:$V$977,3,))*$F423)</f>
        <v>0</v>
      </c>
      <c r="H423" s="89">
        <f t="shared" si="171"/>
        <v>0</v>
      </c>
      <c r="I423" s="89">
        <f t="shared" si="171"/>
        <v>0</v>
      </c>
      <c r="J423" s="89">
        <f t="shared" si="171"/>
        <v>0</v>
      </c>
      <c r="K423" s="89">
        <f t="shared" si="171"/>
        <v>0</v>
      </c>
      <c r="L423" s="89">
        <f t="shared" si="171"/>
        <v>0</v>
      </c>
      <c r="M423" s="89">
        <f t="shared" si="171"/>
        <v>0</v>
      </c>
      <c r="N423" s="89">
        <f t="shared" si="171"/>
        <v>0</v>
      </c>
      <c r="O423" s="89">
        <f t="shared" si="171"/>
        <v>0</v>
      </c>
      <c r="P423" s="89">
        <f t="shared" si="171"/>
        <v>0</v>
      </c>
      <c r="Q423" s="89">
        <f t="shared" si="171"/>
        <v>0</v>
      </c>
      <c r="R423" s="89">
        <f t="shared" si="171"/>
        <v>0</v>
      </c>
      <c r="S423" s="89">
        <f t="shared" si="171"/>
        <v>0</v>
      </c>
      <c r="T423" s="89">
        <f t="shared" si="171"/>
        <v>0</v>
      </c>
      <c r="U423" s="89">
        <f t="shared" si="171"/>
        <v>0</v>
      </c>
      <c r="V423" s="89">
        <f t="shared" si="171"/>
        <v>0</v>
      </c>
      <c r="W423" s="91">
        <f>SUM(G423:V423)</f>
        <v>0</v>
      </c>
      <c r="X423" s="87" t="str">
        <f>IF(ABS(F423-W423)&lt;0.01,"ok","err")</f>
        <v>ok</v>
      </c>
      <c r="Y423" s="203" t="str">
        <f>IF(X423="err",W423-F423,"")</f>
        <v/>
      </c>
    </row>
    <row r="424" spans="1:25" ht="12" customHeight="1" x14ac:dyDescent="0.25">
      <c r="F424" s="90"/>
    </row>
    <row r="425" spans="1:25" ht="12" customHeight="1" x14ac:dyDescent="0.25">
      <c r="A425" s="23" t="s">
        <v>1629</v>
      </c>
      <c r="F425" s="90"/>
      <c r="G425" s="90"/>
    </row>
    <row r="426" spans="1:25" ht="12" customHeight="1" x14ac:dyDescent="0.25">
      <c r="A426" s="96" t="s">
        <v>147</v>
      </c>
      <c r="C426" s="86" t="s">
        <v>374</v>
      </c>
      <c r="D426" s="86" t="s">
        <v>1699</v>
      </c>
      <c r="E426" s="86" t="s">
        <v>2254</v>
      </c>
      <c r="F426" s="89">
        <f>VLOOKUP(C426,'WSS-29'!$C$1:$AU$617,18,)</f>
        <v>1318249.3758783769</v>
      </c>
      <c r="G426" s="89">
        <f t="shared" ref="G426:V426" si="172">IF(VLOOKUP($E426,$D$5:$V$977,3,)=0,0,(VLOOKUP($E426,$D$5:$V$977,G$1,)/VLOOKUP($E426,$D$5:$V$977,3,))*$F426)</f>
        <v>636644.09469699953</v>
      </c>
      <c r="H426" s="89">
        <f t="shared" si="172"/>
        <v>163413.42861185531</v>
      </c>
      <c r="I426" s="89">
        <f t="shared" si="172"/>
        <v>16724.431606776128</v>
      </c>
      <c r="J426" s="89">
        <f t="shared" si="172"/>
        <v>145779.05467844318</v>
      </c>
      <c r="K426" s="89">
        <f t="shared" si="172"/>
        <v>6264.2449668387862</v>
      </c>
      <c r="L426" s="89">
        <f t="shared" si="172"/>
        <v>128965.60703015076</v>
      </c>
      <c r="M426" s="89">
        <f t="shared" si="172"/>
        <v>210037.88285340683</v>
      </c>
      <c r="N426" s="89">
        <f t="shared" si="172"/>
        <v>0</v>
      </c>
      <c r="O426" s="89">
        <f t="shared" si="172"/>
        <v>0</v>
      </c>
      <c r="P426" s="89">
        <f t="shared" si="172"/>
        <v>9830.0869446734614</v>
      </c>
      <c r="Q426" s="89">
        <f t="shared" si="172"/>
        <v>357.64882129652239</v>
      </c>
      <c r="R426" s="89">
        <f t="shared" si="172"/>
        <v>96.359327974137315</v>
      </c>
      <c r="S426" s="89">
        <f t="shared" si="172"/>
        <v>135.68964081470207</v>
      </c>
      <c r="T426" s="89">
        <f t="shared" si="172"/>
        <v>0.84669914727573459</v>
      </c>
      <c r="U426" s="89">
        <f t="shared" si="172"/>
        <v>0</v>
      </c>
      <c r="V426" s="89">
        <f t="shared" si="172"/>
        <v>0</v>
      </c>
      <c r="W426" s="91">
        <f>SUM(G426:V426)</f>
        <v>1318249.3758783764</v>
      </c>
      <c r="X426" s="87" t="str">
        <f>IF(ABS(F426-W426)&lt;0.01,"ok","err")</f>
        <v>ok</v>
      </c>
      <c r="Y426" s="203" t="str">
        <f>IF(X426="err",W426-F426,"")</f>
        <v/>
      </c>
    </row>
    <row r="427" spans="1:25" ht="12" customHeight="1" x14ac:dyDescent="0.25">
      <c r="F427" s="90"/>
    </row>
    <row r="428" spans="1:25" ht="12" customHeight="1" x14ac:dyDescent="0.25">
      <c r="A428" s="23" t="s">
        <v>146</v>
      </c>
      <c r="F428" s="90"/>
    </row>
    <row r="429" spans="1:25" ht="12" customHeight="1" x14ac:dyDescent="0.25">
      <c r="A429" s="96" t="s">
        <v>792</v>
      </c>
      <c r="C429" s="86" t="s">
        <v>374</v>
      </c>
      <c r="D429" s="86" t="s">
        <v>1700</v>
      </c>
      <c r="E429" s="86" t="s">
        <v>2254</v>
      </c>
      <c r="F429" s="89">
        <f>VLOOKUP(C429,'WSS-29'!$C$1:$AU$617,19,)</f>
        <v>0</v>
      </c>
      <c r="G429" s="89">
        <f t="shared" ref="G429:V433" si="173">IF(VLOOKUP($E429,$D$5:$V$977,3,)=0,0,(VLOOKUP($E429,$D$5:$V$977,G$1,)/VLOOKUP($E429,$D$5:$V$977,3,))*$F429)</f>
        <v>0</v>
      </c>
      <c r="H429" s="89">
        <f t="shared" si="173"/>
        <v>0</v>
      </c>
      <c r="I429" s="89">
        <f t="shared" si="173"/>
        <v>0</v>
      </c>
      <c r="J429" s="89">
        <f t="shared" si="173"/>
        <v>0</v>
      </c>
      <c r="K429" s="89">
        <f t="shared" si="173"/>
        <v>0</v>
      </c>
      <c r="L429" s="89">
        <f t="shared" si="173"/>
        <v>0</v>
      </c>
      <c r="M429" s="89">
        <f t="shared" si="173"/>
        <v>0</v>
      </c>
      <c r="N429" s="89">
        <f t="shared" si="173"/>
        <v>0</v>
      </c>
      <c r="O429" s="89">
        <f t="shared" si="173"/>
        <v>0</v>
      </c>
      <c r="P429" s="89">
        <f t="shared" si="173"/>
        <v>0</v>
      </c>
      <c r="Q429" s="89">
        <f t="shared" si="173"/>
        <v>0</v>
      </c>
      <c r="R429" s="89">
        <f t="shared" si="173"/>
        <v>0</v>
      </c>
      <c r="S429" s="89">
        <f t="shared" si="173"/>
        <v>0</v>
      </c>
      <c r="T429" s="89">
        <f t="shared" si="173"/>
        <v>0</v>
      </c>
      <c r="U429" s="89">
        <f t="shared" si="173"/>
        <v>0</v>
      </c>
      <c r="V429" s="89">
        <f t="shared" si="173"/>
        <v>0</v>
      </c>
      <c r="W429" s="91">
        <f t="shared" ref="W429:W434" si="174">SUM(G429:V429)</f>
        <v>0</v>
      </c>
      <c r="X429" s="87" t="str">
        <f t="shared" ref="X429:X434" si="175">IF(ABS(F429-W429)&lt;0.01,"ok","err")</f>
        <v>ok</v>
      </c>
      <c r="Y429" s="203" t="str">
        <f t="shared" ref="Y429:Y434" si="176">IF(X429="err",W429-F429,"")</f>
        <v/>
      </c>
    </row>
    <row r="430" spans="1:25" ht="12" customHeight="1" x14ac:dyDescent="0.25">
      <c r="A430" s="96" t="s">
        <v>793</v>
      </c>
      <c r="C430" s="86" t="s">
        <v>374</v>
      </c>
      <c r="D430" s="86" t="s">
        <v>1701</v>
      </c>
      <c r="E430" s="86" t="s">
        <v>2254</v>
      </c>
      <c r="F430" s="90">
        <f>VLOOKUP(C430,'WSS-29'!$C$1:$AU$617,20,)</f>
        <v>1048474.0265655699</v>
      </c>
      <c r="G430" s="89">
        <f t="shared" si="173"/>
        <v>506356.99866072973</v>
      </c>
      <c r="H430" s="89">
        <f t="shared" si="173"/>
        <v>129971.41407891308</v>
      </c>
      <c r="I430" s="89">
        <f t="shared" si="173"/>
        <v>13301.83231612989</v>
      </c>
      <c r="J430" s="89">
        <f t="shared" si="173"/>
        <v>115945.85610616014</v>
      </c>
      <c r="K430" s="89">
        <f t="shared" si="173"/>
        <v>4982.2880738314334</v>
      </c>
      <c r="L430" s="89">
        <f t="shared" si="173"/>
        <v>102573.22458527786</v>
      </c>
      <c r="M430" s="89">
        <f t="shared" si="173"/>
        <v>167054.32886693557</v>
      </c>
      <c r="N430" s="89">
        <f t="shared" si="173"/>
        <v>0</v>
      </c>
      <c r="O430" s="89">
        <f t="shared" si="173"/>
        <v>0</v>
      </c>
      <c r="P430" s="89">
        <f t="shared" si="173"/>
        <v>7818.3923534983123</v>
      </c>
      <c r="Q430" s="89">
        <f t="shared" si="173"/>
        <v>284.45717981951191</v>
      </c>
      <c r="R430" s="89">
        <f t="shared" si="173"/>
        <v>76.639712065767185</v>
      </c>
      <c r="S430" s="89">
        <f t="shared" si="173"/>
        <v>107.92120722487056</v>
      </c>
      <c r="T430" s="89">
        <f t="shared" si="173"/>
        <v>0.67342498352582414</v>
      </c>
      <c r="U430" s="89">
        <f t="shared" si="173"/>
        <v>0</v>
      </c>
      <c r="V430" s="89">
        <f t="shared" si="173"/>
        <v>0</v>
      </c>
      <c r="W430" s="91">
        <f t="shared" si="174"/>
        <v>1048474.0265655696</v>
      </c>
      <c r="X430" s="87" t="str">
        <f t="shared" si="175"/>
        <v>ok</v>
      </c>
      <c r="Y430" s="203" t="str">
        <f t="shared" si="176"/>
        <v/>
      </c>
    </row>
    <row r="431" spans="1:25" ht="12" customHeight="1" x14ac:dyDescent="0.25">
      <c r="A431" s="96" t="s">
        <v>794</v>
      </c>
      <c r="C431" s="86" t="s">
        <v>374</v>
      </c>
      <c r="D431" s="86" t="s">
        <v>1702</v>
      </c>
      <c r="E431" s="86" t="s">
        <v>905</v>
      </c>
      <c r="F431" s="90">
        <f>VLOOKUP(C431,'WSS-29'!$C$1:$AU$617,21,)</f>
        <v>2037987.2798859379</v>
      </c>
      <c r="G431" s="89">
        <f t="shared" si="173"/>
        <v>1637145.0430209346</v>
      </c>
      <c r="H431" s="89">
        <f t="shared" si="173"/>
        <v>306390.56486032309</v>
      </c>
      <c r="I431" s="89">
        <f t="shared" si="173"/>
        <v>1569.2597543097338</v>
      </c>
      <c r="J431" s="89">
        <f t="shared" si="173"/>
        <v>16436.515492663981</v>
      </c>
      <c r="K431" s="89">
        <f t="shared" si="173"/>
        <v>755.02120254524925</v>
      </c>
      <c r="L431" s="89">
        <f t="shared" si="173"/>
        <v>2835.0305938708871</v>
      </c>
      <c r="M431" s="89">
        <f t="shared" si="173"/>
        <v>947.47758750776381</v>
      </c>
      <c r="N431" s="89">
        <f t="shared" si="173"/>
        <v>0</v>
      </c>
      <c r="O431" s="89">
        <f t="shared" si="173"/>
        <v>0</v>
      </c>
      <c r="P431" s="89">
        <f t="shared" si="173"/>
        <v>71264.378701023408</v>
      </c>
      <c r="Q431" s="89">
        <f t="shared" si="173"/>
        <v>44.413011914426427</v>
      </c>
      <c r="R431" s="89">
        <f t="shared" si="173"/>
        <v>547.76048027792592</v>
      </c>
      <c r="S431" s="89">
        <f t="shared" si="173"/>
        <v>14.80433730480881</v>
      </c>
      <c r="T431" s="89">
        <f t="shared" si="173"/>
        <v>37.010843262022021</v>
      </c>
      <c r="U431" s="89">
        <f t="shared" si="173"/>
        <v>0</v>
      </c>
      <c r="V431" s="89">
        <f t="shared" si="173"/>
        <v>0</v>
      </c>
      <c r="W431" s="91">
        <f t="shared" si="174"/>
        <v>2037987.2798859377</v>
      </c>
      <c r="X431" s="87" t="str">
        <f t="shared" si="175"/>
        <v>ok</v>
      </c>
      <c r="Y431" s="203" t="str">
        <f t="shared" si="176"/>
        <v/>
      </c>
    </row>
    <row r="432" spans="1:25" ht="12" customHeight="1" x14ac:dyDescent="0.25">
      <c r="A432" s="96" t="s">
        <v>795</v>
      </c>
      <c r="C432" s="86" t="s">
        <v>374</v>
      </c>
      <c r="D432" s="86" t="s">
        <v>1703</v>
      </c>
      <c r="E432" s="86" t="s">
        <v>734</v>
      </c>
      <c r="F432" s="90">
        <f>VLOOKUP(C432,'WSS-29'!$C$1:$AU$617,22,)</f>
        <v>472006.9664932639</v>
      </c>
      <c r="G432" s="89">
        <f t="shared" si="173"/>
        <v>390950.63670136064</v>
      </c>
      <c r="H432" s="89">
        <f t="shared" si="173"/>
        <v>72927.526287388973</v>
      </c>
      <c r="I432" s="89">
        <f t="shared" si="173"/>
        <v>5286.1718233922675</v>
      </c>
      <c r="J432" s="89">
        <f t="shared" si="173"/>
        <v>0</v>
      </c>
      <c r="K432" s="89">
        <f t="shared" si="173"/>
        <v>0</v>
      </c>
      <c r="L432" s="89">
        <f t="shared" si="173"/>
        <v>0</v>
      </c>
      <c r="M432" s="89">
        <f t="shared" si="173"/>
        <v>0</v>
      </c>
      <c r="N432" s="89">
        <f t="shared" si="173"/>
        <v>0</v>
      </c>
      <c r="O432" s="89">
        <f t="shared" si="173"/>
        <v>0</v>
      </c>
      <c r="P432" s="89">
        <f t="shared" si="173"/>
        <v>2716.9153836031755</v>
      </c>
      <c r="Q432" s="89">
        <f t="shared" si="173"/>
        <v>98.849744664221078</v>
      </c>
      <c r="R432" s="89">
        <f t="shared" si="173"/>
        <v>26.632535602185769</v>
      </c>
      <c r="S432" s="89">
        <f t="shared" si="173"/>
        <v>0</v>
      </c>
      <c r="T432" s="89">
        <f t="shared" si="173"/>
        <v>0.23401725248866045</v>
      </c>
      <c r="U432" s="89">
        <f t="shared" si="173"/>
        <v>0</v>
      </c>
      <c r="V432" s="89">
        <f t="shared" si="173"/>
        <v>0</v>
      </c>
      <c r="W432" s="91">
        <f t="shared" si="174"/>
        <v>472006.96649326402</v>
      </c>
      <c r="X432" s="87" t="str">
        <f t="shared" si="175"/>
        <v>ok</v>
      </c>
      <c r="Y432" s="203" t="str">
        <f t="shared" si="176"/>
        <v/>
      </c>
    </row>
    <row r="433" spans="1:25" ht="12" customHeight="1" x14ac:dyDescent="0.25">
      <c r="A433" s="96" t="s">
        <v>796</v>
      </c>
      <c r="C433" s="86" t="s">
        <v>374</v>
      </c>
      <c r="D433" s="86" t="s">
        <v>1704</v>
      </c>
      <c r="E433" s="86" t="s">
        <v>904</v>
      </c>
      <c r="F433" s="90">
        <f>VLOOKUP(C433,'WSS-29'!$C$1:$AU$617,23,)</f>
        <v>952864.83095633471</v>
      </c>
      <c r="G433" s="89">
        <f t="shared" si="173"/>
        <v>766090.25866686355</v>
      </c>
      <c r="H433" s="89">
        <f t="shared" si="173"/>
        <v>143373.26316171116</v>
      </c>
      <c r="I433" s="89">
        <f t="shared" si="173"/>
        <v>734.32382562530836</v>
      </c>
      <c r="J433" s="89">
        <f t="shared" si="173"/>
        <v>7691.3493150990435</v>
      </c>
      <c r="K433" s="89">
        <f t="shared" si="173"/>
        <v>0</v>
      </c>
      <c r="L433" s="89">
        <f t="shared" si="173"/>
        <v>1326.6321944079864</v>
      </c>
      <c r="M433" s="89">
        <f t="shared" si="173"/>
        <v>0</v>
      </c>
      <c r="N433" s="89">
        <f t="shared" si="173"/>
        <v>0</v>
      </c>
      <c r="O433" s="89">
        <f t="shared" si="173"/>
        <v>0</v>
      </c>
      <c r="P433" s="89">
        <f t="shared" si="173"/>
        <v>33347.653920790835</v>
      </c>
      <c r="Q433" s="89">
        <f t="shared" si="173"/>
        <v>20.782749781848352</v>
      </c>
      <c r="R433" s="89">
        <f t="shared" si="173"/>
        <v>256.32058064279636</v>
      </c>
      <c r="S433" s="89">
        <f t="shared" si="173"/>
        <v>6.9275832606161165</v>
      </c>
      <c r="T433" s="89">
        <f t="shared" si="173"/>
        <v>17.318958151540293</v>
      </c>
      <c r="U433" s="89">
        <f t="shared" si="173"/>
        <v>0</v>
      </c>
      <c r="V433" s="89">
        <f t="shared" si="173"/>
        <v>0</v>
      </c>
      <c r="W433" s="91">
        <f t="shared" si="174"/>
        <v>952864.83095633471</v>
      </c>
      <c r="X433" s="87" t="str">
        <f t="shared" si="175"/>
        <v>ok</v>
      </c>
      <c r="Y433" s="203" t="str">
        <f t="shared" si="176"/>
        <v/>
      </c>
    </row>
    <row r="434" spans="1:25" ht="12" customHeight="1" x14ac:dyDescent="0.25">
      <c r="A434" s="86" t="s">
        <v>151</v>
      </c>
      <c r="D434" s="86" t="s">
        <v>1705</v>
      </c>
      <c r="F434" s="89">
        <f>SUM(F429:F433)</f>
        <v>4511333.1039011069</v>
      </c>
      <c r="G434" s="89">
        <f t="shared" ref="G434:T434" si="177">SUM(G429:G433)</f>
        <v>3300542.9370498885</v>
      </c>
      <c r="H434" s="89">
        <f t="shared" si="177"/>
        <v>652662.76838833629</v>
      </c>
      <c r="I434" s="89">
        <f>SUM(I429:I433)</f>
        <v>20891.587719457202</v>
      </c>
      <c r="J434" s="89">
        <f>SUM(J429:J433)</f>
        <v>140073.72091392314</v>
      </c>
      <c r="K434" s="89">
        <f>SUM(K429:K433)</f>
        <v>5737.3092763766826</v>
      </c>
      <c r="L434" s="89">
        <f t="shared" si="177"/>
        <v>106734.88737355673</v>
      </c>
      <c r="M434" s="89">
        <f t="shared" si="177"/>
        <v>168001.80645444334</v>
      </c>
      <c r="N434" s="89">
        <f t="shared" si="177"/>
        <v>0</v>
      </c>
      <c r="O434" s="89">
        <f t="shared" si="177"/>
        <v>0</v>
      </c>
      <c r="P434" s="89">
        <f>SUM(P429:P433)</f>
        <v>115147.34035891574</v>
      </c>
      <c r="Q434" s="89">
        <f t="shared" si="177"/>
        <v>448.50268618000774</v>
      </c>
      <c r="R434" s="89">
        <f t="shared" si="177"/>
        <v>907.35330858867519</v>
      </c>
      <c r="S434" s="89">
        <f t="shared" si="177"/>
        <v>129.65312779029549</v>
      </c>
      <c r="T434" s="89">
        <f t="shared" si="177"/>
        <v>55.237243649576804</v>
      </c>
      <c r="U434" s="89">
        <f>SUM(U429:U433)</f>
        <v>0</v>
      </c>
      <c r="V434" s="89">
        <f>SUM(V429:V433)</f>
        <v>0</v>
      </c>
      <c r="W434" s="91">
        <f t="shared" si="174"/>
        <v>4511333.1039011059</v>
      </c>
      <c r="X434" s="87" t="str">
        <f t="shared" si="175"/>
        <v>ok</v>
      </c>
      <c r="Y434" s="91" t="str">
        <f t="shared" si="176"/>
        <v/>
      </c>
    </row>
    <row r="435" spans="1:25" ht="12" customHeight="1" x14ac:dyDescent="0.25">
      <c r="F435" s="90"/>
    </row>
    <row r="436" spans="1:25" ht="12" customHeight="1" x14ac:dyDescent="0.25">
      <c r="A436" s="23" t="s">
        <v>791</v>
      </c>
      <c r="F436" s="90"/>
    </row>
    <row r="437" spans="1:25" ht="12" customHeight="1" x14ac:dyDescent="0.25">
      <c r="A437" s="96" t="s">
        <v>389</v>
      </c>
      <c r="C437" s="86" t="s">
        <v>374</v>
      </c>
      <c r="D437" s="86" t="s">
        <v>1706</v>
      </c>
      <c r="E437" s="86" t="s">
        <v>2179</v>
      </c>
      <c r="F437" s="89">
        <f>VLOOKUP(C437,'WSS-29'!$C$1:$AU$617,24,)</f>
        <v>688060.74552669446</v>
      </c>
      <c r="G437" s="89">
        <f t="shared" ref="G437:V438" si="178">IF(VLOOKUP($E437,$D$5:$V$977,3,)=0,0,(VLOOKUP($E437,$D$5:$V$977,G$1,)/VLOOKUP($E437,$D$5:$V$977,3,))*$F437)</f>
        <v>470328.67123835132</v>
      </c>
      <c r="H437" s="89">
        <f t="shared" si="178"/>
        <v>87734.62252127906</v>
      </c>
      <c r="I437" s="89">
        <f t="shared" si="178"/>
        <v>6359.4682710106063</v>
      </c>
      <c r="J437" s="89">
        <f t="shared" si="178"/>
        <v>64820.503159392509</v>
      </c>
      <c r="K437" s="89">
        <f t="shared" si="178"/>
        <v>0</v>
      </c>
      <c r="L437" s="89">
        <f t="shared" si="178"/>
        <v>55320.853327559329</v>
      </c>
      <c r="M437" s="89">
        <f t="shared" si="178"/>
        <v>0</v>
      </c>
      <c r="N437" s="89">
        <f t="shared" si="178"/>
        <v>0</v>
      </c>
      <c r="O437" s="89">
        <f t="shared" si="178"/>
        <v>0</v>
      </c>
      <c r="P437" s="89">
        <f t="shared" si="178"/>
        <v>3268.5538333404379</v>
      </c>
      <c r="Q437" s="89">
        <f t="shared" si="178"/>
        <v>118.92004947849111</v>
      </c>
      <c r="R437" s="89">
        <f t="shared" si="178"/>
        <v>32.039965933224742</v>
      </c>
      <c r="S437" s="89">
        <f t="shared" si="178"/>
        <v>76.831628582851408</v>
      </c>
      <c r="T437" s="89">
        <f t="shared" si="178"/>
        <v>0.28153176661512358</v>
      </c>
      <c r="U437" s="89">
        <f t="shared" si="178"/>
        <v>0</v>
      </c>
      <c r="V437" s="89">
        <f t="shared" si="178"/>
        <v>0</v>
      </c>
      <c r="W437" s="91">
        <f>SUM(G437:V437)</f>
        <v>688060.74552669446</v>
      </c>
      <c r="X437" s="87" t="str">
        <f>IF(ABS(F437-W437)&lt;0.01,"ok","err")</f>
        <v>ok</v>
      </c>
      <c r="Y437" s="203" t="str">
        <f>IF(X437="err",W437-F437,"")</f>
        <v/>
      </c>
    </row>
    <row r="438" spans="1:25" ht="12" customHeight="1" x14ac:dyDescent="0.25">
      <c r="A438" s="96" t="s">
        <v>392</v>
      </c>
      <c r="C438" s="86" t="s">
        <v>374</v>
      </c>
      <c r="D438" s="86" t="s">
        <v>1707</v>
      </c>
      <c r="E438" s="86" t="s">
        <v>2178</v>
      </c>
      <c r="F438" s="90">
        <f>VLOOKUP(C438,'WSS-29'!$C$1:$AU$617,25,)</f>
        <v>571659.44596343476</v>
      </c>
      <c r="G438" s="89">
        <f t="shared" si="178"/>
        <v>459606.35611658177</v>
      </c>
      <c r="H438" s="89">
        <f t="shared" si="178"/>
        <v>86015.012331533304</v>
      </c>
      <c r="I438" s="89">
        <f t="shared" si="178"/>
        <v>440.54847831187328</v>
      </c>
      <c r="J438" s="89">
        <f t="shared" si="178"/>
        <v>4614.3296985448806</v>
      </c>
      <c r="K438" s="89">
        <f t="shared" si="178"/>
        <v>0</v>
      </c>
      <c r="L438" s="89">
        <f t="shared" si="178"/>
        <v>795.89654336531828</v>
      </c>
      <c r="M438" s="89">
        <f t="shared" si="178"/>
        <v>0</v>
      </c>
      <c r="N438" s="89">
        <f t="shared" si="178"/>
        <v>0</v>
      </c>
      <c r="O438" s="89">
        <f t="shared" si="178"/>
        <v>0</v>
      </c>
      <c r="P438" s="89">
        <f t="shared" si="178"/>
        <v>20006.511674280948</v>
      </c>
      <c r="Q438" s="89">
        <f t="shared" si="178"/>
        <v>12.46835315977</v>
      </c>
      <c r="R438" s="89">
        <f t="shared" si="178"/>
        <v>153.77635563716333</v>
      </c>
      <c r="S438" s="89">
        <f t="shared" si="178"/>
        <v>4.1561177199233335</v>
      </c>
      <c r="T438" s="89">
        <f t="shared" si="178"/>
        <v>10.390294299808334</v>
      </c>
      <c r="U438" s="89">
        <f t="shared" si="178"/>
        <v>0</v>
      </c>
      <c r="V438" s="89">
        <f t="shared" si="178"/>
        <v>0</v>
      </c>
      <c r="W438" s="91">
        <f>SUM(G438:V438)</f>
        <v>571659.44596343476</v>
      </c>
      <c r="X438" s="87" t="str">
        <f>IF(ABS(F438-W438)&lt;0.01,"ok","err")</f>
        <v>ok</v>
      </c>
      <c r="Y438" s="203" t="str">
        <f>IF(X438="err",W438-F438,"")</f>
        <v/>
      </c>
    </row>
    <row r="439" spans="1:25" ht="12" customHeight="1" x14ac:dyDescent="0.25">
      <c r="A439" s="86" t="s">
        <v>1469</v>
      </c>
      <c r="D439" s="86" t="s">
        <v>1708</v>
      </c>
      <c r="F439" s="89">
        <f t="shared" ref="F439:T439" si="179">F437+F438</f>
        <v>1259720.1914901291</v>
      </c>
      <c r="G439" s="89">
        <f t="shared" si="179"/>
        <v>929935.02735493309</v>
      </c>
      <c r="H439" s="89">
        <f t="shared" si="179"/>
        <v>173749.63485281236</v>
      </c>
      <c r="I439" s="89">
        <f>I437+I438</f>
        <v>6800.0167493224799</v>
      </c>
      <c r="J439" s="89">
        <f>J437+J438</f>
        <v>69434.832857937392</v>
      </c>
      <c r="K439" s="89">
        <f>K437+K438</f>
        <v>0</v>
      </c>
      <c r="L439" s="89">
        <f t="shared" si="179"/>
        <v>56116.74987092465</v>
      </c>
      <c r="M439" s="89">
        <f t="shared" si="179"/>
        <v>0</v>
      </c>
      <c r="N439" s="89">
        <f t="shared" si="179"/>
        <v>0</v>
      </c>
      <c r="O439" s="89">
        <f t="shared" si="179"/>
        <v>0</v>
      </c>
      <c r="P439" s="89">
        <f>P437+P438</f>
        <v>23275.065507621384</v>
      </c>
      <c r="Q439" s="89">
        <f t="shared" si="179"/>
        <v>131.38840263826111</v>
      </c>
      <c r="R439" s="89">
        <f t="shared" si="179"/>
        <v>185.81632157038808</v>
      </c>
      <c r="S439" s="89">
        <f t="shared" si="179"/>
        <v>80.987746302774738</v>
      </c>
      <c r="T439" s="89">
        <f t="shared" si="179"/>
        <v>10.671826066423456</v>
      </c>
      <c r="U439" s="89">
        <f>U437+U438</f>
        <v>0</v>
      </c>
      <c r="V439" s="89">
        <f>V437+V438</f>
        <v>0</v>
      </c>
      <c r="W439" s="91">
        <f>SUM(G439:V439)</f>
        <v>1259720.1914901291</v>
      </c>
      <c r="X439" s="87" t="str">
        <f>IF(ABS(F439-W439)&lt;0.01,"ok","err")</f>
        <v>ok</v>
      </c>
      <c r="Y439" s="91" t="str">
        <f>IF(X439="err",W439-F439,"")</f>
        <v/>
      </c>
    </row>
    <row r="440" spans="1:25" ht="12" customHeight="1" x14ac:dyDescent="0.25">
      <c r="F440" s="90"/>
    </row>
    <row r="441" spans="1:25" ht="12" customHeight="1" x14ac:dyDescent="0.25">
      <c r="A441" s="23" t="s">
        <v>128</v>
      </c>
      <c r="F441" s="90"/>
    </row>
    <row r="442" spans="1:25" ht="12" customHeight="1" x14ac:dyDescent="0.25">
      <c r="A442" s="96" t="s">
        <v>392</v>
      </c>
      <c r="C442" s="86" t="s">
        <v>374</v>
      </c>
      <c r="D442" s="86" t="s">
        <v>1709</v>
      </c>
      <c r="E442" s="86" t="s">
        <v>393</v>
      </c>
      <c r="F442" s="89">
        <f>VLOOKUP(C442,'WSS-29'!$C$1:$AU$617,26,)</f>
        <v>481981.59936413309</v>
      </c>
      <c r="G442" s="89">
        <f t="shared" ref="G442:V442" si="180">IF(VLOOKUP($E442,$D$5:$V$977,3,)=0,0,(VLOOKUP($E442,$D$5:$V$977,G$1,)/VLOOKUP($E442,$D$5:$V$977,3,))*$F442)</f>
        <v>381181.68614820379</v>
      </c>
      <c r="H442" s="89">
        <f t="shared" si="180"/>
        <v>85692.364860147776</v>
      </c>
      <c r="I442" s="89">
        <f t="shared" si="180"/>
        <v>775.32157822733006</v>
      </c>
      <c r="J442" s="89">
        <f t="shared" si="180"/>
        <v>11136.182696498028</v>
      </c>
      <c r="K442" s="89">
        <f t="shared" si="180"/>
        <v>0</v>
      </c>
      <c r="L442" s="89">
        <f t="shared" si="180"/>
        <v>3186.013068593013</v>
      </c>
      <c r="M442" s="89">
        <f t="shared" si="180"/>
        <v>0</v>
      </c>
      <c r="N442" s="89">
        <f t="shared" si="180"/>
        <v>0</v>
      </c>
      <c r="O442" s="89">
        <f t="shared" si="180"/>
        <v>0</v>
      </c>
      <c r="P442" s="89">
        <f t="shared" si="180"/>
        <v>0</v>
      </c>
      <c r="Q442" s="89">
        <f t="shared" si="180"/>
        <v>0</v>
      </c>
      <c r="R442" s="89">
        <f t="shared" si="180"/>
        <v>0</v>
      </c>
      <c r="S442" s="89">
        <f t="shared" si="180"/>
        <v>10.031012463097969</v>
      </c>
      <c r="T442" s="89">
        <f t="shared" si="180"/>
        <v>0</v>
      </c>
      <c r="U442" s="89">
        <f t="shared" si="180"/>
        <v>0</v>
      </c>
      <c r="V442" s="89">
        <f t="shared" si="180"/>
        <v>0</v>
      </c>
      <c r="W442" s="91">
        <f>SUM(G442:V442)</f>
        <v>481981.59936413303</v>
      </c>
      <c r="X442" s="87" t="str">
        <f>IF(ABS(F442-W442)&lt;0.01,"ok","err")</f>
        <v>ok</v>
      </c>
      <c r="Y442" s="203" t="str">
        <f>IF(X442="err",W442-F442,"")</f>
        <v/>
      </c>
    </row>
    <row r="443" spans="1:25" ht="12" customHeight="1" x14ac:dyDescent="0.25">
      <c r="F443" s="90"/>
    </row>
    <row r="444" spans="1:25" ht="12" customHeight="1" x14ac:dyDescent="0.25">
      <c r="A444" s="23" t="s">
        <v>127</v>
      </c>
      <c r="F444" s="90"/>
    </row>
    <row r="445" spans="1:25" ht="12" customHeight="1" x14ac:dyDescent="0.25">
      <c r="A445" s="96" t="s">
        <v>392</v>
      </c>
      <c r="C445" s="86" t="s">
        <v>374</v>
      </c>
      <c r="D445" s="86" t="s">
        <v>1710</v>
      </c>
      <c r="E445" s="86" t="s">
        <v>2464</v>
      </c>
      <c r="F445" s="89">
        <f>VLOOKUP(C445,'WSS-29'!$C$1:$AU$617,27,)</f>
        <v>286653.15873077803</v>
      </c>
      <c r="G445" s="89">
        <f t="shared" ref="G445:V445" si="181">IF(VLOOKUP($E445,$D$5:$V$977,3,)=0,0,(VLOOKUP($E445,$D$5:$V$977,G$1,)/VLOOKUP($E445,$D$5:$V$977,3,))*$F445)</f>
        <v>171976.50362729776</v>
      </c>
      <c r="H445" s="89">
        <f t="shared" si="181"/>
        <v>69397.646818402238</v>
      </c>
      <c r="I445" s="89">
        <f t="shared" si="181"/>
        <v>1416.5520394977452</v>
      </c>
      <c r="J445" s="89">
        <f t="shared" si="181"/>
        <v>21698.049673516023</v>
      </c>
      <c r="K445" s="89">
        <f t="shared" si="181"/>
        <v>4243.2920224159698</v>
      </c>
      <c r="L445" s="89">
        <f t="shared" si="181"/>
        <v>3880.9559592654514</v>
      </c>
      <c r="M445" s="89">
        <f t="shared" si="181"/>
        <v>7516.8715121012137</v>
      </c>
      <c r="N445" s="89">
        <f t="shared" si="181"/>
        <v>3726.8112122979014</v>
      </c>
      <c r="O445" s="89">
        <f t="shared" si="181"/>
        <v>230.05442456429711</v>
      </c>
      <c r="P445" s="89">
        <f t="shared" si="181"/>
        <v>0</v>
      </c>
      <c r="Q445" s="89">
        <f t="shared" si="181"/>
        <v>41.988910900540048</v>
      </c>
      <c r="R445" s="89">
        <f t="shared" si="181"/>
        <v>517.47444822795194</v>
      </c>
      <c r="S445" s="89">
        <f t="shared" si="181"/>
        <v>19.544705096154992</v>
      </c>
      <c r="T445" s="89">
        <f t="shared" si="181"/>
        <v>1987.4133771948207</v>
      </c>
      <c r="U445" s="89">
        <f t="shared" si="181"/>
        <v>0</v>
      </c>
      <c r="V445" s="89">
        <f t="shared" si="181"/>
        <v>0</v>
      </c>
      <c r="W445" s="91">
        <f>SUM(G445:V445)</f>
        <v>286653.15873077809</v>
      </c>
      <c r="X445" s="87" t="str">
        <f>IF(ABS(F445-W445)&lt;0.01,"ok","err")</f>
        <v>ok</v>
      </c>
      <c r="Y445" s="203" t="str">
        <f>IF(X445="err",W445-F445,"")</f>
        <v/>
      </c>
    </row>
    <row r="446" spans="1:25" ht="12" customHeight="1" x14ac:dyDescent="0.25">
      <c r="F446" s="90"/>
    </row>
    <row r="447" spans="1:25" ht="12" customHeight="1" x14ac:dyDescent="0.25">
      <c r="A447" s="23" t="s">
        <v>144</v>
      </c>
      <c r="F447" s="90"/>
    </row>
    <row r="448" spans="1:25" ht="12" customHeight="1" x14ac:dyDescent="0.25">
      <c r="A448" s="96" t="s">
        <v>392</v>
      </c>
      <c r="C448" s="86" t="s">
        <v>374</v>
      </c>
      <c r="D448" s="86" t="s">
        <v>1711</v>
      </c>
      <c r="E448" s="86" t="s">
        <v>395</v>
      </c>
      <c r="F448" s="89">
        <f>VLOOKUP(C448,'WSS-29'!$C$1:$AU$617,28,)</f>
        <v>551968.31776504801</v>
      </c>
      <c r="G448" s="89">
        <f t="shared" ref="G448:V448" si="182">IF(VLOOKUP($E448,$D$5:$V$977,3,)=0,0,(VLOOKUP($E448,$D$5:$V$977,G$1,)/VLOOKUP($E448,$D$5:$V$977,3,))*$F448)</f>
        <v>0</v>
      </c>
      <c r="H448" s="89">
        <f t="shared" si="182"/>
        <v>0</v>
      </c>
      <c r="I448" s="89">
        <f t="shared" si="182"/>
        <v>0</v>
      </c>
      <c r="J448" s="89">
        <f t="shared" si="182"/>
        <v>0</v>
      </c>
      <c r="K448" s="89">
        <f t="shared" si="182"/>
        <v>0</v>
      </c>
      <c r="L448" s="89">
        <f t="shared" si="182"/>
        <v>0</v>
      </c>
      <c r="M448" s="89">
        <f t="shared" si="182"/>
        <v>0</v>
      </c>
      <c r="N448" s="89">
        <f t="shared" si="182"/>
        <v>0</v>
      </c>
      <c r="O448" s="89">
        <f t="shared" si="182"/>
        <v>0</v>
      </c>
      <c r="P448" s="89">
        <f t="shared" si="182"/>
        <v>551968.31776504801</v>
      </c>
      <c r="Q448" s="89">
        <f t="shared" si="182"/>
        <v>0</v>
      </c>
      <c r="R448" s="89">
        <f t="shared" si="182"/>
        <v>0</v>
      </c>
      <c r="S448" s="89">
        <f t="shared" si="182"/>
        <v>0</v>
      </c>
      <c r="T448" s="89">
        <f t="shared" si="182"/>
        <v>0</v>
      </c>
      <c r="U448" s="89">
        <f t="shared" si="182"/>
        <v>0</v>
      </c>
      <c r="V448" s="89">
        <f t="shared" si="182"/>
        <v>0</v>
      </c>
      <c r="W448" s="91">
        <f>SUM(G448:V448)</f>
        <v>551968.31776504801</v>
      </c>
      <c r="X448" s="87" t="str">
        <f>IF(ABS(F448-W448)&lt;0.01,"ok","err")</f>
        <v>ok</v>
      </c>
      <c r="Y448" s="203" t="str">
        <f>IF(X448="err",W448-F448,"")</f>
        <v/>
      </c>
    </row>
    <row r="449" spans="1:25" ht="12" customHeight="1" x14ac:dyDescent="0.25">
      <c r="F449" s="90"/>
    </row>
    <row r="450" spans="1:25" ht="12" customHeight="1" x14ac:dyDescent="0.25">
      <c r="A450" s="23" t="s">
        <v>292</v>
      </c>
      <c r="F450" s="90"/>
    </row>
    <row r="451" spans="1:25" ht="12" customHeight="1" x14ac:dyDescent="0.25">
      <c r="A451" s="96" t="s">
        <v>392</v>
      </c>
      <c r="C451" s="86" t="s">
        <v>374</v>
      </c>
      <c r="D451" s="86" t="s">
        <v>1712</v>
      </c>
      <c r="E451" s="86" t="s">
        <v>396</v>
      </c>
      <c r="F451" s="89">
        <f>VLOOKUP(C451,'WSS-29'!$C$1:$AU$617,30,)</f>
        <v>0</v>
      </c>
      <c r="G451" s="89">
        <f t="shared" ref="G451:V451" si="183">IF(VLOOKUP($E451,$D$5:$V$977,3,)=0,0,(VLOOKUP($E451,$D$5:$V$977,G$1,)/VLOOKUP($E451,$D$5:$V$977,3,))*$F451)</f>
        <v>0</v>
      </c>
      <c r="H451" s="89">
        <f t="shared" si="183"/>
        <v>0</v>
      </c>
      <c r="I451" s="89">
        <f t="shared" si="183"/>
        <v>0</v>
      </c>
      <c r="J451" s="89">
        <f t="shared" si="183"/>
        <v>0</v>
      </c>
      <c r="K451" s="89">
        <f t="shared" si="183"/>
        <v>0</v>
      </c>
      <c r="L451" s="89">
        <f t="shared" si="183"/>
        <v>0</v>
      </c>
      <c r="M451" s="89">
        <f t="shared" si="183"/>
        <v>0</v>
      </c>
      <c r="N451" s="89">
        <f t="shared" si="183"/>
        <v>0</v>
      </c>
      <c r="O451" s="89">
        <f t="shared" si="183"/>
        <v>0</v>
      </c>
      <c r="P451" s="89">
        <f t="shared" si="183"/>
        <v>0</v>
      </c>
      <c r="Q451" s="89">
        <f t="shared" si="183"/>
        <v>0</v>
      </c>
      <c r="R451" s="89">
        <f t="shared" si="183"/>
        <v>0</v>
      </c>
      <c r="S451" s="89">
        <f t="shared" si="183"/>
        <v>0</v>
      </c>
      <c r="T451" s="89">
        <f t="shared" si="183"/>
        <v>0</v>
      </c>
      <c r="U451" s="89">
        <f t="shared" si="183"/>
        <v>0</v>
      </c>
      <c r="V451" s="89">
        <f t="shared" si="183"/>
        <v>0</v>
      </c>
      <c r="W451" s="91">
        <f>SUM(G451:V451)</f>
        <v>0</v>
      </c>
      <c r="X451" s="87" t="str">
        <f>IF(ABS(F451-W451)&lt;0.01,"ok","err")</f>
        <v>ok</v>
      </c>
      <c r="Y451" s="203" t="str">
        <f>IF(X451="err",W451-F451,"")</f>
        <v/>
      </c>
    </row>
    <row r="452" spans="1:25" ht="12" customHeight="1" x14ac:dyDescent="0.25">
      <c r="F452" s="90"/>
    </row>
    <row r="453" spans="1:25" ht="12" customHeight="1" x14ac:dyDescent="0.25">
      <c r="A453" s="23" t="s">
        <v>1631</v>
      </c>
      <c r="F453" s="90"/>
    </row>
    <row r="454" spans="1:25" ht="12" customHeight="1" x14ac:dyDescent="0.25">
      <c r="A454" s="96" t="s">
        <v>392</v>
      </c>
      <c r="C454" s="86" t="s">
        <v>374</v>
      </c>
      <c r="D454" s="86" t="s">
        <v>1713</v>
      </c>
      <c r="E454" s="86" t="s">
        <v>396</v>
      </c>
      <c r="F454" s="89">
        <f>VLOOKUP(C454,'WSS-29'!$C$1:$AU$617,32,)</f>
        <v>0</v>
      </c>
      <c r="G454" s="89">
        <f t="shared" ref="G454:V454" si="184">IF(VLOOKUP($E454,$D$5:$V$977,3,)=0,0,(VLOOKUP($E454,$D$5:$V$977,G$1,)/VLOOKUP($E454,$D$5:$V$977,3,))*$F454)</f>
        <v>0</v>
      </c>
      <c r="H454" s="89">
        <f t="shared" si="184"/>
        <v>0</v>
      </c>
      <c r="I454" s="89">
        <f t="shared" si="184"/>
        <v>0</v>
      </c>
      <c r="J454" s="89">
        <f t="shared" si="184"/>
        <v>0</v>
      </c>
      <c r="K454" s="89">
        <f t="shared" si="184"/>
        <v>0</v>
      </c>
      <c r="L454" s="89">
        <f t="shared" si="184"/>
        <v>0</v>
      </c>
      <c r="M454" s="89">
        <f t="shared" si="184"/>
        <v>0</v>
      </c>
      <c r="N454" s="89">
        <f t="shared" si="184"/>
        <v>0</v>
      </c>
      <c r="O454" s="89">
        <f t="shared" si="184"/>
        <v>0</v>
      </c>
      <c r="P454" s="89">
        <f t="shared" si="184"/>
        <v>0</v>
      </c>
      <c r="Q454" s="89">
        <f t="shared" si="184"/>
        <v>0</v>
      </c>
      <c r="R454" s="89">
        <f t="shared" si="184"/>
        <v>0</v>
      </c>
      <c r="S454" s="89">
        <f t="shared" si="184"/>
        <v>0</v>
      </c>
      <c r="T454" s="89">
        <f t="shared" si="184"/>
        <v>0</v>
      </c>
      <c r="U454" s="89">
        <f t="shared" si="184"/>
        <v>0</v>
      </c>
      <c r="V454" s="89">
        <f t="shared" si="184"/>
        <v>0</v>
      </c>
      <c r="W454" s="91">
        <f>SUM(G454:V454)</f>
        <v>0</v>
      </c>
      <c r="X454" s="87" t="str">
        <f>IF(ABS(F454-W454)&lt;0.01,"ok","err")</f>
        <v>ok</v>
      </c>
      <c r="Y454" s="203" t="str">
        <f>IF(X454="err",W454-F454,"")</f>
        <v/>
      </c>
    </row>
    <row r="455" spans="1:25" ht="12" customHeight="1" x14ac:dyDescent="0.25">
      <c r="F455" s="90"/>
    </row>
    <row r="456" spans="1:25" ht="12" customHeight="1" x14ac:dyDescent="0.25">
      <c r="A456" s="23" t="s">
        <v>1630</v>
      </c>
      <c r="F456" s="90"/>
    </row>
    <row r="457" spans="1:25" ht="12" customHeight="1" x14ac:dyDescent="0.25">
      <c r="A457" s="96" t="s">
        <v>392</v>
      </c>
      <c r="C457" s="86" t="s">
        <v>374</v>
      </c>
      <c r="D457" s="86" t="s">
        <v>1714</v>
      </c>
      <c r="E457" s="86" t="s">
        <v>397</v>
      </c>
      <c r="F457" s="89">
        <f>VLOOKUP(C457,'WSS-29'!$C$1:$AU$617,34,)</f>
        <v>0</v>
      </c>
      <c r="G457" s="89">
        <f t="shared" ref="G457:V457" si="185">IF(VLOOKUP($E457,$D$5:$V$977,3,)=0,0,(VLOOKUP($E457,$D$5:$V$977,G$1,)/VLOOKUP($E457,$D$5:$V$977,3,))*$F457)</f>
        <v>0</v>
      </c>
      <c r="H457" s="89">
        <f t="shared" si="185"/>
        <v>0</v>
      </c>
      <c r="I457" s="89">
        <f t="shared" si="185"/>
        <v>0</v>
      </c>
      <c r="J457" s="89">
        <f t="shared" si="185"/>
        <v>0</v>
      </c>
      <c r="K457" s="89">
        <f t="shared" si="185"/>
        <v>0</v>
      </c>
      <c r="L457" s="89">
        <f t="shared" si="185"/>
        <v>0</v>
      </c>
      <c r="M457" s="89">
        <f t="shared" si="185"/>
        <v>0</v>
      </c>
      <c r="N457" s="89">
        <f t="shared" si="185"/>
        <v>0</v>
      </c>
      <c r="O457" s="89">
        <f t="shared" si="185"/>
        <v>0</v>
      </c>
      <c r="P457" s="89">
        <f t="shared" si="185"/>
        <v>0</v>
      </c>
      <c r="Q457" s="89">
        <f t="shared" si="185"/>
        <v>0</v>
      </c>
      <c r="R457" s="89">
        <f t="shared" si="185"/>
        <v>0</v>
      </c>
      <c r="S457" s="89">
        <f t="shared" si="185"/>
        <v>0</v>
      </c>
      <c r="T457" s="89">
        <f t="shared" si="185"/>
        <v>0</v>
      </c>
      <c r="U457" s="89">
        <f t="shared" si="185"/>
        <v>0</v>
      </c>
      <c r="V457" s="89">
        <f t="shared" si="185"/>
        <v>0</v>
      </c>
      <c r="W457" s="91">
        <f>SUM(G457:V457)</f>
        <v>0</v>
      </c>
      <c r="X457" s="87" t="str">
        <f>IF(ABS(F457-W457)&lt;0.01,"ok","err")</f>
        <v>ok</v>
      </c>
      <c r="Y457" s="203" t="str">
        <f>IF(X457="err",W457-F457,"")</f>
        <v/>
      </c>
    </row>
    <row r="458" spans="1:25" ht="12" customHeight="1" x14ac:dyDescent="0.25">
      <c r="F458" s="90"/>
    </row>
    <row r="459" spans="1:25" ht="12" customHeight="1" x14ac:dyDescent="0.25">
      <c r="A459" s="86" t="s">
        <v>62</v>
      </c>
      <c r="D459" s="86" t="s">
        <v>407</v>
      </c>
      <c r="F459" s="89">
        <f>F414+F420+F423+F426+F434+F439+F442+F445+F448+F451+F454+F457</f>
        <v>35914758</v>
      </c>
      <c r="G459" s="89">
        <f t="shared" ref="G459:T459" si="186">G414+G420+G423+G426+G434+G439+G442+G445+G448+G451+G454+G457</f>
        <v>16868682.952915583</v>
      </c>
      <c r="H459" s="89">
        <f t="shared" si="186"/>
        <v>4199817.9859498963</v>
      </c>
      <c r="I459" s="89">
        <f>I414+I420+I423+I426+I434+I439+I442+I445+I448+I451+I454+I457</f>
        <v>264808.38924871455</v>
      </c>
      <c r="J459" s="89">
        <f>J414+J420+J423+J426+J434+J439+J442+J445+J448+J451+J454+J457</f>
        <v>3213442.7734203432</v>
      </c>
      <c r="K459" s="89">
        <f>K414+K420+K423+K426+K434+K439+K442+K445+K448+K451+K454+K457</f>
        <v>138745.61892971979</v>
      </c>
      <c r="L459" s="89">
        <f t="shared" si="186"/>
        <v>2976138.1198612959</v>
      </c>
      <c r="M459" s="89">
        <f t="shared" si="186"/>
        <v>5193976.6099409787</v>
      </c>
      <c r="N459" s="89">
        <f t="shared" si="186"/>
        <v>1584815.0590666351</v>
      </c>
      <c r="O459" s="89">
        <f>O414+O420+O423+O426+O434+O439+O442+O445+O448+O451+O454+O457</f>
        <v>721230.19103821798</v>
      </c>
      <c r="P459" s="89">
        <f>P414+P420+P423+P426+P434+P439+P442+P445+P448+P451+P454+P457</f>
        <v>738731.39794844552</v>
      </c>
      <c r="Q459" s="89">
        <f t="shared" si="186"/>
        <v>2380.6625300678843</v>
      </c>
      <c r="R459" s="89">
        <f t="shared" si="186"/>
        <v>4172.7251935764798</v>
      </c>
      <c r="S459" s="89">
        <f t="shared" si="186"/>
        <v>1131.5190227565738</v>
      </c>
      <c r="T459" s="89">
        <f t="shared" si="186"/>
        <v>2075.659267581515</v>
      </c>
      <c r="U459" s="89">
        <f>U414+U420+U423+U426+U434+U439+U442+U445+U448+U451+U454+U457</f>
        <v>4038.9486899610001</v>
      </c>
      <c r="V459" s="89">
        <f>V414+V420+V423+V426+V434+V439+V442+V445+V448+V451+V454+V457</f>
        <v>569.38697621906249</v>
      </c>
      <c r="W459" s="91">
        <f>SUM(G459:V459)</f>
        <v>35914757.999999993</v>
      </c>
      <c r="X459" s="87" t="str">
        <f>IF(ABS(F459-W459)&lt;0.01,"ok","err")</f>
        <v>ok</v>
      </c>
      <c r="Y459" s="91" t="str">
        <f>IF(X459="err",W459-F459,"")</f>
        <v/>
      </c>
    </row>
    <row r="462" spans="1:25" ht="12" customHeight="1" x14ac:dyDescent="0.25">
      <c r="A462" s="22" t="s">
        <v>408</v>
      </c>
    </row>
    <row r="464" spans="1:25" ht="12" customHeight="1" x14ac:dyDescent="0.25">
      <c r="A464" s="23" t="s">
        <v>137</v>
      </c>
    </row>
    <row r="465" spans="1:25" ht="12" customHeight="1" x14ac:dyDescent="0.25">
      <c r="A465" s="96" t="s">
        <v>2270</v>
      </c>
      <c r="C465" s="86" t="s">
        <v>1686</v>
      </c>
      <c r="D465" s="86" t="s">
        <v>1715</v>
      </c>
      <c r="E465" s="86" t="s">
        <v>2269</v>
      </c>
      <c r="F465" s="89">
        <f>VLOOKUP(C465,'WSS-29'!$C$1:$AU$617,6,)</f>
        <v>8507901.3528177198</v>
      </c>
      <c r="G465" s="89">
        <f t="shared" ref="G465:V470" si="187">IF(VLOOKUP($E465,$D$5:$V$977,3,)=0,0,(VLOOKUP($E465,$D$5:$V$977,G$1,)/VLOOKUP($E465,$D$5:$V$977,3,))*$F465)</f>
        <v>3491572.0734034688</v>
      </c>
      <c r="H465" s="89">
        <f t="shared" si="187"/>
        <v>940435.35249089857</v>
      </c>
      <c r="I465" s="89">
        <f t="shared" si="187"/>
        <v>60345.167658188642</v>
      </c>
      <c r="J465" s="89">
        <f t="shared" si="187"/>
        <v>876993.61026497255</v>
      </c>
      <c r="K465" s="89">
        <f t="shared" si="187"/>
        <v>38101.146683353916</v>
      </c>
      <c r="L465" s="89">
        <f t="shared" si="187"/>
        <v>843427.9867844031</v>
      </c>
      <c r="M465" s="89">
        <f t="shared" si="187"/>
        <v>1543988.274876178</v>
      </c>
      <c r="N465" s="89">
        <f t="shared" si="187"/>
        <v>502591.42663852114</v>
      </c>
      <c r="O465" s="89">
        <f t="shared" si="187"/>
        <v>208122.41825921778</v>
      </c>
      <c r="P465" s="89">
        <f t="shared" si="187"/>
        <v>1356.5539617017212</v>
      </c>
      <c r="Q465" s="89">
        <f t="shared" si="187"/>
        <v>49.355608771155481</v>
      </c>
      <c r="R465" s="89">
        <f t="shared" si="187"/>
        <v>807.07676378545079</v>
      </c>
      <c r="S465" s="89">
        <f t="shared" si="187"/>
        <v>103.88459516483262</v>
      </c>
      <c r="T465" s="89">
        <f t="shared" si="187"/>
        <v>7.0248290930986359</v>
      </c>
      <c r="U465" s="89">
        <f t="shared" si="187"/>
        <v>0</v>
      </c>
      <c r="V465" s="89">
        <f t="shared" si="187"/>
        <v>0</v>
      </c>
      <c r="W465" s="91">
        <f t="shared" ref="W465:W470" si="188">SUM(G465:V465)</f>
        <v>8507901.3528177198</v>
      </c>
      <c r="X465" s="87" t="str">
        <f t="shared" ref="X465:X470" si="189">IF(ABS(F465-W465)&lt;0.01,"ok","err")</f>
        <v>ok</v>
      </c>
      <c r="Y465" s="203" t="str">
        <f t="shared" ref="Y465:Y470" si="190">IF(X465="err",W465-F465,"")</f>
        <v/>
      </c>
    </row>
    <row r="466" spans="1:25" ht="12" hidden="1" customHeight="1" x14ac:dyDescent="0.25">
      <c r="A466" s="96" t="s">
        <v>2271</v>
      </c>
      <c r="C466" s="86" t="s">
        <v>1686</v>
      </c>
      <c r="D466" s="86" t="s">
        <v>1716</v>
      </c>
      <c r="E466" s="86" t="s">
        <v>2269</v>
      </c>
      <c r="F466" s="90">
        <f>VLOOKUP(C466,'WSS-29'!$C$1:$AU$617,7,)</f>
        <v>0</v>
      </c>
      <c r="G466" s="89">
        <f t="shared" si="187"/>
        <v>0</v>
      </c>
      <c r="H466" s="89">
        <f t="shared" si="187"/>
        <v>0</v>
      </c>
      <c r="I466" s="89">
        <f t="shared" si="187"/>
        <v>0</v>
      </c>
      <c r="J466" s="89">
        <f t="shared" si="187"/>
        <v>0</v>
      </c>
      <c r="K466" s="89">
        <f t="shared" si="187"/>
        <v>0</v>
      </c>
      <c r="L466" s="89">
        <f t="shared" si="187"/>
        <v>0</v>
      </c>
      <c r="M466" s="89">
        <f t="shared" si="187"/>
        <v>0</v>
      </c>
      <c r="N466" s="89">
        <f t="shared" si="187"/>
        <v>0</v>
      </c>
      <c r="O466" s="89">
        <f t="shared" si="187"/>
        <v>0</v>
      </c>
      <c r="P466" s="89">
        <f t="shared" si="187"/>
        <v>0</v>
      </c>
      <c r="Q466" s="89">
        <f t="shared" si="187"/>
        <v>0</v>
      </c>
      <c r="R466" s="89">
        <f t="shared" si="187"/>
        <v>0</v>
      </c>
      <c r="S466" s="89">
        <f t="shared" si="187"/>
        <v>0</v>
      </c>
      <c r="T466" s="89">
        <f t="shared" si="187"/>
        <v>0</v>
      </c>
      <c r="U466" s="89">
        <f t="shared" si="187"/>
        <v>0</v>
      </c>
      <c r="V466" s="89">
        <f t="shared" si="187"/>
        <v>0</v>
      </c>
      <c r="W466" s="91">
        <f t="shared" si="188"/>
        <v>0</v>
      </c>
      <c r="X466" s="87" t="str">
        <f t="shared" si="189"/>
        <v>ok</v>
      </c>
      <c r="Y466" s="203" t="str">
        <f t="shared" si="190"/>
        <v/>
      </c>
    </row>
    <row r="467" spans="1:25" ht="12" hidden="1" customHeight="1" x14ac:dyDescent="0.25">
      <c r="A467" s="96" t="s">
        <v>2271</v>
      </c>
      <c r="C467" s="86" t="s">
        <v>1686</v>
      </c>
      <c r="D467" s="86" t="s">
        <v>1717</v>
      </c>
      <c r="E467" s="86" t="s">
        <v>2269</v>
      </c>
      <c r="F467" s="90">
        <f>VLOOKUP(C467,'WSS-29'!$C$1:$AU$617,8,)</f>
        <v>0</v>
      </c>
      <c r="G467" s="89">
        <f t="shared" si="187"/>
        <v>0</v>
      </c>
      <c r="H467" s="89">
        <f t="shared" si="187"/>
        <v>0</v>
      </c>
      <c r="I467" s="89">
        <f t="shared" si="187"/>
        <v>0</v>
      </c>
      <c r="J467" s="89">
        <f t="shared" si="187"/>
        <v>0</v>
      </c>
      <c r="K467" s="89">
        <f t="shared" si="187"/>
        <v>0</v>
      </c>
      <c r="L467" s="89">
        <f t="shared" si="187"/>
        <v>0</v>
      </c>
      <c r="M467" s="89">
        <f t="shared" si="187"/>
        <v>0</v>
      </c>
      <c r="N467" s="89">
        <f t="shared" si="187"/>
        <v>0</v>
      </c>
      <c r="O467" s="89">
        <f t="shared" si="187"/>
        <v>0</v>
      </c>
      <c r="P467" s="89">
        <f t="shared" si="187"/>
        <v>0</v>
      </c>
      <c r="Q467" s="89">
        <f t="shared" si="187"/>
        <v>0</v>
      </c>
      <c r="R467" s="89">
        <f t="shared" si="187"/>
        <v>0</v>
      </c>
      <c r="S467" s="89">
        <f t="shared" si="187"/>
        <v>0</v>
      </c>
      <c r="T467" s="89">
        <f t="shared" si="187"/>
        <v>0</v>
      </c>
      <c r="U467" s="89">
        <f t="shared" si="187"/>
        <v>0</v>
      </c>
      <c r="V467" s="89">
        <f t="shared" si="187"/>
        <v>0</v>
      </c>
      <c r="W467" s="91">
        <f t="shared" si="188"/>
        <v>0</v>
      </c>
      <c r="X467" s="87" t="str">
        <f t="shared" si="189"/>
        <v>ok</v>
      </c>
      <c r="Y467" s="203" t="str">
        <f t="shared" si="190"/>
        <v/>
      </c>
    </row>
    <row r="468" spans="1:25" ht="12" customHeight="1" x14ac:dyDescent="0.25">
      <c r="A468" s="96" t="s">
        <v>2273</v>
      </c>
      <c r="C468" s="86" t="s">
        <v>1686</v>
      </c>
      <c r="D468" s="86" t="s">
        <v>1718</v>
      </c>
      <c r="E468" s="86" t="s">
        <v>390</v>
      </c>
      <c r="F468" s="90">
        <f>VLOOKUP(C468,'WSS-29'!$C$1:$AU$617,9,)</f>
        <v>0</v>
      </c>
      <c r="G468" s="89">
        <f t="shared" si="187"/>
        <v>0</v>
      </c>
      <c r="H468" s="89">
        <f t="shared" si="187"/>
        <v>0</v>
      </c>
      <c r="I468" s="89">
        <f t="shared" si="187"/>
        <v>0</v>
      </c>
      <c r="J468" s="89">
        <f t="shared" si="187"/>
        <v>0</v>
      </c>
      <c r="K468" s="89">
        <f t="shared" si="187"/>
        <v>0</v>
      </c>
      <c r="L468" s="89">
        <f t="shared" si="187"/>
        <v>0</v>
      </c>
      <c r="M468" s="89">
        <f t="shared" si="187"/>
        <v>0</v>
      </c>
      <c r="N468" s="89">
        <f t="shared" si="187"/>
        <v>0</v>
      </c>
      <c r="O468" s="89">
        <f t="shared" si="187"/>
        <v>0</v>
      </c>
      <c r="P468" s="89">
        <f t="shared" si="187"/>
        <v>0</v>
      </c>
      <c r="Q468" s="89">
        <f t="shared" si="187"/>
        <v>0</v>
      </c>
      <c r="R468" s="89">
        <f t="shared" si="187"/>
        <v>0</v>
      </c>
      <c r="S468" s="89">
        <f t="shared" si="187"/>
        <v>0</v>
      </c>
      <c r="T468" s="89">
        <f t="shared" si="187"/>
        <v>0</v>
      </c>
      <c r="U468" s="89">
        <f t="shared" si="187"/>
        <v>0</v>
      </c>
      <c r="V468" s="89">
        <f t="shared" si="187"/>
        <v>0</v>
      </c>
      <c r="W468" s="91">
        <f t="shared" si="188"/>
        <v>0</v>
      </c>
      <c r="X468" s="87" t="str">
        <f t="shared" si="189"/>
        <v>ok</v>
      </c>
      <c r="Y468" s="203" t="str">
        <f t="shared" si="190"/>
        <v/>
      </c>
    </row>
    <row r="469" spans="1:25" ht="12" hidden="1" customHeight="1" x14ac:dyDescent="0.25">
      <c r="A469" s="96" t="s">
        <v>2272</v>
      </c>
      <c r="C469" s="86" t="s">
        <v>1686</v>
      </c>
      <c r="D469" s="86" t="s">
        <v>1719</v>
      </c>
      <c r="E469" s="86" t="s">
        <v>390</v>
      </c>
      <c r="F469" s="90">
        <f>VLOOKUP(C469,'WSS-29'!$C$1:$AU$617,10,)</f>
        <v>0</v>
      </c>
      <c r="G469" s="89">
        <f t="shared" si="187"/>
        <v>0</v>
      </c>
      <c r="H469" s="89">
        <f t="shared" si="187"/>
        <v>0</v>
      </c>
      <c r="I469" s="89">
        <f t="shared" si="187"/>
        <v>0</v>
      </c>
      <c r="J469" s="89">
        <f t="shared" si="187"/>
        <v>0</v>
      </c>
      <c r="K469" s="89">
        <f t="shared" si="187"/>
        <v>0</v>
      </c>
      <c r="L469" s="89">
        <f t="shared" si="187"/>
        <v>0</v>
      </c>
      <c r="M469" s="89">
        <f t="shared" si="187"/>
        <v>0</v>
      </c>
      <c r="N469" s="89">
        <f t="shared" si="187"/>
        <v>0</v>
      </c>
      <c r="O469" s="89">
        <f t="shared" si="187"/>
        <v>0</v>
      </c>
      <c r="P469" s="89">
        <f t="shared" si="187"/>
        <v>0</v>
      </c>
      <c r="Q469" s="89">
        <f t="shared" si="187"/>
        <v>0</v>
      </c>
      <c r="R469" s="89">
        <f t="shared" si="187"/>
        <v>0</v>
      </c>
      <c r="S469" s="89">
        <f t="shared" si="187"/>
        <v>0</v>
      </c>
      <c r="T469" s="89">
        <f t="shared" si="187"/>
        <v>0</v>
      </c>
      <c r="U469" s="89">
        <f t="shared" si="187"/>
        <v>0</v>
      </c>
      <c r="V469" s="89">
        <f t="shared" si="187"/>
        <v>0</v>
      </c>
      <c r="W469" s="91">
        <f t="shared" si="188"/>
        <v>0</v>
      </c>
      <c r="X469" s="87" t="str">
        <f t="shared" si="189"/>
        <v>ok</v>
      </c>
      <c r="Y469" s="203" t="str">
        <f t="shared" si="190"/>
        <v/>
      </c>
    </row>
    <row r="470" spans="1:25" ht="12" hidden="1" customHeight="1" x14ac:dyDescent="0.25">
      <c r="A470" s="96" t="s">
        <v>2272</v>
      </c>
      <c r="C470" s="86" t="s">
        <v>1686</v>
      </c>
      <c r="D470" s="86" t="s">
        <v>1720</v>
      </c>
      <c r="E470" s="86" t="s">
        <v>390</v>
      </c>
      <c r="F470" s="90">
        <f>VLOOKUP(C470,'WSS-29'!$C$1:$AU$617,11,)</f>
        <v>0</v>
      </c>
      <c r="G470" s="89">
        <f t="shared" si="187"/>
        <v>0</v>
      </c>
      <c r="H470" s="89">
        <f t="shared" si="187"/>
        <v>0</v>
      </c>
      <c r="I470" s="89">
        <f t="shared" si="187"/>
        <v>0</v>
      </c>
      <c r="J470" s="89">
        <f t="shared" si="187"/>
        <v>0</v>
      </c>
      <c r="K470" s="89">
        <f t="shared" si="187"/>
        <v>0</v>
      </c>
      <c r="L470" s="89">
        <f t="shared" si="187"/>
        <v>0</v>
      </c>
      <c r="M470" s="89">
        <f t="shared" si="187"/>
        <v>0</v>
      </c>
      <c r="N470" s="89">
        <f t="shared" si="187"/>
        <v>0</v>
      </c>
      <c r="O470" s="89">
        <f t="shared" si="187"/>
        <v>0</v>
      </c>
      <c r="P470" s="89">
        <f t="shared" si="187"/>
        <v>0</v>
      </c>
      <c r="Q470" s="89">
        <f t="shared" si="187"/>
        <v>0</v>
      </c>
      <c r="R470" s="89">
        <f t="shared" si="187"/>
        <v>0</v>
      </c>
      <c r="S470" s="89">
        <f t="shared" si="187"/>
        <v>0</v>
      </c>
      <c r="T470" s="89">
        <f t="shared" si="187"/>
        <v>0</v>
      </c>
      <c r="U470" s="89">
        <f t="shared" si="187"/>
        <v>0</v>
      </c>
      <c r="V470" s="89">
        <f t="shared" si="187"/>
        <v>0</v>
      </c>
      <c r="W470" s="91">
        <f t="shared" si="188"/>
        <v>0</v>
      </c>
      <c r="X470" s="87" t="str">
        <f t="shared" si="189"/>
        <v>ok</v>
      </c>
      <c r="Y470" s="203" t="str">
        <f t="shared" si="190"/>
        <v/>
      </c>
    </row>
    <row r="471" spans="1:25" ht="12" customHeight="1" x14ac:dyDescent="0.25">
      <c r="A471" s="86" t="s">
        <v>160</v>
      </c>
      <c r="D471" s="86" t="s">
        <v>409</v>
      </c>
      <c r="F471" s="89">
        <f t="shared" ref="F471:T471" si="191">SUM(F465:F470)</f>
        <v>8507901.3528177198</v>
      </c>
      <c r="G471" s="89">
        <f t="shared" si="191"/>
        <v>3491572.0734034688</v>
      </c>
      <c r="H471" s="89">
        <f t="shared" si="191"/>
        <v>940435.35249089857</v>
      </c>
      <c r="I471" s="89">
        <f>SUM(I465:I470)</f>
        <v>60345.167658188642</v>
      </c>
      <c r="J471" s="89">
        <f>SUM(J465:J470)</f>
        <v>876993.61026497255</v>
      </c>
      <c r="K471" s="89">
        <f>SUM(K465:K470)</f>
        <v>38101.146683353916</v>
      </c>
      <c r="L471" s="89">
        <f t="shared" si="191"/>
        <v>843427.9867844031</v>
      </c>
      <c r="M471" s="89">
        <f t="shared" si="191"/>
        <v>1543988.274876178</v>
      </c>
      <c r="N471" s="89">
        <f t="shared" si="191"/>
        <v>502591.42663852114</v>
      </c>
      <c r="O471" s="89">
        <f t="shared" si="191"/>
        <v>208122.41825921778</v>
      </c>
      <c r="P471" s="89">
        <f>SUM(P465:P470)</f>
        <v>1356.5539617017212</v>
      </c>
      <c r="Q471" s="89">
        <f t="shared" si="191"/>
        <v>49.355608771155481</v>
      </c>
      <c r="R471" s="89">
        <f t="shared" si="191"/>
        <v>807.07676378545079</v>
      </c>
      <c r="S471" s="89">
        <f t="shared" si="191"/>
        <v>103.88459516483262</v>
      </c>
      <c r="T471" s="89">
        <f t="shared" si="191"/>
        <v>7.0248290930986359</v>
      </c>
      <c r="U471" s="89">
        <f>SUM(U465:U470)</f>
        <v>0</v>
      </c>
      <c r="V471" s="89">
        <f>SUM(V465:V470)</f>
        <v>0</v>
      </c>
      <c r="W471" s="91">
        <f>SUM(G471:V471)</f>
        <v>8507901.3528177198</v>
      </c>
      <c r="X471" s="87" t="str">
        <f>IF(ABS(F471-W471)&lt;0.01,"ok","err")</f>
        <v>ok</v>
      </c>
      <c r="Y471" s="91" t="str">
        <f>IF(X471="err",W471-F471,"")</f>
        <v/>
      </c>
    </row>
    <row r="472" spans="1:25" ht="12" customHeight="1" x14ac:dyDescent="0.25">
      <c r="F472" s="90"/>
      <c r="G472" s="90"/>
    </row>
    <row r="473" spans="1:25" ht="12" customHeight="1" x14ac:dyDescent="0.25">
      <c r="A473" s="23" t="s">
        <v>441</v>
      </c>
      <c r="F473" s="90"/>
      <c r="G473" s="90"/>
    </row>
    <row r="474" spans="1:25" ht="12" customHeight="1" x14ac:dyDescent="0.25">
      <c r="A474" s="96" t="s">
        <v>2249</v>
      </c>
      <c r="C474" s="86" t="s">
        <v>1686</v>
      </c>
      <c r="D474" s="86" t="s">
        <v>1721</v>
      </c>
      <c r="E474" s="86" t="s">
        <v>2250</v>
      </c>
      <c r="F474" s="89">
        <f>VLOOKUP(C474,'WSS-29'!$C$1:$AU$617,13,)</f>
        <v>1945145.602642254</v>
      </c>
      <c r="G474" s="89">
        <f t="shared" ref="G474:V476" si="192">IF(VLOOKUP($E474,$D$5:$V$977,3,)=0,0,(VLOOKUP($E474,$D$5:$V$977,G$1,)/VLOOKUP($E474,$D$5:$V$977,3,))*$F474)</f>
        <v>860040.47006909933</v>
      </c>
      <c r="H474" s="89">
        <f t="shared" si="192"/>
        <v>220754.67773848123</v>
      </c>
      <c r="I474" s="89">
        <f t="shared" si="192"/>
        <v>22592.981134264548</v>
      </c>
      <c r="J474" s="89">
        <f t="shared" si="192"/>
        <v>196932.45842725964</v>
      </c>
      <c r="K474" s="89">
        <f t="shared" si="192"/>
        <v>8462.3484781903371</v>
      </c>
      <c r="L474" s="89">
        <f t="shared" si="192"/>
        <v>174219.22580738945</v>
      </c>
      <c r="M474" s="89">
        <f t="shared" si="192"/>
        <v>283739.50376078748</v>
      </c>
      <c r="N474" s="89">
        <f t="shared" si="192"/>
        <v>98394.725967468883</v>
      </c>
      <c r="O474" s="89">
        <f t="shared" si="192"/>
        <v>65932.013604477499</v>
      </c>
      <c r="P474" s="89">
        <f t="shared" si="192"/>
        <v>13279.432994255221</v>
      </c>
      <c r="Q474" s="89">
        <f t="shared" si="192"/>
        <v>483.14664810315116</v>
      </c>
      <c r="R474" s="89">
        <f t="shared" si="192"/>
        <v>130.17150778075089</v>
      </c>
      <c r="S474" s="89">
        <f t="shared" si="192"/>
        <v>183.30270152796191</v>
      </c>
      <c r="T474" s="89">
        <f t="shared" si="192"/>
        <v>1.1438031683568843</v>
      </c>
      <c r="U474" s="89">
        <f t="shared" si="192"/>
        <v>0</v>
      </c>
      <c r="V474" s="89">
        <f t="shared" si="192"/>
        <v>0</v>
      </c>
      <c r="W474" s="91">
        <f>SUM(G474:V474)</f>
        <v>1945145.602642254</v>
      </c>
      <c r="X474" s="87" t="str">
        <f>IF(ABS(F474-W474)&lt;0.01,"ok","err")</f>
        <v>ok</v>
      </c>
      <c r="Y474" s="203" t="str">
        <f>IF(X474="err",W474-F474,"")</f>
        <v/>
      </c>
    </row>
    <row r="475" spans="1:25" ht="12" hidden="1" customHeight="1" x14ac:dyDescent="0.25">
      <c r="A475" s="96" t="s">
        <v>2248</v>
      </c>
      <c r="C475" s="86" t="s">
        <v>1686</v>
      </c>
      <c r="D475" s="86" t="s">
        <v>1722</v>
      </c>
      <c r="E475" s="86" t="s">
        <v>2250</v>
      </c>
      <c r="F475" s="90">
        <f>VLOOKUP(C475,'WSS-29'!$C$1:$AU$617,14,)</f>
        <v>0</v>
      </c>
      <c r="G475" s="89">
        <f t="shared" si="192"/>
        <v>0</v>
      </c>
      <c r="H475" s="89">
        <f t="shared" si="192"/>
        <v>0</v>
      </c>
      <c r="I475" s="89">
        <f t="shared" si="192"/>
        <v>0</v>
      </c>
      <c r="J475" s="89">
        <f t="shared" si="192"/>
        <v>0</v>
      </c>
      <c r="K475" s="89">
        <f t="shared" si="192"/>
        <v>0</v>
      </c>
      <c r="L475" s="89">
        <f t="shared" si="192"/>
        <v>0</v>
      </c>
      <c r="M475" s="89">
        <f t="shared" si="192"/>
        <v>0</v>
      </c>
      <c r="N475" s="89">
        <f t="shared" si="192"/>
        <v>0</v>
      </c>
      <c r="O475" s="89">
        <f t="shared" si="192"/>
        <v>0</v>
      </c>
      <c r="P475" s="89">
        <f t="shared" si="192"/>
        <v>0</v>
      </c>
      <c r="Q475" s="89">
        <f t="shared" si="192"/>
        <v>0</v>
      </c>
      <c r="R475" s="89">
        <f t="shared" si="192"/>
        <v>0</v>
      </c>
      <c r="S475" s="89">
        <f t="shared" si="192"/>
        <v>0</v>
      </c>
      <c r="T475" s="89">
        <f t="shared" si="192"/>
        <v>0</v>
      </c>
      <c r="U475" s="89">
        <f t="shared" si="192"/>
        <v>0</v>
      </c>
      <c r="V475" s="89">
        <f t="shared" si="192"/>
        <v>0</v>
      </c>
      <c r="W475" s="91">
        <f>SUM(G475:V475)</f>
        <v>0</v>
      </c>
      <c r="X475" s="87" t="str">
        <f>IF(ABS(F475-W475)&lt;0.01,"ok","err")</f>
        <v>ok</v>
      </c>
      <c r="Y475" s="203" t="str">
        <f>IF(X475="err",W475-F475,"")</f>
        <v/>
      </c>
    </row>
    <row r="476" spans="1:25" ht="12" hidden="1" customHeight="1" x14ac:dyDescent="0.25">
      <c r="A476" s="96" t="s">
        <v>2248</v>
      </c>
      <c r="C476" s="86" t="s">
        <v>1686</v>
      </c>
      <c r="D476" s="86" t="s">
        <v>1723</v>
      </c>
      <c r="E476" s="86" t="s">
        <v>2250</v>
      </c>
      <c r="F476" s="90">
        <f>VLOOKUP(C476,'WSS-29'!$C$1:$AU$617,15,)</f>
        <v>0</v>
      </c>
      <c r="G476" s="89">
        <f t="shared" si="192"/>
        <v>0</v>
      </c>
      <c r="H476" s="89">
        <f t="shared" si="192"/>
        <v>0</v>
      </c>
      <c r="I476" s="89">
        <f t="shared" si="192"/>
        <v>0</v>
      </c>
      <c r="J476" s="89">
        <f t="shared" si="192"/>
        <v>0</v>
      </c>
      <c r="K476" s="89">
        <f t="shared" si="192"/>
        <v>0</v>
      </c>
      <c r="L476" s="89">
        <f t="shared" si="192"/>
        <v>0</v>
      </c>
      <c r="M476" s="89">
        <f t="shared" si="192"/>
        <v>0</v>
      </c>
      <c r="N476" s="89">
        <f t="shared" si="192"/>
        <v>0</v>
      </c>
      <c r="O476" s="89">
        <f t="shared" si="192"/>
        <v>0</v>
      </c>
      <c r="P476" s="89">
        <f t="shared" si="192"/>
        <v>0</v>
      </c>
      <c r="Q476" s="89">
        <f t="shared" si="192"/>
        <v>0</v>
      </c>
      <c r="R476" s="89">
        <f t="shared" si="192"/>
        <v>0</v>
      </c>
      <c r="S476" s="89">
        <f t="shared" si="192"/>
        <v>0</v>
      </c>
      <c r="T476" s="89">
        <f t="shared" si="192"/>
        <v>0</v>
      </c>
      <c r="U476" s="89">
        <f t="shared" si="192"/>
        <v>0</v>
      </c>
      <c r="V476" s="89">
        <f t="shared" si="192"/>
        <v>0</v>
      </c>
      <c r="W476" s="91">
        <f>SUM(G476:V476)</f>
        <v>0</v>
      </c>
      <c r="X476" s="87" t="str">
        <f>IF(ABS(F476-W476)&lt;0.01,"ok","err")</f>
        <v>ok</v>
      </c>
      <c r="Y476" s="203" t="str">
        <f>IF(X476="err",W476-F476,"")</f>
        <v/>
      </c>
    </row>
    <row r="477" spans="1:25" ht="12" hidden="1" customHeight="1" x14ac:dyDescent="0.25">
      <c r="A477" s="86" t="s">
        <v>443</v>
      </c>
      <c r="D477" s="86" t="s">
        <v>1724</v>
      </c>
      <c r="F477" s="89">
        <f t="shared" ref="F477:T477" si="193">SUM(F474:F476)</f>
        <v>1945145.602642254</v>
      </c>
      <c r="G477" s="89">
        <f t="shared" si="193"/>
        <v>860040.47006909933</v>
      </c>
      <c r="H477" s="89">
        <f t="shared" si="193"/>
        <v>220754.67773848123</v>
      </c>
      <c r="I477" s="89">
        <f>SUM(I474:I476)</f>
        <v>22592.981134264548</v>
      </c>
      <c r="J477" s="89">
        <f>SUM(J474:J476)</f>
        <v>196932.45842725964</v>
      </c>
      <c r="K477" s="89">
        <f>SUM(K474:K476)</f>
        <v>8462.3484781903371</v>
      </c>
      <c r="L477" s="89">
        <f t="shared" si="193"/>
        <v>174219.22580738945</v>
      </c>
      <c r="M477" s="89">
        <f t="shared" si="193"/>
        <v>283739.50376078748</v>
      </c>
      <c r="N477" s="89">
        <f t="shared" si="193"/>
        <v>98394.725967468883</v>
      </c>
      <c r="O477" s="89">
        <f t="shared" si="193"/>
        <v>65932.013604477499</v>
      </c>
      <c r="P477" s="89">
        <f>SUM(P474:P476)</f>
        <v>13279.432994255221</v>
      </c>
      <c r="Q477" s="89">
        <f t="shared" si="193"/>
        <v>483.14664810315116</v>
      </c>
      <c r="R477" s="89">
        <f t="shared" si="193"/>
        <v>130.17150778075089</v>
      </c>
      <c r="S477" s="89">
        <f t="shared" si="193"/>
        <v>183.30270152796191</v>
      </c>
      <c r="T477" s="89">
        <f t="shared" si="193"/>
        <v>1.1438031683568843</v>
      </c>
      <c r="U477" s="89">
        <f>SUM(U474:U476)</f>
        <v>0</v>
      </c>
      <c r="V477" s="89">
        <f>SUM(V474:V476)</f>
        <v>0</v>
      </c>
      <c r="W477" s="91">
        <f>SUM(G477:V477)</f>
        <v>1945145.602642254</v>
      </c>
      <c r="X477" s="87" t="str">
        <f>IF(ABS(F477-W477)&lt;0.01,"ok","err")</f>
        <v>ok</v>
      </c>
      <c r="Y477" s="91" t="str">
        <f>IF(X477="err",W477-F477,"")</f>
        <v/>
      </c>
    </row>
    <row r="478" spans="1:25" ht="12" customHeight="1" x14ac:dyDescent="0.25">
      <c r="F478" s="90"/>
      <c r="G478" s="90"/>
    </row>
    <row r="479" spans="1:25" ht="12" customHeight="1" x14ac:dyDescent="0.25">
      <c r="A479" s="23" t="s">
        <v>1628</v>
      </c>
      <c r="F479" s="90"/>
      <c r="G479" s="90"/>
    </row>
    <row r="480" spans="1:25" ht="12" customHeight="1" x14ac:dyDescent="0.25">
      <c r="A480" s="96" t="s">
        <v>145</v>
      </c>
      <c r="C480" s="86" t="s">
        <v>1686</v>
      </c>
      <c r="D480" s="86" t="s">
        <v>1725</v>
      </c>
      <c r="E480" s="86" t="s">
        <v>2254</v>
      </c>
      <c r="F480" s="89">
        <f>VLOOKUP(C480,'WSS-29'!$C$1:$AU$617,17,)</f>
        <v>0</v>
      </c>
      <c r="G480" s="89">
        <f t="shared" ref="G480:V480" si="194">IF(VLOOKUP($E480,$D$5:$V$977,3,)=0,0,(VLOOKUP($E480,$D$5:$V$977,G$1,)/VLOOKUP($E480,$D$5:$V$977,3,))*$F480)</f>
        <v>0</v>
      </c>
      <c r="H480" s="89">
        <f t="shared" si="194"/>
        <v>0</v>
      </c>
      <c r="I480" s="89">
        <f t="shared" si="194"/>
        <v>0</v>
      </c>
      <c r="J480" s="89">
        <f t="shared" si="194"/>
        <v>0</v>
      </c>
      <c r="K480" s="89">
        <f t="shared" si="194"/>
        <v>0</v>
      </c>
      <c r="L480" s="89">
        <f t="shared" si="194"/>
        <v>0</v>
      </c>
      <c r="M480" s="89">
        <f t="shared" si="194"/>
        <v>0</v>
      </c>
      <c r="N480" s="89">
        <f t="shared" si="194"/>
        <v>0</v>
      </c>
      <c r="O480" s="89">
        <f t="shared" si="194"/>
        <v>0</v>
      </c>
      <c r="P480" s="89">
        <f t="shared" si="194"/>
        <v>0</v>
      </c>
      <c r="Q480" s="89">
        <f t="shared" si="194"/>
        <v>0</v>
      </c>
      <c r="R480" s="89">
        <f t="shared" si="194"/>
        <v>0</v>
      </c>
      <c r="S480" s="89">
        <f t="shared" si="194"/>
        <v>0</v>
      </c>
      <c r="T480" s="89">
        <f t="shared" si="194"/>
        <v>0</v>
      </c>
      <c r="U480" s="89">
        <f t="shared" si="194"/>
        <v>0</v>
      </c>
      <c r="V480" s="89">
        <f t="shared" si="194"/>
        <v>0</v>
      </c>
      <c r="W480" s="91">
        <f>SUM(G480:V480)</f>
        <v>0</v>
      </c>
      <c r="X480" s="87" t="str">
        <f>IF(ABS(F480-W480)&lt;0.01,"ok","err")</f>
        <v>ok</v>
      </c>
      <c r="Y480" s="203" t="str">
        <f>IF(X480="err",W480-F480,"")</f>
        <v/>
      </c>
    </row>
    <row r="481" spans="1:25" ht="12" customHeight="1" x14ac:dyDescent="0.25">
      <c r="F481" s="90"/>
    </row>
    <row r="482" spans="1:25" ht="12" customHeight="1" x14ac:dyDescent="0.25">
      <c r="A482" s="23" t="s">
        <v>1629</v>
      </c>
      <c r="F482" s="90"/>
      <c r="G482" s="90"/>
    </row>
    <row r="483" spans="1:25" ht="12" customHeight="1" x14ac:dyDescent="0.25">
      <c r="A483" s="96" t="s">
        <v>147</v>
      </c>
      <c r="C483" s="86" t="s">
        <v>1686</v>
      </c>
      <c r="D483" s="86" t="s">
        <v>1726</v>
      </c>
      <c r="E483" s="86" t="s">
        <v>2254</v>
      </c>
      <c r="F483" s="89">
        <f>VLOOKUP(C483,'WSS-29'!$C$1:$AU$617,18,)</f>
        <v>500992.42484112654</v>
      </c>
      <c r="G483" s="89">
        <f t="shared" ref="G483:V483" si="195">IF(VLOOKUP($E483,$D$5:$V$977,3,)=0,0,(VLOOKUP($E483,$D$5:$V$977,G$1,)/VLOOKUP($E483,$D$5:$V$977,3,))*$F483)</f>
        <v>241952.60365703417</v>
      </c>
      <c r="H483" s="89">
        <f t="shared" si="195"/>
        <v>62104.250796481349</v>
      </c>
      <c r="I483" s="89">
        <f t="shared" si="195"/>
        <v>6356.0155597914645</v>
      </c>
      <c r="J483" s="89">
        <f t="shared" si="195"/>
        <v>55402.417350462398</v>
      </c>
      <c r="K483" s="89">
        <f t="shared" si="195"/>
        <v>2380.6870939303462</v>
      </c>
      <c r="L483" s="89">
        <f t="shared" si="195"/>
        <v>49012.571801212915</v>
      </c>
      <c r="M483" s="89">
        <f t="shared" si="195"/>
        <v>79823.58282484267</v>
      </c>
      <c r="N483" s="89">
        <f t="shared" si="195"/>
        <v>0</v>
      </c>
      <c r="O483" s="89">
        <f t="shared" si="195"/>
        <v>0</v>
      </c>
      <c r="P483" s="89">
        <f t="shared" si="195"/>
        <v>3735.8630202495356</v>
      </c>
      <c r="Q483" s="89">
        <f t="shared" si="195"/>
        <v>135.92219613494947</v>
      </c>
      <c r="R483" s="89">
        <f t="shared" si="195"/>
        <v>36.620759517263281</v>
      </c>
      <c r="S483" s="89">
        <f t="shared" si="195"/>
        <v>51.567998757657634</v>
      </c>
      <c r="T483" s="89">
        <f t="shared" si="195"/>
        <v>0.32178271172852851</v>
      </c>
      <c r="U483" s="89">
        <f t="shared" si="195"/>
        <v>0</v>
      </c>
      <c r="V483" s="89">
        <f t="shared" si="195"/>
        <v>0</v>
      </c>
      <c r="W483" s="91">
        <f>SUM(G483:V483)</f>
        <v>500992.42484112631</v>
      </c>
      <c r="X483" s="87" t="str">
        <f>IF(ABS(F483-W483)&lt;0.01,"ok","err")</f>
        <v>ok</v>
      </c>
      <c r="Y483" s="203" t="str">
        <f>IF(X483="err",W483-F483,"")</f>
        <v/>
      </c>
    </row>
    <row r="484" spans="1:25" ht="12" customHeight="1" x14ac:dyDescent="0.25">
      <c r="F484" s="90"/>
    </row>
    <row r="485" spans="1:25" ht="12" customHeight="1" x14ac:dyDescent="0.25">
      <c r="A485" s="23" t="s">
        <v>146</v>
      </c>
      <c r="F485" s="90"/>
    </row>
    <row r="486" spans="1:25" ht="12" customHeight="1" x14ac:dyDescent="0.25">
      <c r="A486" s="96" t="s">
        <v>792</v>
      </c>
      <c r="C486" s="86" t="s">
        <v>1686</v>
      </c>
      <c r="D486" s="86" t="s">
        <v>1727</v>
      </c>
      <c r="E486" s="86" t="s">
        <v>2254</v>
      </c>
      <c r="F486" s="89">
        <f>VLOOKUP(C486,'WSS-29'!$C$1:$AU$617,19,)</f>
        <v>0</v>
      </c>
      <c r="G486" s="89">
        <f t="shared" ref="G486:V490" si="196">IF(VLOOKUP($E486,$D$5:$V$977,3,)=0,0,(VLOOKUP($E486,$D$5:$V$977,G$1,)/VLOOKUP($E486,$D$5:$V$977,3,))*$F486)</f>
        <v>0</v>
      </c>
      <c r="H486" s="89">
        <f t="shared" si="196"/>
        <v>0</v>
      </c>
      <c r="I486" s="89">
        <f t="shared" si="196"/>
        <v>0</v>
      </c>
      <c r="J486" s="89">
        <f t="shared" si="196"/>
        <v>0</v>
      </c>
      <c r="K486" s="89">
        <f t="shared" si="196"/>
        <v>0</v>
      </c>
      <c r="L486" s="89">
        <f t="shared" si="196"/>
        <v>0</v>
      </c>
      <c r="M486" s="89">
        <f t="shared" si="196"/>
        <v>0</v>
      </c>
      <c r="N486" s="89">
        <f t="shared" si="196"/>
        <v>0</v>
      </c>
      <c r="O486" s="89">
        <f t="shared" si="196"/>
        <v>0</v>
      </c>
      <c r="P486" s="89">
        <f t="shared" si="196"/>
        <v>0</v>
      </c>
      <c r="Q486" s="89">
        <f t="shared" si="196"/>
        <v>0</v>
      </c>
      <c r="R486" s="89">
        <f t="shared" si="196"/>
        <v>0</v>
      </c>
      <c r="S486" s="89">
        <f t="shared" si="196"/>
        <v>0</v>
      </c>
      <c r="T486" s="89">
        <f t="shared" si="196"/>
        <v>0</v>
      </c>
      <c r="U486" s="89">
        <f t="shared" si="196"/>
        <v>0</v>
      </c>
      <c r="V486" s="89">
        <f t="shared" si="196"/>
        <v>0</v>
      </c>
      <c r="W486" s="91">
        <f t="shared" ref="W486:W491" si="197">SUM(G486:V486)</f>
        <v>0</v>
      </c>
      <c r="X486" s="87" t="str">
        <f t="shared" ref="X486:X491" si="198">IF(ABS(F486-W486)&lt;0.01,"ok","err")</f>
        <v>ok</v>
      </c>
      <c r="Y486" s="203" t="str">
        <f t="shared" ref="Y486:Y491" si="199">IF(X486="err",W486-F486,"")</f>
        <v/>
      </c>
    </row>
    <row r="487" spans="1:25" ht="12" customHeight="1" x14ac:dyDescent="0.25">
      <c r="A487" s="96" t="s">
        <v>793</v>
      </c>
      <c r="C487" s="86" t="s">
        <v>1686</v>
      </c>
      <c r="D487" s="86" t="s">
        <v>1728</v>
      </c>
      <c r="E487" s="86" t="s">
        <v>2254</v>
      </c>
      <c r="F487" s="90">
        <f>VLOOKUP(C487,'WSS-29'!$C$1:$AU$617,20,)</f>
        <v>398465.99176428304</v>
      </c>
      <c r="G487" s="89">
        <f t="shared" si="196"/>
        <v>192437.80822978285</v>
      </c>
      <c r="H487" s="89">
        <f t="shared" si="196"/>
        <v>49394.822475100758</v>
      </c>
      <c r="I487" s="89">
        <f t="shared" si="196"/>
        <v>5055.2781202323968</v>
      </c>
      <c r="J487" s="89">
        <f t="shared" si="196"/>
        <v>44064.496948614345</v>
      </c>
      <c r="K487" s="89">
        <f t="shared" si="196"/>
        <v>1893.4874000624045</v>
      </c>
      <c r="L487" s="89">
        <f t="shared" si="196"/>
        <v>38982.312033723247</v>
      </c>
      <c r="M487" s="89">
        <f t="shared" si="196"/>
        <v>63487.952151304227</v>
      </c>
      <c r="N487" s="89">
        <f t="shared" si="196"/>
        <v>0</v>
      </c>
      <c r="O487" s="89">
        <f t="shared" si="196"/>
        <v>0</v>
      </c>
      <c r="P487" s="89">
        <f t="shared" si="196"/>
        <v>2971.3310813657645</v>
      </c>
      <c r="Q487" s="89">
        <f t="shared" si="196"/>
        <v>108.10617087247824</v>
      </c>
      <c r="R487" s="89">
        <f t="shared" si="196"/>
        <v>29.126442909461232</v>
      </c>
      <c r="S487" s="89">
        <f t="shared" si="196"/>
        <v>41.014779364748925</v>
      </c>
      <c r="T487" s="89">
        <f t="shared" si="196"/>
        <v>0.25593095025771928</v>
      </c>
      <c r="U487" s="89">
        <f t="shared" si="196"/>
        <v>0</v>
      </c>
      <c r="V487" s="89">
        <f t="shared" si="196"/>
        <v>0</v>
      </c>
      <c r="W487" s="91">
        <f t="shared" si="197"/>
        <v>398465.99176428292</v>
      </c>
      <c r="X487" s="87" t="str">
        <f t="shared" si="198"/>
        <v>ok</v>
      </c>
      <c r="Y487" s="203" t="str">
        <f t="shared" si="199"/>
        <v/>
      </c>
    </row>
    <row r="488" spans="1:25" ht="12" customHeight="1" x14ac:dyDescent="0.25">
      <c r="A488" s="96" t="s">
        <v>794</v>
      </c>
      <c r="C488" s="86" t="s">
        <v>1686</v>
      </c>
      <c r="D488" s="86" t="s">
        <v>1729</v>
      </c>
      <c r="E488" s="86" t="s">
        <v>905</v>
      </c>
      <c r="F488" s="90">
        <f>VLOOKUP(C488,'WSS-29'!$C$1:$AU$617,21,)</f>
        <v>774524.31067157036</v>
      </c>
      <c r="G488" s="89">
        <f t="shared" si="196"/>
        <v>622186.72728228988</v>
      </c>
      <c r="H488" s="89">
        <f t="shared" si="196"/>
        <v>116441.81658385838</v>
      </c>
      <c r="I488" s="89">
        <f t="shared" si="196"/>
        <v>596.38734817785985</v>
      </c>
      <c r="J488" s="89">
        <f t="shared" si="196"/>
        <v>6246.5948425893303</v>
      </c>
      <c r="K488" s="89">
        <f t="shared" si="196"/>
        <v>286.94108261387595</v>
      </c>
      <c r="L488" s="89">
        <f t="shared" si="196"/>
        <v>1077.4356337364165</v>
      </c>
      <c r="M488" s="89">
        <f t="shared" si="196"/>
        <v>360.0829272017267</v>
      </c>
      <c r="N488" s="89">
        <f t="shared" si="196"/>
        <v>0</v>
      </c>
      <c r="O488" s="89">
        <f t="shared" si="196"/>
        <v>0</v>
      </c>
      <c r="P488" s="89">
        <f t="shared" si="196"/>
        <v>27083.581106520502</v>
      </c>
      <c r="Q488" s="89">
        <f t="shared" si="196"/>
        <v>16.878887212580942</v>
      </c>
      <c r="R488" s="89">
        <f t="shared" si="196"/>
        <v>208.17294228849826</v>
      </c>
      <c r="S488" s="89">
        <f t="shared" si="196"/>
        <v>5.6262957375269798</v>
      </c>
      <c r="T488" s="89">
        <f t="shared" si="196"/>
        <v>14.065739343817448</v>
      </c>
      <c r="U488" s="89">
        <f t="shared" si="196"/>
        <v>0</v>
      </c>
      <c r="V488" s="89">
        <f t="shared" si="196"/>
        <v>0</v>
      </c>
      <c r="W488" s="91">
        <f t="shared" si="197"/>
        <v>774524.31067157048</v>
      </c>
      <c r="X488" s="87" t="str">
        <f t="shared" si="198"/>
        <v>ok</v>
      </c>
      <c r="Y488" s="203" t="str">
        <f t="shared" si="199"/>
        <v/>
      </c>
    </row>
    <row r="489" spans="1:25" ht="12" customHeight="1" x14ac:dyDescent="0.25">
      <c r="A489" s="96" t="s">
        <v>795</v>
      </c>
      <c r="C489" s="86" t="s">
        <v>1686</v>
      </c>
      <c r="D489" s="86" t="s">
        <v>1730</v>
      </c>
      <c r="E489" s="86" t="s">
        <v>734</v>
      </c>
      <c r="F489" s="90">
        <f>VLOOKUP(C489,'WSS-29'!$C$1:$AU$617,22,)</f>
        <v>179383.29348936616</v>
      </c>
      <c r="G489" s="89">
        <f t="shared" si="196"/>
        <v>148578.34265515144</v>
      </c>
      <c r="H489" s="89">
        <f t="shared" si="196"/>
        <v>27715.649937660095</v>
      </c>
      <c r="I489" s="89">
        <f t="shared" si="196"/>
        <v>2008.9765171809718</v>
      </c>
      <c r="J489" s="89">
        <f t="shared" si="196"/>
        <v>0</v>
      </c>
      <c r="K489" s="89">
        <f t="shared" si="196"/>
        <v>0</v>
      </c>
      <c r="L489" s="89">
        <f t="shared" si="196"/>
        <v>0</v>
      </c>
      <c r="M489" s="89">
        <f t="shared" si="196"/>
        <v>0</v>
      </c>
      <c r="N489" s="89">
        <f t="shared" si="196"/>
        <v>0</v>
      </c>
      <c r="O489" s="89">
        <f t="shared" si="196"/>
        <v>0</v>
      </c>
      <c r="P489" s="89">
        <f t="shared" si="196"/>
        <v>1032.5466873159332</v>
      </c>
      <c r="Q489" s="89">
        <f t="shared" si="196"/>
        <v>37.567226793683211</v>
      </c>
      <c r="R489" s="89">
        <f t="shared" si="196"/>
        <v>10.121528471891871</v>
      </c>
      <c r="S489" s="89">
        <f t="shared" si="196"/>
        <v>0</v>
      </c>
      <c r="T489" s="89">
        <f t="shared" si="196"/>
        <v>8.8936792176239135E-2</v>
      </c>
      <c r="U489" s="89">
        <f t="shared" si="196"/>
        <v>0</v>
      </c>
      <c r="V489" s="89">
        <f t="shared" si="196"/>
        <v>0</v>
      </c>
      <c r="W489" s="91">
        <f t="shared" si="197"/>
        <v>179383.29348936616</v>
      </c>
      <c r="X489" s="87" t="str">
        <f t="shared" si="198"/>
        <v>ok</v>
      </c>
      <c r="Y489" s="203" t="str">
        <f t="shared" si="199"/>
        <v/>
      </c>
    </row>
    <row r="490" spans="1:25" ht="12" customHeight="1" x14ac:dyDescent="0.25">
      <c r="A490" s="96" t="s">
        <v>796</v>
      </c>
      <c r="C490" s="86" t="s">
        <v>1686</v>
      </c>
      <c r="D490" s="86" t="s">
        <v>1731</v>
      </c>
      <c r="E490" s="86" t="s">
        <v>904</v>
      </c>
      <c r="F490" s="90">
        <f>VLOOKUP(C490,'WSS-29'!$C$1:$AU$617,23,)</f>
        <v>362130.31535748491</v>
      </c>
      <c r="G490" s="89">
        <f t="shared" si="196"/>
        <v>291147.80811554746</v>
      </c>
      <c r="H490" s="89">
        <f t="shared" si="196"/>
        <v>54488.111341535463</v>
      </c>
      <c r="I490" s="89">
        <f t="shared" si="196"/>
        <v>279.07517405309039</v>
      </c>
      <c r="J490" s="89">
        <f t="shared" si="196"/>
        <v>2923.0491697400344</v>
      </c>
      <c r="K490" s="89">
        <f t="shared" si="196"/>
        <v>0</v>
      </c>
      <c r="L490" s="89">
        <f t="shared" si="196"/>
        <v>504.17826255817744</v>
      </c>
      <c r="M490" s="89">
        <f t="shared" si="196"/>
        <v>0</v>
      </c>
      <c r="N490" s="89">
        <f t="shared" si="196"/>
        <v>0</v>
      </c>
      <c r="O490" s="89">
        <f t="shared" si="196"/>
        <v>0</v>
      </c>
      <c r="P490" s="89">
        <f t="shared" si="196"/>
        <v>12673.567161302492</v>
      </c>
      <c r="Q490" s="89">
        <f t="shared" si="196"/>
        <v>7.8983539826346352</v>
      </c>
      <c r="R490" s="89">
        <f t="shared" si="196"/>
        <v>97.413032452493837</v>
      </c>
      <c r="S490" s="89">
        <f t="shared" si="196"/>
        <v>2.6327846608782113</v>
      </c>
      <c r="T490" s="89">
        <f t="shared" si="196"/>
        <v>6.5819616521955284</v>
      </c>
      <c r="U490" s="89">
        <f t="shared" si="196"/>
        <v>0</v>
      </c>
      <c r="V490" s="89">
        <f t="shared" si="196"/>
        <v>0</v>
      </c>
      <c r="W490" s="91">
        <f t="shared" si="197"/>
        <v>362130.31535748503</v>
      </c>
      <c r="X490" s="87" t="str">
        <f t="shared" si="198"/>
        <v>ok</v>
      </c>
      <c r="Y490" s="203" t="str">
        <f t="shared" si="199"/>
        <v/>
      </c>
    </row>
    <row r="491" spans="1:25" ht="12" customHeight="1" x14ac:dyDescent="0.25">
      <c r="A491" s="86" t="s">
        <v>151</v>
      </c>
      <c r="D491" s="86" t="s">
        <v>1732</v>
      </c>
      <c r="F491" s="89">
        <f>SUM(F486:F490)</f>
        <v>1714503.9112827044</v>
      </c>
      <c r="G491" s="89">
        <f t="shared" ref="G491:T491" si="200">SUM(G486:G490)</f>
        <v>1254350.6862827716</v>
      </c>
      <c r="H491" s="89">
        <f t="shared" si="200"/>
        <v>248040.40033815469</v>
      </c>
      <c r="I491" s="89">
        <f>SUM(I486:I490)</f>
        <v>7939.7171596443186</v>
      </c>
      <c r="J491" s="89">
        <f>SUM(J486:J490)</f>
        <v>53234.140960943711</v>
      </c>
      <c r="K491" s="89">
        <f>SUM(K486:K490)</f>
        <v>2180.4284826762805</v>
      </c>
      <c r="L491" s="89">
        <f t="shared" si="200"/>
        <v>40563.925930017838</v>
      </c>
      <c r="M491" s="89">
        <f t="shared" si="200"/>
        <v>63848.035078505956</v>
      </c>
      <c r="N491" s="89">
        <f t="shared" si="200"/>
        <v>0</v>
      </c>
      <c r="O491" s="89">
        <f t="shared" si="200"/>
        <v>0</v>
      </c>
      <c r="P491" s="89">
        <f>SUM(P486:P490)</f>
        <v>43761.026036504692</v>
      </c>
      <c r="Q491" s="89">
        <f t="shared" si="200"/>
        <v>170.45063886137703</v>
      </c>
      <c r="R491" s="89">
        <f t="shared" si="200"/>
        <v>344.8339461223452</v>
      </c>
      <c r="S491" s="89">
        <f t="shared" si="200"/>
        <v>49.273859763154114</v>
      </c>
      <c r="T491" s="89">
        <f t="shared" si="200"/>
        <v>20.992568738446934</v>
      </c>
      <c r="U491" s="89">
        <f>SUM(U486:U490)</f>
        <v>0</v>
      </c>
      <c r="V491" s="89">
        <f>SUM(V486:V490)</f>
        <v>0</v>
      </c>
      <c r="W491" s="91">
        <f t="shared" si="197"/>
        <v>1714503.9112827044</v>
      </c>
      <c r="X491" s="87" t="str">
        <f t="shared" si="198"/>
        <v>ok</v>
      </c>
      <c r="Y491" s="91" t="str">
        <f t="shared" si="199"/>
        <v/>
      </c>
    </row>
    <row r="492" spans="1:25" ht="12" customHeight="1" x14ac:dyDescent="0.25">
      <c r="F492" s="90"/>
    </row>
    <row r="493" spans="1:25" ht="12" customHeight="1" x14ac:dyDescent="0.25">
      <c r="A493" s="23" t="s">
        <v>791</v>
      </c>
      <c r="F493" s="90"/>
    </row>
    <row r="494" spans="1:25" ht="12" customHeight="1" x14ac:dyDescent="0.25">
      <c r="A494" s="96" t="s">
        <v>389</v>
      </c>
      <c r="C494" s="86" t="s">
        <v>1686</v>
      </c>
      <c r="D494" s="86" t="s">
        <v>1733</v>
      </c>
      <c r="E494" s="86" t="s">
        <v>2179</v>
      </c>
      <c r="F494" s="89">
        <f>VLOOKUP(C494,'WSS-29'!$C$1:$AU$617,24,)</f>
        <v>261493.18000603822</v>
      </c>
      <c r="G494" s="89">
        <f t="shared" ref="G494:V495" si="201">IF(VLOOKUP($E494,$D$5:$V$977,3,)=0,0,(VLOOKUP($E494,$D$5:$V$977,G$1,)/VLOOKUP($E494,$D$5:$V$977,3,))*$F494)</f>
        <v>178745.46788159921</v>
      </c>
      <c r="H494" s="89">
        <f t="shared" si="201"/>
        <v>33342.994188917248</v>
      </c>
      <c r="I494" s="89">
        <f t="shared" si="201"/>
        <v>2416.8761147115142</v>
      </c>
      <c r="J494" s="89">
        <f t="shared" si="201"/>
        <v>24634.626536885306</v>
      </c>
      <c r="K494" s="89">
        <f t="shared" si="201"/>
        <v>0</v>
      </c>
      <c r="L494" s="89">
        <f t="shared" si="201"/>
        <v>21024.344073280485</v>
      </c>
      <c r="M494" s="89">
        <f t="shared" si="201"/>
        <v>0</v>
      </c>
      <c r="N494" s="89">
        <f t="shared" si="201"/>
        <v>0</v>
      </c>
      <c r="O494" s="89">
        <f t="shared" si="201"/>
        <v>0</v>
      </c>
      <c r="P494" s="89">
        <f t="shared" si="201"/>
        <v>1242.1934276265986</v>
      </c>
      <c r="Q494" s="89">
        <f t="shared" si="201"/>
        <v>45.194820525333391</v>
      </c>
      <c r="R494" s="89">
        <f t="shared" si="201"/>
        <v>12.176588525989414</v>
      </c>
      <c r="S494" s="89">
        <f t="shared" si="201"/>
        <v>29.19937958064078</v>
      </c>
      <c r="T494" s="89">
        <f t="shared" si="201"/>
        <v>0.10699438589328782</v>
      </c>
      <c r="U494" s="89">
        <f t="shared" si="201"/>
        <v>0</v>
      </c>
      <c r="V494" s="89">
        <f t="shared" si="201"/>
        <v>0</v>
      </c>
      <c r="W494" s="91">
        <f>SUM(G494:V494)</f>
        <v>261493.18000603822</v>
      </c>
      <c r="X494" s="87" t="str">
        <f>IF(ABS(F494-W494)&lt;0.01,"ok","err")</f>
        <v>ok</v>
      </c>
      <c r="Y494" s="203" t="str">
        <f>IF(X494="err",W494-F494,"")</f>
        <v/>
      </c>
    </row>
    <row r="495" spans="1:25" ht="12" customHeight="1" x14ac:dyDescent="0.25">
      <c r="A495" s="96" t="s">
        <v>392</v>
      </c>
      <c r="C495" s="86" t="s">
        <v>1686</v>
      </c>
      <c r="D495" s="86" t="s">
        <v>1734</v>
      </c>
      <c r="E495" s="86" t="s">
        <v>2178</v>
      </c>
      <c r="F495" s="90">
        <f>VLOOKUP(C495,'WSS-29'!$C$1:$AU$617,25,)</f>
        <v>217255.59462201441</v>
      </c>
      <c r="G495" s="89">
        <f t="shared" si="201"/>
        <v>174670.51912678819</v>
      </c>
      <c r="H495" s="89">
        <f t="shared" si="201"/>
        <v>32689.46709874268</v>
      </c>
      <c r="I495" s="89">
        <f t="shared" si="201"/>
        <v>167.42769194369561</v>
      </c>
      <c r="J495" s="89">
        <f t="shared" si="201"/>
        <v>1753.6471224574343</v>
      </c>
      <c r="K495" s="89">
        <f t="shared" si="201"/>
        <v>0</v>
      </c>
      <c r="L495" s="89">
        <f t="shared" si="201"/>
        <v>302.47550006809155</v>
      </c>
      <c r="M495" s="89">
        <f t="shared" si="201"/>
        <v>0</v>
      </c>
      <c r="N495" s="89">
        <f t="shared" si="201"/>
        <v>0</v>
      </c>
      <c r="O495" s="89">
        <f t="shared" si="201"/>
        <v>0</v>
      </c>
      <c r="P495" s="89">
        <f t="shared" si="201"/>
        <v>7603.3495480562715</v>
      </c>
      <c r="Q495" s="89">
        <f t="shared" si="201"/>
        <v>4.7385195833121401</v>
      </c>
      <c r="R495" s="89">
        <f t="shared" si="201"/>
        <v>58.441741527516392</v>
      </c>
      <c r="S495" s="89">
        <f t="shared" si="201"/>
        <v>1.5795065277707132</v>
      </c>
      <c r="T495" s="89">
        <f t="shared" si="201"/>
        <v>3.9487663194267832</v>
      </c>
      <c r="U495" s="89">
        <f t="shared" si="201"/>
        <v>0</v>
      </c>
      <c r="V495" s="89">
        <f t="shared" si="201"/>
        <v>0</v>
      </c>
      <c r="W495" s="91">
        <f>SUM(G495:V495)</f>
        <v>217255.59462201438</v>
      </c>
      <c r="X495" s="87" t="str">
        <f>IF(ABS(F495-W495)&lt;0.01,"ok","err")</f>
        <v>ok</v>
      </c>
      <c r="Y495" s="203" t="str">
        <f>IF(X495="err",W495-F495,"")</f>
        <v/>
      </c>
    </row>
    <row r="496" spans="1:25" ht="12" customHeight="1" x14ac:dyDescent="0.25">
      <c r="A496" s="86" t="s">
        <v>1469</v>
      </c>
      <c r="D496" s="86" t="s">
        <v>1735</v>
      </c>
      <c r="F496" s="89">
        <f t="shared" ref="F496:T496" si="202">F494+F495</f>
        <v>478748.7746280526</v>
      </c>
      <c r="G496" s="89">
        <f t="shared" si="202"/>
        <v>353415.9870083874</v>
      </c>
      <c r="H496" s="89">
        <f t="shared" si="202"/>
        <v>66032.461287659928</v>
      </c>
      <c r="I496" s="89">
        <f>I494+I495</f>
        <v>2584.3038066552099</v>
      </c>
      <c r="J496" s="89">
        <f>J494+J495</f>
        <v>26388.27365934274</v>
      </c>
      <c r="K496" s="89">
        <f>K494+K495</f>
        <v>0</v>
      </c>
      <c r="L496" s="89">
        <f t="shared" si="202"/>
        <v>21326.819573348577</v>
      </c>
      <c r="M496" s="89">
        <f t="shared" si="202"/>
        <v>0</v>
      </c>
      <c r="N496" s="89">
        <f t="shared" si="202"/>
        <v>0</v>
      </c>
      <c r="O496" s="89">
        <f t="shared" si="202"/>
        <v>0</v>
      </c>
      <c r="P496" s="89">
        <f>P494+P495</f>
        <v>8845.5429756828707</v>
      </c>
      <c r="Q496" s="89">
        <f t="shared" si="202"/>
        <v>49.933340108645531</v>
      </c>
      <c r="R496" s="89">
        <f t="shared" si="202"/>
        <v>70.618330053505801</v>
      </c>
      <c r="S496" s="89">
        <f t="shared" si="202"/>
        <v>30.778886108411495</v>
      </c>
      <c r="T496" s="89">
        <f t="shared" si="202"/>
        <v>4.055760705320071</v>
      </c>
      <c r="U496" s="89">
        <f>U494+U495</f>
        <v>0</v>
      </c>
      <c r="V496" s="89">
        <f>V494+V495</f>
        <v>0</v>
      </c>
      <c r="W496" s="91">
        <f>SUM(G496:V496)</f>
        <v>478748.77462805266</v>
      </c>
      <c r="X496" s="87" t="str">
        <f>IF(ABS(F496-W496)&lt;0.01,"ok","err")</f>
        <v>ok</v>
      </c>
      <c r="Y496" s="91" t="str">
        <f>IF(X496="err",W496-F496,"")</f>
        <v/>
      </c>
    </row>
    <row r="497" spans="1:25" ht="12" customHeight="1" x14ac:dyDescent="0.25">
      <c r="F497" s="90"/>
    </row>
    <row r="498" spans="1:25" ht="12" customHeight="1" x14ac:dyDescent="0.25">
      <c r="A498" s="23" t="s">
        <v>128</v>
      </c>
      <c r="F498" s="90"/>
    </row>
    <row r="499" spans="1:25" ht="12" customHeight="1" x14ac:dyDescent="0.25">
      <c r="A499" s="96" t="s">
        <v>392</v>
      </c>
      <c r="C499" s="86" t="s">
        <v>1686</v>
      </c>
      <c r="D499" s="86" t="s">
        <v>1736</v>
      </c>
      <c r="E499" s="86" t="s">
        <v>393</v>
      </c>
      <c r="F499" s="89">
        <f>VLOOKUP(C499,'WSS-29'!$C$1:$AU$617,26,)</f>
        <v>183174.09028420402</v>
      </c>
      <c r="G499" s="89">
        <f t="shared" ref="G499:V499" si="203">IF(VLOOKUP($E499,$D$5:$V$977,3,)=0,0,(VLOOKUP($E499,$D$5:$V$977,G$1,)/VLOOKUP($E499,$D$5:$V$977,3,))*$F499)</f>
        <v>144865.71413786651</v>
      </c>
      <c r="H499" s="89">
        <f t="shared" si="203"/>
        <v>32566.846946580205</v>
      </c>
      <c r="I499" s="89">
        <f t="shared" si="203"/>
        <v>294.65611333890462</v>
      </c>
      <c r="J499" s="89">
        <f t="shared" si="203"/>
        <v>4232.2365363342906</v>
      </c>
      <c r="K499" s="89">
        <f t="shared" si="203"/>
        <v>0</v>
      </c>
      <c r="L499" s="89">
        <f t="shared" si="203"/>
        <v>1210.8243265780968</v>
      </c>
      <c r="M499" s="89">
        <f t="shared" si="203"/>
        <v>0</v>
      </c>
      <c r="N499" s="89">
        <f t="shared" si="203"/>
        <v>0</v>
      </c>
      <c r="O499" s="89">
        <f t="shared" si="203"/>
        <v>0</v>
      </c>
      <c r="P499" s="89">
        <f t="shared" si="203"/>
        <v>0</v>
      </c>
      <c r="Q499" s="89">
        <f t="shared" si="203"/>
        <v>0</v>
      </c>
      <c r="R499" s="89">
        <f t="shared" si="203"/>
        <v>0</v>
      </c>
      <c r="S499" s="89">
        <f t="shared" si="203"/>
        <v>3.8122235060042748</v>
      </c>
      <c r="T499" s="89">
        <f t="shared" si="203"/>
        <v>0</v>
      </c>
      <c r="U499" s="89">
        <f t="shared" si="203"/>
        <v>0</v>
      </c>
      <c r="V499" s="89">
        <f t="shared" si="203"/>
        <v>0</v>
      </c>
      <c r="W499" s="91">
        <f>SUM(G499:V499)</f>
        <v>183174.09028420405</v>
      </c>
      <c r="X499" s="87" t="str">
        <f>IF(ABS(F499-W499)&lt;0.01,"ok","err")</f>
        <v>ok</v>
      </c>
      <c r="Y499" s="203" t="str">
        <f>IF(X499="err",W499-F499,"")</f>
        <v/>
      </c>
    </row>
    <row r="500" spans="1:25" ht="12" customHeight="1" x14ac:dyDescent="0.25">
      <c r="F500" s="90"/>
    </row>
    <row r="501" spans="1:25" ht="12" customHeight="1" x14ac:dyDescent="0.25">
      <c r="A501" s="23" t="s">
        <v>127</v>
      </c>
      <c r="F501" s="90"/>
    </row>
    <row r="502" spans="1:25" ht="12" customHeight="1" x14ac:dyDescent="0.25">
      <c r="A502" s="96" t="s">
        <v>392</v>
      </c>
      <c r="C502" s="86" t="s">
        <v>1686</v>
      </c>
      <c r="D502" s="86" t="s">
        <v>1737</v>
      </c>
      <c r="E502" s="86" t="s">
        <v>394</v>
      </c>
      <c r="F502" s="89">
        <f>VLOOKUP(C502,'WSS-29'!$C$1:$AU$617,27,)</f>
        <v>108940.73891384155</v>
      </c>
      <c r="G502" s="89">
        <f t="shared" ref="G502:V502" si="204">IF(VLOOKUP($E502,$D$5:$V$977,3,)=0,0,(VLOOKUP($E502,$D$5:$V$977,G$1,)/VLOOKUP($E502,$D$5:$V$977,3,))*$F502)</f>
        <v>65814.899357510425</v>
      </c>
      <c r="H502" s="89">
        <f t="shared" si="204"/>
        <v>26558.274209943967</v>
      </c>
      <c r="I502" s="89">
        <f t="shared" si="204"/>
        <v>542.11027639139559</v>
      </c>
      <c r="J502" s="89">
        <f t="shared" si="204"/>
        <v>8303.7794431008806</v>
      </c>
      <c r="K502" s="89">
        <f t="shared" si="204"/>
        <v>1623.8953084257566</v>
      </c>
      <c r="L502" s="89">
        <f t="shared" si="204"/>
        <v>1485.2303685829936</v>
      </c>
      <c r="M502" s="89">
        <f t="shared" si="204"/>
        <v>2876.6844982755629</v>
      </c>
      <c r="N502" s="89">
        <f t="shared" si="204"/>
        <v>1426.2396297658809</v>
      </c>
      <c r="O502" s="89">
        <f t="shared" si="204"/>
        <v>88.041147948107621</v>
      </c>
      <c r="P502" s="89">
        <f t="shared" si="204"/>
        <v>0</v>
      </c>
      <c r="Q502" s="89">
        <f t="shared" si="204"/>
        <v>16.069032029163008</v>
      </c>
      <c r="R502" s="89">
        <f t="shared" si="204"/>
        <v>198.03594102607371</v>
      </c>
      <c r="S502" s="89">
        <f t="shared" si="204"/>
        <v>7.4797008413623942</v>
      </c>
      <c r="T502" s="89">
        <f t="shared" si="204"/>
        <v>0</v>
      </c>
      <c r="U502" s="89">
        <f t="shared" si="204"/>
        <v>0</v>
      </c>
      <c r="V502" s="89">
        <f t="shared" si="204"/>
        <v>0</v>
      </c>
      <c r="W502" s="91">
        <f>SUM(G502:V502)</f>
        <v>108940.73891384156</v>
      </c>
      <c r="X502" s="87" t="str">
        <f>IF(ABS(F502-W502)&lt;0.01,"ok","err")</f>
        <v>ok</v>
      </c>
      <c r="Y502" s="203" t="str">
        <f>IF(X502="err",W502-F502,"")</f>
        <v/>
      </c>
    </row>
    <row r="503" spans="1:25" ht="12" customHeight="1" x14ac:dyDescent="0.25">
      <c r="F503" s="90"/>
    </row>
    <row r="504" spans="1:25" ht="12" customHeight="1" x14ac:dyDescent="0.25">
      <c r="A504" s="23" t="s">
        <v>144</v>
      </c>
      <c r="F504" s="90"/>
    </row>
    <row r="505" spans="1:25" ht="12" customHeight="1" x14ac:dyDescent="0.25">
      <c r="A505" s="96" t="s">
        <v>392</v>
      </c>
      <c r="C505" s="86" t="s">
        <v>1686</v>
      </c>
      <c r="D505" s="86" t="s">
        <v>1738</v>
      </c>
      <c r="E505" s="86" t="s">
        <v>395</v>
      </c>
      <c r="F505" s="89">
        <f>VLOOKUP(C505,'WSS-29'!$C$1:$AU$617,28,)</f>
        <v>209772.10459009689</v>
      </c>
      <c r="G505" s="89">
        <f t="shared" ref="G505:V505" si="205">IF(VLOOKUP($E505,$D$5:$V$977,3,)=0,0,(VLOOKUP($E505,$D$5:$V$977,G$1,)/VLOOKUP($E505,$D$5:$V$977,3,))*$F505)</f>
        <v>0</v>
      </c>
      <c r="H505" s="89">
        <f t="shared" si="205"/>
        <v>0</v>
      </c>
      <c r="I505" s="89">
        <f t="shared" si="205"/>
        <v>0</v>
      </c>
      <c r="J505" s="89">
        <f t="shared" si="205"/>
        <v>0</v>
      </c>
      <c r="K505" s="89">
        <f t="shared" si="205"/>
        <v>0</v>
      </c>
      <c r="L505" s="89">
        <f t="shared" si="205"/>
        <v>0</v>
      </c>
      <c r="M505" s="89">
        <f t="shared" si="205"/>
        <v>0</v>
      </c>
      <c r="N505" s="89">
        <f t="shared" si="205"/>
        <v>0</v>
      </c>
      <c r="O505" s="89">
        <f t="shared" si="205"/>
        <v>0</v>
      </c>
      <c r="P505" s="89">
        <f t="shared" si="205"/>
        <v>209772.10459009689</v>
      </c>
      <c r="Q505" s="89">
        <f t="shared" si="205"/>
        <v>0</v>
      </c>
      <c r="R505" s="89">
        <f t="shared" si="205"/>
        <v>0</v>
      </c>
      <c r="S505" s="89">
        <f t="shared" si="205"/>
        <v>0</v>
      </c>
      <c r="T505" s="89">
        <f t="shared" si="205"/>
        <v>0</v>
      </c>
      <c r="U505" s="89">
        <f t="shared" si="205"/>
        <v>0</v>
      </c>
      <c r="V505" s="89">
        <f t="shared" si="205"/>
        <v>0</v>
      </c>
      <c r="W505" s="91">
        <f>SUM(G505:V505)</f>
        <v>209772.10459009689</v>
      </c>
      <c r="X505" s="87" t="str">
        <f>IF(ABS(F505-W505)&lt;0.01,"ok","err")</f>
        <v>ok</v>
      </c>
      <c r="Y505" s="203" t="str">
        <f>IF(X505="err",W505-F505,"")</f>
        <v/>
      </c>
    </row>
    <row r="506" spans="1:25" ht="12" customHeight="1" x14ac:dyDescent="0.25">
      <c r="F506" s="90"/>
    </row>
    <row r="507" spans="1:25" ht="12" customHeight="1" x14ac:dyDescent="0.25">
      <c r="A507" s="23" t="s">
        <v>292</v>
      </c>
      <c r="F507" s="90"/>
    </row>
    <row r="508" spans="1:25" ht="12" customHeight="1" x14ac:dyDescent="0.25">
      <c r="A508" s="96" t="s">
        <v>392</v>
      </c>
      <c r="C508" s="86" t="s">
        <v>1686</v>
      </c>
      <c r="D508" s="86" t="s">
        <v>1739</v>
      </c>
      <c r="E508" s="86" t="s">
        <v>396</v>
      </c>
      <c r="F508" s="89">
        <f>VLOOKUP(C508,'WSS-29'!$C$1:$AU$617,30,)</f>
        <v>0</v>
      </c>
      <c r="G508" s="89">
        <f t="shared" ref="G508:V508" si="206">IF(VLOOKUP($E508,$D$5:$V$977,3,)=0,0,(VLOOKUP($E508,$D$5:$V$977,G$1,)/VLOOKUP($E508,$D$5:$V$977,3,))*$F508)</f>
        <v>0</v>
      </c>
      <c r="H508" s="89">
        <f t="shared" si="206"/>
        <v>0</v>
      </c>
      <c r="I508" s="89">
        <f t="shared" si="206"/>
        <v>0</v>
      </c>
      <c r="J508" s="89">
        <f t="shared" si="206"/>
        <v>0</v>
      </c>
      <c r="K508" s="89">
        <f t="shared" si="206"/>
        <v>0</v>
      </c>
      <c r="L508" s="89">
        <f t="shared" si="206"/>
        <v>0</v>
      </c>
      <c r="M508" s="89">
        <f t="shared" si="206"/>
        <v>0</v>
      </c>
      <c r="N508" s="89">
        <f t="shared" si="206"/>
        <v>0</v>
      </c>
      <c r="O508" s="89">
        <f t="shared" si="206"/>
        <v>0</v>
      </c>
      <c r="P508" s="89">
        <f t="shared" si="206"/>
        <v>0</v>
      </c>
      <c r="Q508" s="89">
        <f t="shared" si="206"/>
        <v>0</v>
      </c>
      <c r="R508" s="89">
        <f t="shared" si="206"/>
        <v>0</v>
      </c>
      <c r="S508" s="89">
        <f t="shared" si="206"/>
        <v>0</v>
      </c>
      <c r="T508" s="89">
        <f t="shared" si="206"/>
        <v>0</v>
      </c>
      <c r="U508" s="89">
        <f t="shared" si="206"/>
        <v>0</v>
      </c>
      <c r="V508" s="89">
        <f t="shared" si="206"/>
        <v>0</v>
      </c>
      <c r="W508" s="91">
        <f>SUM(G508:V508)</f>
        <v>0</v>
      </c>
      <c r="X508" s="87" t="str">
        <f>IF(ABS(F508-W508)&lt;0.01,"ok","err")</f>
        <v>ok</v>
      </c>
      <c r="Y508" s="203" t="str">
        <f>IF(X508="err",W508-F508,"")</f>
        <v/>
      </c>
    </row>
    <row r="509" spans="1:25" ht="12" customHeight="1" x14ac:dyDescent="0.25">
      <c r="F509" s="90"/>
    </row>
    <row r="510" spans="1:25" ht="12" customHeight="1" x14ac:dyDescent="0.25">
      <c r="A510" s="23" t="s">
        <v>1631</v>
      </c>
      <c r="F510" s="90"/>
    </row>
    <row r="511" spans="1:25" ht="12" customHeight="1" x14ac:dyDescent="0.25">
      <c r="A511" s="96" t="s">
        <v>392</v>
      </c>
      <c r="C511" s="86" t="s">
        <v>1686</v>
      </c>
      <c r="D511" s="86" t="s">
        <v>1740</v>
      </c>
      <c r="E511" s="86" t="s">
        <v>396</v>
      </c>
      <c r="F511" s="89">
        <f>VLOOKUP(C511,'WSS-29'!$C$1:$AU$617,32,)</f>
        <v>0</v>
      </c>
      <c r="G511" s="89">
        <f t="shared" ref="G511:V511" si="207">IF(VLOOKUP($E511,$D$5:$V$977,3,)=0,0,(VLOOKUP($E511,$D$5:$V$977,G$1,)/VLOOKUP($E511,$D$5:$V$977,3,))*$F511)</f>
        <v>0</v>
      </c>
      <c r="H511" s="89">
        <f t="shared" si="207"/>
        <v>0</v>
      </c>
      <c r="I511" s="89">
        <f t="shared" si="207"/>
        <v>0</v>
      </c>
      <c r="J511" s="89">
        <f t="shared" si="207"/>
        <v>0</v>
      </c>
      <c r="K511" s="89">
        <f t="shared" si="207"/>
        <v>0</v>
      </c>
      <c r="L511" s="89">
        <f t="shared" si="207"/>
        <v>0</v>
      </c>
      <c r="M511" s="89">
        <f t="shared" si="207"/>
        <v>0</v>
      </c>
      <c r="N511" s="89">
        <f t="shared" si="207"/>
        <v>0</v>
      </c>
      <c r="O511" s="89">
        <f t="shared" si="207"/>
        <v>0</v>
      </c>
      <c r="P511" s="89">
        <f t="shared" si="207"/>
        <v>0</v>
      </c>
      <c r="Q511" s="89">
        <f t="shared" si="207"/>
        <v>0</v>
      </c>
      <c r="R511" s="89">
        <f t="shared" si="207"/>
        <v>0</v>
      </c>
      <c r="S511" s="89">
        <f t="shared" si="207"/>
        <v>0</v>
      </c>
      <c r="T511" s="89">
        <f t="shared" si="207"/>
        <v>0</v>
      </c>
      <c r="U511" s="89">
        <f t="shared" si="207"/>
        <v>0</v>
      </c>
      <c r="V511" s="89">
        <f t="shared" si="207"/>
        <v>0</v>
      </c>
      <c r="W511" s="91">
        <f>SUM(G511:V511)</f>
        <v>0</v>
      </c>
      <c r="X511" s="87" t="str">
        <f>IF(ABS(F511-W511)&lt;0.01,"ok","err")</f>
        <v>ok</v>
      </c>
      <c r="Y511" s="203" t="str">
        <f>IF(X511="err",W511-F511,"")</f>
        <v/>
      </c>
    </row>
    <row r="512" spans="1:25" ht="12" customHeight="1" x14ac:dyDescent="0.25">
      <c r="F512" s="90"/>
    </row>
    <row r="513" spans="1:25" ht="12" customHeight="1" x14ac:dyDescent="0.25">
      <c r="A513" s="23" t="s">
        <v>1630</v>
      </c>
      <c r="F513" s="90"/>
    </row>
    <row r="514" spans="1:25" ht="12" customHeight="1" x14ac:dyDescent="0.25">
      <c r="A514" s="96" t="s">
        <v>392</v>
      </c>
      <c r="C514" s="86" t="s">
        <v>1686</v>
      </c>
      <c r="D514" s="86" t="s">
        <v>1741</v>
      </c>
      <c r="E514" s="86" t="s">
        <v>397</v>
      </c>
      <c r="F514" s="89">
        <f>VLOOKUP(C514,'WSS-29'!$C$1:$AU$617,34,)</f>
        <v>0</v>
      </c>
      <c r="G514" s="89">
        <f t="shared" ref="G514:V514" si="208">IF(VLOOKUP($E514,$D$5:$V$977,3,)=0,0,(VLOOKUP($E514,$D$5:$V$977,G$1,)/VLOOKUP($E514,$D$5:$V$977,3,))*$F514)</f>
        <v>0</v>
      </c>
      <c r="H514" s="89">
        <f t="shared" si="208"/>
        <v>0</v>
      </c>
      <c r="I514" s="89">
        <f t="shared" si="208"/>
        <v>0</v>
      </c>
      <c r="J514" s="89">
        <f t="shared" si="208"/>
        <v>0</v>
      </c>
      <c r="K514" s="89">
        <f t="shared" si="208"/>
        <v>0</v>
      </c>
      <c r="L514" s="89">
        <f t="shared" si="208"/>
        <v>0</v>
      </c>
      <c r="M514" s="89">
        <f t="shared" si="208"/>
        <v>0</v>
      </c>
      <c r="N514" s="89">
        <f t="shared" si="208"/>
        <v>0</v>
      </c>
      <c r="O514" s="89">
        <f t="shared" si="208"/>
        <v>0</v>
      </c>
      <c r="P514" s="89">
        <f t="shared" si="208"/>
        <v>0</v>
      </c>
      <c r="Q514" s="89">
        <f t="shared" si="208"/>
        <v>0</v>
      </c>
      <c r="R514" s="89">
        <f t="shared" si="208"/>
        <v>0</v>
      </c>
      <c r="S514" s="89">
        <f t="shared" si="208"/>
        <v>0</v>
      </c>
      <c r="T514" s="89">
        <f t="shared" si="208"/>
        <v>0</v>
      </c>
      <c r="U514" s="89">
        <f t="shared" si="208"/>
        <v>0</v>
      </c>
      <c r="V514" s="89">
        <f t="shared" si="208"/>
        <v>0</v>
      </c>
      <c r="W514" s="91">
        <f>SUM(G514:V514)</f>
        <v>0</v>
      </c>
      <c r="X514" s="87" t="str">
        <f>IF(ABS(F514-W514)&lt;0.01,"ok","err")</f>
        <v>ok</v>
      </c>
      <c r="Y514" s="203" t="str">
        <f>IF(X514="err",W514-F514,"")</f>
        <v/>
      </c>
    </row>
    <row r="515" spans="1:25" ht="12" customHeight="1" x14ac:dyDescent="0.25">
      <c r="F515" s="90"/>
    </row>
    <row r="516" spans="1:25" ht="12" customHeight="1" x14ac:dyDescent="0.25">
      <c r="A516" s="86" t="s">
        <v>62</v>
      </c>
      <c r="D516" s="86" t="s">
        <v>410</v>
      </c>
      <c r="F516" s="89">
        <f>F471+F477+F480+F483+F491+F496+F499+F502+F505+F508+F511+F514</f>
        <v>13649179.000000002</v>
      </c>
      <c r="G516" s="89">
        <f t="shared" ref="G516:T516" si="209">G471+G477+G480+G483+G491+G496+G499+G502+G505+G508+G511+G514</f>
        <v>6412012.4339161385</v>
      </c>
      <c r="H516" s="89">
        <f t="shared" si="209"/>
        <v>1596492.2638081999</v>
      </c>
      <c r="I516" s="89">
        <f>I471+I477+I480+I483+I491+I496+I499+I502+I505+I508+I511+I514</f>
        <v>100654.9517082745</v>
      </c>
      <c r="J516" s="89">
        <f>J471+J477+J480+J483+J491+J496+J499+J502+J505+J508+J511+J514</f>
        <v>1221486.916642416</v>
      </c>
      <c r="K516" s="89">
        <f>K471+K477+K480+K483+K491+K496+K499+K502+K505+K508+K511+K514</f>
        <v>52748.506046576644</v>
      </c>
      <c r="L516" s="89">
        <f t="shared" si="209"/>
        <v>1131246.5845915331</v>
      </c>
      <c r="M516" s="89">
        <f t="shared" si="209"/>
        <v>1974276.0810385898</v>
      </c>
      <c r="N516" s="89">
        <f t="shared" si="209"/>
        <v>602412.39223575592</v>
      </c>
      <c r="O516" s="89">
        <f>O471+O477+O480+O483+O491+O496+O499+O502+O505+O508+O511+O514</f>
        <v>274142.47301164339</v>
      </c>
      <c r="P516" s="89">
        <f>P471+P477+P480+P483+P491+P496+P499+P502+P505+P508+P511+P514</f>
        <v>280750.52357849095</v>
      </c>
      <c r="Q516" s="89">
        <f t="shared" si="209"/>
        <v>904.87746400844173</v>
      </c>
      <c r="R516" s="89">
        <f t="shared" si="209"/>
        <v>1587.3572482853897</v>
      </c>
      <c r="S516" s="89">
        <f t="shared" si="209"/>
        <v>430.0999656693844</v>
      </c>
      <c r="T516" s="89">
        <f t="shared" si="209"/>
        <v>33.538744416951054</v>
      </c>
      <c r="U516" s="89">
        <f>U471+U477+U480+U483+U491+U496+U499+U502+U505+U508+U511+U514</f>
        <v>0</v>
      </c>
      <c r="V516" s="89">
        <f>V471+V477+V480+V483+V491+V496+V499+V502+V505+V508+V511+V514</f>
        <v>0</v>
      </c>
      <c r="W516" s="91">
        <f>SUM(G516:V516)</f>
        <v>13649178.999999998</v>
      </c>
      <c r="X516" s="87" t="str">
        <f>IF(ABS(F516-W516)&lt;0.01,"ok","err")</f>
        <v>ok</v>
      </c>
      <c r="Y516" s="91" t="str">
        <f>IF(X516="err",W516-F516,"")</f>
        <v/>
      </c>
    </row>
    <row r="517" spans="1:25" ht="12" customHeight="1" x14ac:dyDescent="0.25">
      <c r="F517" s="89"/>
      <c r="G517" s="89"/>
      <c r="H517" s="89"/>
      <c r="I517" s="89"/>
      <c r="J517" s="89"/>
      <c r="K517" s="89"/>
      <c r="L517" s="89"/>
      <c r="M517" s="89"/>
      <c r="N517" s="89"/>
      <c r="O517" s="89"/>
      <c r="P517" s="89"/>
      <c r="Q517" s="89"/>
      <c r="R517" s="89"/>
      <c r="S517" s="89"/>
      <c r="T517" s="89"/>
      <c r="U517" s="89"/>
      <c r="V517" s="89"/>
      <c r="W517" s="91"/>
      <c r="X517" s="87"/>
    </row>
    <row r="518" spans="1:25" ht="12" customHeight="1" x14ac:dyDescent="0.25">
      <c r="F518" s="89"/>
      <c r="G518" s="89"/>
      <c r="H518" s="89"/>
      <c r="I518" s="89"/>
      <c r="J518" s="89"/>
      <c r="K518" s="89"/>
      <c r="L518" s="89"/>
      <c r="M518" s="89"/>
      <c r="N518" s="89"/>
      <c r="O518" s="89"/>
      <c r="P518" s="89"/>
      <c r="Q518" s="89"/>
      <c r="R518" s="89"/>
      <c r="S518" s="89"/>
      <c r="T518" s="89"/>
      <c r="U518" s="89"/>
      <c r="V518" s="89"/>
      <c r="W518" s="91"/>
      <c r="X518" s="87"/>
    </row>
    <row r="519" spans="1:25" ht="12" customHeight="1" x14ac:dyDescent="0.25">
      <c r="F519" s="89"/>
      <c r="G519" s="89"/>
      <c r="H519" s="89"/>
      <c r="I519" s="89"/>
      <c r="J519" s="89"/>
      <c r="K519" s="89"/>
      <c r="L519" s="89"/>
      <c r="M519" s="89"/>
      <c r="N519" s="89"/>
      <c r="O519" s="89"/>
      <c r="P519" s="89"/>
      <c r="Q519" s="89"/>
      <c r="R519" s="89"/>
      <c r="S519" s="89"/>
      <c r="T519" s="89"/>
      <c r="U519" s="89"/>
      <c r="V519" s="89"/>
      <c r="W519" s="91"/>
      <c r="X519" s="87"/>
    </row>
    <row r="520" spans="1:25" ht="12" customHeight="1" x14ac:dyDescent="0.25">
      <c r="A520" s="22" t="s">
        <v>706</v>
      </c>
    </row>
    <row r="522" spans="1:25" ht="12" customHeight="1" x14ac:dyDescent="0.25">
      <c r="A522" s="23" t="s">
        <v>137</v>
      </c>
    </row>
    <row r="523" spans="1:25" ht="12" customHeight="1" x14ac:dyDescent="0.25">
      <c r="A523" s="96" t="s">
        <v>2270</v>
      </c>
      <c r="C523" s="86" t="s">
        <v>900</v>
      </c>
      <c r="D523" s="86" t="s">
        <v>1715</v>
      </c>
      <c r="E523" s="86" t="s">
        <v>2269</v>
      </c>
      <c r="F523" s="89">
        <f>VLOOKUP(C523,'WSS-29'!$C$1:$AU$617,6,)</f>
        <v>0</v>
      </c>
      <c r="G523" s="89">
        <f t="shared" ref="G523:V528" si="210">IF(VLOOKUP($E523,$D$5:$V$977,3,)=0,0,(VLOOKUP($E523,$D$5:$V$977,G$1,)/VLOOKUP($E523,$D$5:$V$977,3,))*$F523)</f>
        <v>0</v>
      </c>
      <c r="H523" s="89">
        <f t="shared" si="210"/>
        <v>0</v>
      </c>
      <c r="I523" s="89">
        <f t="shared" si="210"/>
        <v>0</v>
      </c>
      <c r="J523" s="89">
        <f t="shared" si="210"/>
        <v>0</v>
      </c>
      <c r="K523" s="89">
        <f t="shared" si="210"/>
        <v>0</v>
      </c>
      <c r="L523" s="89">
        <f t="shared" si="210"/>
        <v>0</v>
      </c>
      <c r="M523" s="89">
        <f t="shared" si="210"/>
        <v>0</v>
      </c>
      <c r="N523" s="89">
        <f t="shared" si="210"/>
        <v>0</v>
      </c>
      <c r="O523" s="89">
        <f t="shared" si="210"/>
        <v>0</v>
      </c>
      <c r="P523" s="89">
        <f t="shared" si="210"/>
        <v>0</v>
      </c>
      <c r="Q523" s="89">
        <f t="shared" si="210"/>
        <v>0</v>
      </c>
      <c r="R523" s="89">
        <f t="shared" si="210"/>
        <v>0</v>
      </c>
      <c r="S523" s="89">
        <f t="shared" si="210"/>
        <v>0</v>
      </c>
      <c r="T523" s="89">
        <f t="shared" si="210"/>
        <v>0</v>
      </c>
      <c r="U523" s="89">
        <f t="shared" si="210"/>
        <v>0</v>
      </c>
      <c r="V523" s="89">
        <f t="shared" si="210"/>
        <v>0</v>
      </c>
      <c r="W523" s="91">
        <f t="shared" ref="W523:W528" si="211">SUM(G523:V523)</f>
        <v>0</v>
      </c>
      <c r="X523" s="87" t="str">
        <f t="shared" ref="X523:X528" si="212">IF(ABS(F523-W523)&lt;0.01,"ok","err")</f>
        <v>ok</v>
      </c>
      <c r="Y523" s="203" t="str">
        <f t="shared" ref="Y523:Y528" si="213">IF(X523="err",W523-F523,"")</f>
        <v/>
      </c>
    </row>
    <row r="524" spans="1:25" ht="12" hidden="1" customHeight="1" x14ac:dyDescent="0.25">
      <c r="A524" s="96" t="s">
        <v>2271</v>
      </c>
      <c r="C524" s="86" t="s">
        <v>900</v>
      </c>
      <c r="D524" s="86" t="s">
        <v>1716</v>
      </c>
      <c r="E524" s="86" t="s">
        <v>2269</v>
      </c>
      <c r="F524" s="90">
        <f>VLOOKUP(C524,'WSS-29'!$C$1:$AU$617,7,)</f>
        <v>0</v>
      </c>
      <c r="G524" s="89">
        <f t="shared" si="210"/>
        <v>0</v>
      </c>
      <c r="H524" s="89">
        <f t="shared" si="210"/>
        <v>0</v>
      </c>
      <c r="I524" s="89">
        <f t="shared" si="210"/>
        <v>0</v>
      </c>
      <c r="J524" s="89">
        <f t="shared" si="210"/>
        <v>0</v>
      </c>
      <c r="K524" s="89">
        <f t="shared" si="210"/>
        <v>0</v>
      </c>
      <c r="L524" s="89">
        <f t="shared" si="210"/>
        <v>0</v>
      </c>
      <c r="M524" s="89">
        <f t="shared" si="210"/>
        <v>0</v>
      </c>
      <c r="N524" s="89">
        <f t="shared" si="210"/>
        <v>0</v>
      </c>
      <c r="O524" s="89">
        <f t="shared" si="210"/>
        <v>0</v>
      </c>
      <c r="P524" s="89">
        <f t="shared" si="210"/>
        <v>0</v>
      </c>
      <c r="Q524" s="89">
        <f t="shared" si="210"/>
        <v>0</v>
      </c>
      <c r="R524" s="89">
        <f t="shared" si="210"/>
        <v>0</v>
      </c>
      <c r="S524" s="89">
        <f t="shared" si="210"/>
        <v>0</v>
      </c>
      <c r="T524" s="89">
        <f t="shared" si="210"/>
        <v>0</v>
      </c>
      <c r="U524" s="89">
        <f t="shared" si="210"/>
        <v>0</v>
      </c>
      <c r="V524" s="89">
        <f t="shared" si="210"/>
        <v>0</v>
      </c>
      <c r="W524" s="91">
        <f t="shared" si="211"/>
        <v>0</v>
      </c>
      <c r="X524" s="87" t="str">
        <f t="shared" si="212"/>
        <v>ok</v>
      </c>
      <c r="Y524" s="203" t="str">
        <f t="shared" si="213"/>
        <v/>
      </c>
    </row>
    <row r="525" spans="1:25" ht="12" hidden="1" customHeight="1" x14ac:dyDescent="0.25">
      <c r="A525" s="96" t="s">
        <v>2271</v>
      </c>
      <c r="C525" s="86" t="s">
        <v>900</v>
      </c>
      <c r="D525" s="86" t="s">
        <v>1717</v>
      </c>
      <c r="E525" s="86" t="s">
        <v>2269</v>
      </c>
      <c r="F525" s="90">
        <f>VLOOKUP(C525,'WSS-29'!$C$1:$AU$617,8,)</f>
        <v>0</v>
      </c>
      <c r="G525" s="89">
        <f t="shared" si="210"/>
        <v>0</v>
      </c>
      <c r="H525" s="89">
        <f t="shared" si="210"/>
        <v>0</v>
      </c>
      <c r="I525" s="89">
        <f t="shared" si="210"/>
        <v>0</v>
      </c>
      <c r="J525" s="89">
        <f t="shared" si="210"/>
        <v>0</v>
      </c>
      <c r="K525" s="89">
        <f t="shared" si="210"/>
        <v>0</v>
      </c>
      <c r="L525" s="89">
        <f t="shared" si="210"/>
        <v>0</v>
      </c>
      <c r="M525" s="89">
        <f t="shared" si="210"/>
        <v>0</v>
      </c>
      <c r="N525" s="89">
        <f t="shared" si="210"/>
        <v>0</v>
      </c>
      <c r="O525" s="89">
        <f t="shared" si="210"/>
        <v>0</v>
      </c>
      <c r="P525" s="89">
        <f t="shared" si="210"/>
        <v>0</v>
      </c>
      <c r="Q525" s="89">
        <f t="shared" si="210"/>
        <v>0</v>
      </c>
      <c r="R525" s="89">
        <f t="shared" si="210"/>
        <v>0</v>
      </c>
      <c r="S525" s="89">
        <f t="shared" si="210"/>
        <v>0</v>
      </c>
      <c r="T525" s="89">
        <f t="shared" si="210"/>
        <v>0</v>
      </c>
      <c r="U525" s="89">
        <f t="shared" si="210"/>
        <v>0</v>
      </c>
      <c r="V525" s="89">
        <f t="shared" si="210"/>
        <v>0</v>
      </c>
      <c r="W525" s="91">
        <f t="shared" si="211"/>
        <v>0</v>
      </c>
      <c r="X525" s="87" t="str">
        <f t="shared" si="212"/>
        <v>ok</v>
      </c>
      <c r="Y525" s="203" t="str">
        <f t="shared" si="213"/>
        <v/>
      </c>
    </row>
    <row r="526" spans="1:25" ht="12" customHeight="1" x14ac:dyDescent="0.25">
      <c r="A526" s="96" t="s">
        <v>2273</v>
      </c>
      <c r="C526" s="86" t="s">
        <v>900</v>
      </c>
      <c r="D526" s="86" t="s">
        <v>1718</v>
      </c>
      <c r="E526" s="86" t="s">
        <v>390</v>
      </c>
      <c r="F526" s="90">
        <f>VLOOKUP(C526,'WSS-29'!$C$1:$AU$617,9,)</f>
        <v>0</v>
      </c>
      <c r="G526" s="89">
        <f t="shared" si="210"/>
        <v>0</v>
      </c>
      <c r="H526" s="89">
        <f t="shared" si="210"/>
        <v>0</v>
      </c>
      <c r="I526" s="89">
        <f t="shared" si="210"/>
        <v>0</v>
      </c>
      <c r="J526" s="89">
        <f t="shared" si="210"/>
        <v>0</v>
      </c>
      <c r="K526" s="89">
        <f t="shared" si="210"/>
        <v>0</v>
      </c>
      <c r="L526" s="89">
        <f t="shared" si="210"/>
        <v>0</v>
      </c>
      <c r="M526" s="89">
        <f t="shared" si="210"/>
        <v>0</v>
      </c>
      <c r="N526" s="89">
        <f t="shared" si="210"/>
        <v>0</v>
      </c>
      <c r="O526" s="89">
        <f t="shared" si="210"/>
        <v>0</v>
      </c>
      <c r="P526" s="89">
        <f t="shared" si="210"/>
        <v>0</v>
      </c>
      <c r="Q526" s="89">
        <f t="shared" si="210"/>
        <v>0</v>
      </c>
      <c r="R526" s="89">
        <f t="shared" si="210"/>
        <v>0</v>
      </c>
      <c r="S526" s="89">
        <f t="shared" si="210"/>
        <v>0</v>
      </c>
      <c r="T526" s="89">
        <f t="shared" si="210"/>
        <v>0</v>
      </c>
      <c r="U526" s="89">
        <f t="shared" si="210"/>
        <v>0</v>
      </c>
      <c r="V526" s="89">
        <f t="shared" si="210"/>
        <v>0</v>
      </c>
      <c r="W526" s="91">
        <f t="shared" si="211"/>
        <v>0</v>
      </c>
      <c r="X526" s="87" t="str">
        <f t="shared" si="212"/>
        <v>ok</v>
      </c>
      <c r="Y526" s="203" t="str">
        <f t="shared" si="213"/>
        <v/>
      </c>
    </row>
    <row r="527" spans="1:25" ht="12" hidden="1" customHeight="1" x14ac:dyDescent="0.25">
      <c r="A527" s="96" t="s">
        <v>2272</v>
      </c>
      <c r="C527" s="86" t="s">
        <v>900</v>
      </c>
      <c r="D527" s="86" t="s">
        <v>1719</v>
      </c>
      <c r="E527" s="86" t="s">
        <v>390</v>
      </c>
      <c r="F527" s="90">
        <f>VLOOKUP(C527,'WSS-29'!$C$1:$AU$617,10,)</f>
        <v>0</v>
      </c>
      <c r="G527" s="89">
        <f t="shared" si="210"/>
        <v>0</v>
      </c>
      <c r="H527" s="89">
        <f t="shared" si="210"/>
        <v>0</v>
      </c>
      <c r="I527" s="89">
        <f t="shared" si="210"/>
        <v>0</v>
      </c>
      <c r="J527" s="89">
        <f t="shared" si="210"/>
        <v>0</v>
      </c>
      <c r="K527" s="89">
        <f t="shared" si="210"/>
        <v>0</v>
      </c>
      <c r="L527" s="89">
        <f t="shared" si="210"/>
        <v>0</v>
      </c>
      <c r="M527" s="89">
        <f t="shared" si="210"/>
        <v>0</v>
      </c>
      <c r="N527" s="89">
        <f t="shared" si="210"/>
        <v>0</v>
      </c>
      <c r="O527" s="89">
        <f t="shared" si="210"/>
        <v>0</v>
      </c>
      <c r="P527" s="89">
        <f t="shared" si="210"/>
        <v>0</v>
      </c>
      <c r="Q527" s="89">
        <f t="shared" si="210"/>
        <v>0</v>
      </c>
      <c r="R527" s="89">
        <f t="shared" si="210"/>
        <v>0</v>
      </c>
      <c r="S527" s="89">
        <f t="shared" si="210"/>
        <v>0</v>
      </c>
      <c r="T527" s="89">
        <f t="shared" si="210"/>
        <v>0</v>
      </c>
      <c r="U527" s="89">
        <f t="shared" si="210"/>
        <v>0</v>
      </c>
      <c r="V527" s="89">
        <f t="shared" si="210"/>
        <v>0</v>
      </c>
      <c r="W527" s="91">
        <f t="shared" si="211"/>
        <v>0</v>
      </c>
      <c r="X527" s="87" t="str">
        <f t="shared" si="212"/>
        <v>ok</v>
      </c>
      <c r="Y527" s="203" t="str">
        <f t="shared" si="213"/>
        <v/>
      </c>
    </row>
    <row r="528" spans="1:25" ht="12" hidden="1" customHeight="1" x14ac:dyDescent="0.25">
      <c r="A528" s="96" t="s">
        <v>2272</v>
      </c>
      <c r="C528" s="86" t="s">
        <v>900</v>
      </c>
      <c r="D528" s="86" t="s">
        <v>1720</v>
      </c>
      <c r="E528" s="86" t="s">
        <v>390</v>
      </c>
      <c r="F528" s="90">
        <f>VLOOKUP(C528,'WSS-29'!$C$1:$AU$617,11,)</f>
        <v>0</v>
      </c>
      <c r="G528" s="89">
        <f t="shared" si="210"/>
        <v>0</v>
      </c>
      <c r="H528" s="89">
        <f t="shared" si="210"/>
        <v>0</v>
      </c>
      <c r="I528" s="89">
        <f t="shared" si="210"/>
        <v>0</v>
      </c>
      <c r="J528" s="89">
        <f t="shared" si="210"/>
        <v>0</v>
      </c>
      <c r="K528" s="89">
        <f t="shared" si="210"/>
        <v>0</v>
      </c>
      <c r="L528" s="89">
        <f t="shared" si="210"/>
        <v>0</v>
      </c>
      <c r="M528" s="89">
        <f t="shared" si="210"/>
        <v>0</v>
      </c>
      <c r="N528" s="89">
        <f t="shared" si="210"/>
        <v>0</v>
      </c>
      <c r="O528" s="89">
        <f t="shared" si="210"/>
        <v>0</v>
      </c>
      <c r="P528" s="89">
        <f t="shared" si="210"/>
        <v>0</v>
      </c>
      <c r="Q528" s="89">
        <f t="shared" si="210"/>
        <v>0</v>
      </c>
      <c r="R528" s="89">
        <f t="shared" si="210"/>
        <v>0</v>
      </c>
      <c r="S528" s="89">
        <f t="shared" si="210"/>
        <v>0</v>
      </c>
      <c r="T528" s="89">
        <f t="shared" si="210"/>
        <v>0</v>
      </c>
      <c r="U528" s="89">
        <f t="shared" si="210"/>
        <v>0</v>
      </c>
      <c r="V528" s="89">
        <f t="shared" si="210"/>
        <v>0</v>
      </c>
      <c r="W528" s="91">
        <f t="shared" si="211"/>
        <v>0</v>
      </c>
      <c r="X528" s="87" t="str">
        <f t="shared" si="212"/>
        <v>ok</v>
      </c>
      <c r="Y528" s="203" t="str">
        <f t="shared" si="213"/>
        <v/>
      </c>
    </row>
    <row r="529" spans="1:25" ht="12" customHeight="1" x14ac:dyDescent="0.25">
      <c r="A529" s="86" t="s">
        <v>160</v>
      </c>
      <c r="D529" s="86" t="s">
        <v>409</v>
      </c>
      <c r="F529" s="89">
        <f t="shared" ref="F529:T529" si="214">SUM(F523:F528)</f>
        <v>0</v>
      </c>
      <c r="G529" s="89">
        <f t="shared" si="214"/>
        <v>0</v>
      </c>
      <c r="H529" s="89">
        <f t="shared" si="214"/>
        <v>0</v>
      </c>
      <c r="I529" s="89">
        <f>SUM(I523:I528)</f>
        <v>0</v>
      </c>
      <c r="J529" s="89">
        <f>SUM(J523:J528)</f>
        <v>0</v>
      </c>
      <c r="K529" s="89">
        <f>SUM(K523:K528)</f>
        <v>0</v>
      </c>
      <c r="L529" s="89">
        <f t="shared" si="214"/>
        <v>0</v>
      </c>
      <c r="M529" s="89">
        <f t="shared" si="214"/>
        <v>0</v>
      </c>
      <c r="N529" s="89">
        <f t="shared" si="214"/>
        <v>0</v>
      </c>
      <c r="O529" s="89">
        <f t="shared" si="214"/>
        <v>0</v>
      </c>
      <c r="P529" s="89">
        <f>SUM(P523:P528)</f>
        <v>0</v>
      </c>
      <c r="Q529" s="89">
        <f t="shared" si="214"/>
        <v>0</v>
      </c>
      <c r="R529" s="89">
        <f t="shared" si="214"/>
        <v>0</v>
      </c>
      <c r="S529" s="89">
        <f t="shared" si="214"/>
        <v>0</v>
      </c>
      <c r="T529" s="89">
        <f t="shared" si="214"/>
        <v>0</v>
      </c>
      <c r="U529" s="89">
        <f>SUM(U523:U528)</f>
        <v>0</v>
      </c>
      <c r="V529" s="89">
        <f>SUM(V523:V528)</f>
        <v>0</v>
      </c>
      <c r="W529" s="91">
        <f>SUM(G529:V529)</f>
        <v>0</v>
      </c>
      <c r="X529" s="87" t="str">
        <f>IF(ABS(F529-W529)&lt;0.01,"ok","err")</f>
        <v>ok</v>
      </c>
      <c r="Y529" s="91" t="str">
        <f>IF(X529="err",W529-F529,"")</f>
        <v/>
      </c>
    </row>
    <row r="530" spans="1:25" ht="12" customHeight="1" x14ac:dyDescent="0.25">
      <c r="F530" s="90"/>
      <c r="G530" s="90"/>
    </row>
    <row r="531" spans="1:25" ht="12" customHeight="1" x14ac:dyDescent="0.25">
      <c r="A531" s="23" t="s">
        <v>441</v>
      </c>
      <c r="F531" s="90"/>
      <c r="G531" s="90"/>
    </row>
    <row r="532" spans="1:25" ht="12" customHeight="1" x14ac:dyDescent="0.25">
      <c r="A532" s="96" t="s">
        <v>2249</v>
      </c>
      <c r="C532" s="86" t="s">
        <v>900</v>
      </c>
      <c r="D532" s="86" t="s">
        <v>1721</v>
      </c>
      <c r="E532" s="86" t="s">
        <v>2250</v>
      </c>
      <c r="F532" s="89">
        <f>VLOOKUP(C532,'WSS-29'!$C$1:$AU$617,13,)</f>
        <v>0</v>
      </c>
      <c r="G532" s="89">
        <f t="shared" ref="G532:V534" si="215">IF(VLOOKUP($E532,$D$5:$V$977,3,)=0,0,(VLOOKUP($E532,$D$5:$V$977,G$1,)/VLOOKUP($E532,$D$5:$V$977,3,))*$F532)</f>
        <v>0</v>
      </c>
      <c r="H532" s="89">
        <f t="shared" si="215"/>
        <v>0</v>
      </c>
      <c r="I532" s="89">
        <f t="shared" si="215"/>
        <v>0</v>
      </c>
      <c r="J532" s="89">
        <f t="shared" si="215"/>
        <v>0</v>
      </c>
      <c r="K532" s="89">
        <f t="shared" si="215"/>
        <v>0</v>
      </c>
      <c r="L532" s="89">
        <f t="shared" si="215"/>
        <v>0</v>
      </c>
      <c r="M532" s="89">
        <f t="shared" si="215"/>
        <v>0</v>
      </c>
      <c r="N532" s="89">
        <f t="shared" si="215"/>
        <v>0</v>
      </c>
      <c r="O532" s="89">
        <f t="shared" si="215"/>
        <v>0</v>
      </c>
      <c r="P532" s="89">
        <f t="shared" si="215"/>
        <v>0</v>
      </c>
      <c r="Q532" s="89">
        <f t="shared" si="215"/>
        <v>0</v>
      </c>
      <c r="R532" s="89">
        <f t="shared" si="215"/>
        <v>0</v>
      </c>
      <c r="S532" s="89">
        <f t="shared" si="215"/>
        <v>0</v>
      </c>
      <c r="T532" s="89">
        <f t="shared" si="215"/>
        <v>0</v>
      </c>
      <c r="U532" s="89">
        <f t="shared" si="215"/>
        <v>0</v>
      </c>
      <c r="V532" s="89">
        <f t="shared" si="215"/>
        <v>0</v>
      </c>
      <c r="W532" s="91">
        <f>SUM(G532:V532)</f>
        <v>0</v>
      </c>
      <c r="X532" s="87" t="str">
        <f>IF(ABS(F532-W532)&lt;0.01,"ok","err")</f>
        <v>ok</v>
      </c>
      <c r="Y532" s="203" t="str">
        <f>IF(X532="err",W532-F532,"")</f>
        <v/>
      </c>
    </row>
    <row r="533" spans="1:25" ht="12" hidden="1" customHeight="1" x14ac:dyDescent="0.25">
      <c r="A533" s="96" t="s">
        <v>2248</v>
      </c>
      <c r="C533" s="86" t="s">
        <v>900</v>
      </c>
      <c r="D533" s="86" t="s">
        <v>1722</v>
      </c>
      <c r="E533" s="86" t="s">
        <v>2250</v>
      </c>
      <c r="F533" s="90">
        <f>VLOOKUP(C533,'WSS-29'!$C$1:$AU$617,14,)</f>
        <v>0</v>
      </c>
      <c r="G533" s="89">
        <f t="shared" si="215"/>
        <v>0</v>
      </c>
      <c r="H533" s="89">
        <f t="shared" si="215"/>
        <v>0</v>
      </c>
      <c r="I533" s="89">
        <f t="shared" si="215"/>
        <v>0</v>
      </c>
      <c r="J533" s="89">
        <f t="shared" si="215"/>
        <v>0</v>
      </c>
      <c r="K533" s="89">
        <f t="shared" si="215"/>
        <v>0</v>
      </c>
      <c r="L533" s="89">
        <f t="shared" si="215"/>
        <v>0</v>
      </c>
      <c r="M533" s="89">
        <f t="shared" si="215"/>
        <v>0</v>
      </c>
      <c r="N533" s="89">
        <f t="shared" si="215"/>
        <v>0</v>
      </c>
      <c r="O533" s="89">
        <f t="shared" si="215"/>
        <v>0</v>
      </c>
      <c r="P533" s="89">
        <f t="shared" si="215"/>
        <v>0</v>
      </c>
      <c r="Q533" s="89">
        <f t="shared" si="215"/>
        <v>0</v>
      </c>
      <c r="R533" s="89">
        <f t="shared" si="215"/>
        <v>0</v>
      </c>
      <c r="S533" s="89">
        <f t="shared" si="215"/>
        <v>0</v>
      </c>
      <c r="T533" s="89">
        <f t="shared" si="215"/>
        <v>0</v>
      </c>
      <c r="U533" s="89">
        <f t="shared" si="215"/>
        <v>0</v>
      </c>
      <c r="V533" s="89">
        <f t="shared" si="215"/>
        <v>0</v>
      </c>
      <c r="W533" s="91">
        <f>SUM(G533:V533)</f>
        <v>0</v>
      </c>
      <c r="X533" s="87" t="str">
        <f>IF(ABS(F533-W533)&lt;0.01,"ok","err")</f>
        <v>ok</v>
      </c>
      <c r="Y533" s="203" t="str">
        <f>IF(X533="err",W533-F533,"")</f>
        <v/>
      </c>
    </row>
    <row r="534" spans="1:25" ht="12" hidden="1" customHeight="1" x14ac:dyDescent="0.25">
      <c r="A534" s="96" t="s">
        <v>2248</v>
      </c>
      <c r="C534" s="86" t="s">
        <v>900</v>
      </c>
      <c r="D534" s="86" t="s">
        <v>1723</v>
      </c>
      <c r="E534" s="86" t="s">
        <v>2250</v>
      </c>
      <c r="F534" s="90">
        <f>VLOOKUP(C534,'WSS-29'!$C$1:$AU$617,15,)</f>
        <v>0</v>
      </c>
      <c r="G534" s="89">
        <f t="shared" si="215"/>
        <v>0</v>
      </c>
      <c r="H534" s="89">
        <f t="shared" si="215"/>
        <v>0</v>
      </c>
      <c r="I534" s="89">
        <f t="shared" si="215"/>
        <v>0</v>
      </c>
      <c r="J534" s="89">
        <f t="shared" si="215"/>
        <v>0</v>
      </c>
      <c r="K534" s="89">
        <f t="shared" si="215"/>
        <v>0</v>
      </c>
      <c r="L534" s="89">
        <f t="shared" si="215"/>
        <v>0</v>
      </c>
      <c r="M534" s="89">
        <f t="shared" si="215"/>
        <v>0</v>
      </c>
      <c r="N534" s="89">
        <f t="shared" si="215"/>
        <v>0</v>
      </c>
      <c r="O534" s="89">
        <f t="shared" si="215"/>
        <v>0</v>
      </c>
      <c r="P534" s="89">
        <f t="shared" si="215"/>
        <v>0</v>
      </c>
      <c r="Q534" s="89">
        <f t="shared" si="215"/>
        <v>0</v>
      </c>
      <c r="R534" s="89">
        <f t="shared" si="215"/>
        <v>0</v>
      </c>
      <c r="S534" s="89">
        <f t="shared" si="215"/>
        <v>0</v>
      </c>
      <c r="T534" s="89">
        <f t="shared" si="215"/>
        <v>0</v>
      </c>
      <c r="U534" s="89">
        <f t="shared" si="215"/>
        <v>0</v>
      </c>
      <c r="V534" s="89">
        <f t="shared" si="215"/>
        <v>0</v>
      </c>
      <c r="W534" s="91">
        <f>SUM(G534:V534)</f>
        <v>0</v>
      </c>
      <c r="X534" s="87" t="str">
        <f>IF(ABS(F534-W534)&lt;0.01,"ok","err")</f>
        <v>ok</v>
      </c>
      <c r="Y534" s="203" t="str">
        <f>IF(X534="err",W534-F534,"")</f>
        <v/>
      </c>
    </row>
    <row r="535" spans="1:25" ht="12" hidden="1" customHeight="1" x14ac:dyDescent="0.25">
      <c r="A535" s="86" t="s">
        <v>443</v>
      </c>
      <c r="D535" s="86" t="s">
        <v>1724</v>
      </c>
      <c r="F535" s="89">
        <f t="shared" ref="F535:T535" si="216">SUM(F532:F534)</f>
        <v>0</v>
      </c>
      <c r="G535" s="89">
        <f t="shared" si="216"/>
        <v>0</v>
      </c>
      <c r="H535" s="89">
        <f t="shared" si="216"/>
        <v>0</v>
      </c>
      <c r="I535" s="89">
        <f>SUM(I532:I534)</f>
        <v>0</v>
      </c>
      <c r="J535" s="89">
        <f>SUM(J532:J534)</f>
        <v>0</v>
      </c>
      <c r="K535" s="89">
        <f>SUM(K532:K534)</f>
        <v>0</v>
      </c>
      <c r="L535" s="89">
        <f t="shared" si="216"/>
        <v>0</v>
      </c>
      <c r="M535" s="89">
        <f t="shared" si="216"/>
        <v>0</v>
      </c>
      <c r="N535" s="89">
        <f t="shared" si="216"/>
        <v>0</v>
      </c>
      <c r="O535" s="89">
        <f t="shared" si="216"/>
        <v>0</v>
      </c>
      <c r="P535" s="89">
        <f>SUM(P532:P534)</f>
        <v>0</v>
      </c>
      <c r="Q535" s="89">
        <f t="shared" si="216"/>
        <v>0</v>
      </c>
      <c r="R535" s="89">
        <f t="shared" si="216"/>
        <v>0</v>
      </c>
      <c r="S535" s="89">
        <f t="shared" si="216"/>
        <v>0</v>
      </c>
      <c r="T535" s="89">
        <f t="shared" si="216"/>
        <v>0</v>
      </c>
      <c r="U535" s="89">
        <f>SUM(U532:U534)</f>
        <v>0</v>
      </c>
      <c r="V535" s="89">
        <f>SUM(V532:V534)</f>
        <v>0</v>
      </c>
      <c r="W535" s="91">
        <f>SUM(G535:V535)</f>
        <v>0</v>
      </c>
      <c r="X535" s="87" t="str">
        <f>IF(ABS(F535-W535)&lt;0.01,"ok","err")</f>
        <v>ok</v>
      </c>
      <c r="Y535" s="91" t="str">
        <f>IF(X535="err",W535-F535,"")</f>
        <v/>
      </c>
    </row>
    <row r="536" spans="1:25" ht="12" customHeight="1" x14ac:dyDescent="0.25">
      <c r="F536" s="90"/>
      <c r="G536" s="90"/>
    </row>
    <row r="537" spans="1:25" ht="12" customHeight="1" x14ac:dyDescent="0.25">
      <c r="A537" s="23" t="s">
        <v>1628</v>
      </c>
      <c r="F537" s="90"/>
      <c r="G537" s="90"/>
    </row>
    <row r="538" spans="1:25" ht="12" customHeight="1" x14ac:dyDescent="0.25">
      <c r="A538" s="96" t="s">
        <v>145</v>
      </c>
      <c r="C538" s="86" t="s">
        <v>900</v>
      </c>
      <c r="D538" s="86" t="s">
        <v>1725</v>
      </c>
      <c r="E538" s="86" t="s">
        <v>2254</v>
      </c>
      <c r="F538" s="89">
        <f>VLOOKUP(C538,'WSS-29'!$C$1:$AU$617,17,)</f>
        <v>0</v>
      </c>
      <c r="G538" s="89">
        <f t="shared" ref="G538:V538" si="217">IF(VLOOKUP($E538,$D$5:$V$977,3,)=0,0,(VLOOKUP($E538,$D$5:$V$977,G$1,)/VLOOKUP($E538,$D$5:$V$977,3,))*$F538)</f>
        <v>0</v>
      </c>
      <c r="H538" s="89">
        <f t="shared" si="217"/>
        <v>0</v>
      </c>
      <c r="I538" s="89">
        <f t="shared" si="217"/>
        <v>0</v>
      </c>
      <c r="J538" s="89">
        <f t="shared" si="217"/>
        <v>0</v>
      </c>
      <c r="K538" s="89">
        <f t="shared" si="217"/>
        <v>0</v>
      </c>
      <c r="L538" s="89">
        <f t="shared" si="217"/>
        <v>0</v>
      </c>
      <c r="M538" s="89">
        <f t="shared" si="217"/>
        <v>0</v>
      </c>
      <c r="N538" s="89">
        <f t="shared" si="217"/>
        <v>0</v>
      </c>
      <c r="O538" s="89">
        <f t="shared" si="217"/>
        <v>0</v>
      </c>
      <c r="P538" s="89">
        <f t="shared" si="217"/>
        <v>0</v>
      </c>
      <c r="Q538" s="89">
        <f t="shared" si="217"/>
        <v>0</v>
      </c>
      <c r="R538" s="89">
        <f t="shared" si="217"/>
        <v>0</v>
      </c>
      <c r="S538" s="89">
        <f t="shared" si="217"/>
        <v>0</v>
      </c>
      <c r="T538" s="89">
        <f t="shared" si="217"/>
        <v>0</v>
      </c>
      <c r="U538" s="89">
        <f t="shared" si="217"/>
        <v>0</v>
      </c>
      <c r="V538" s="89">
        <f t="shared" si="217"/>
        <v>0</v>
      </c>
      <c r="W538" s="91">
        <f>SUM(G538:V538)</f>
        <v>0</v>
      </c>
      <c r="X538" s="87" t="str">
        <f>IF(ABS(F538-W538)&lt;0.01,"ok","err")</f>
        <v>ok</v>
      </c>
      <c r="Y538" s="203" t="str">
        <f>IF(X538="err",W538-F538,"")</f>
        <v/>
      </c>
    </row>
    <row r="539" spans="1:25" ht="12" customHeight="1" x14ac:dyDescent="0.25">
      <c r="F539" s="90"/>
    </row>
    <row r="540" spans="1:25" ht="12" customHeight="1" x14ac:dyDescent="0.25">
      <c r="A540" s="23" t="s">
        <v>1629</v>
      </c>
      <c r="F540" s="90"/>
      <c r="G540" s="90"/>
    </row>
    <row r="541" spans="1:25" ht="12" customHeight="1" x14ac:dyDescent="0.25">
      <c r="A541" s="96" t="s">
        <v>147</v>
      </c>
      <c r="C541" s="86" t="s">
        <v>900</v>
      </c>
      <c r="D541" s="86" t="s">
        <v>1726</v>
      </c>
      <c r="E541" s="86" t="s">
        <v>2254</v>
      </c>
      <c r="F541" s="89">
        <f>VLOOKUP(C541,'WSS-29'!$C$1:$AU$617,18,)</f>
        <v>0</v>
      </c>
      <c r="G541" s="89">
        <f t="shared" ref="G541:V541" si="218">IF(VLOOKUP($E541,$D$5:$V$977,3,)=0,0,(VLOOKUP($E541,$D$5:$V$977,G$1,)/VLOOKUP($E541,$D$5:$V$977,3,))*$F541)</f>
        <v>0</v>
      </c>
      <c r="H541" s="89">
        <f t="shared" si="218"/>
        <v>0</v>
      </c>
      <c r="I541" s="89">
        <f t="shared" si="218"/>
        <v>0</v>
      </c>
      <c r="J541" s="89">
        <f t="shared" si="218"/>
        <v>0</v>
      </c>
      <c r="K541" s="89">
        <f t="shared" si="218"/>
        <v>0</v>
      </c>
      <c r="L541" s="89">
        <f t="shared" si="218"/>
        <v>0</v>
      </c>
      <c r="M541" s="89">
        <f t="shared" si="218"/>
        <v>0</v>
      </c>
      <c r="N541" s="89">
        <f t="shared" si="218"/>
        <v>0</v>
      </c>
      <c r="O541" s="89">
        <f t="shared" si="218"/>
        <v>0</v>
      </c>
      <c r="P541" s="89">
        <f t="shared" si="218"/>
        <v>0</v>
      </c>
      <c r="Q541" s="89">
        <f t="shared" si="218"/>
        <v>0</v>
      </c>
      <c r="R541" s="89">
        <f t="shared" si="218"/>
        <v>0</v>
      </c>
      <c r="S541" s="89">
        <f t="shared" si="218"/>
        <v>0</v>
      </c>
      <c r="T541" s="89">
        <f t="shared" si="218"/>
        <v>0</v>
      </c>
      <c r="U541" s="89">
        <f t="shared" si="218"/>
        <v>0</v>
      </c>
      <c r="V541" s="89">
        <f t="shared" si="218"/>
        <v>0</v>
      </c>
      <c r="W541" s="91">
        <f>SUM(G541:V541)</f>
        <v>0</v>
      </c>
      <c r="X541" s="87" t="str">
        <f>IF(ABS(F541-W541)&lt;0.01,"ok","err")</f>
        <v>ok</v>
      </c>
      <c r="Y541" s="203" t="str">
        <f>IF(X541="err",W541-F541,"")</f>
        <v/>
      </c>
    </row>
    <row r="542" spans="1:25" ht="12" customHeight="1" x14ac:dyDescent="0.25">
      <c r="F542" s="90"/>
    </row>
    <row r="543" spans="1:25" ht="12" customHeight="1" x14ac:dyDescent="0.25">
      <c r="A543" s="23" t="s">
        <v>146</v>
      </c>
      <c r="F543" s="90"/>
    </row>
    <row r="544" spans="1:25" ht="12" customHeight="1" x14ac:dyDescent="0.25">
      <c r="A544" s="96" t="s">
        <v>792</v>
      </c>
      <c r="C544" s="86" t="s">
        <v>900</v>
      </c>
      <c r="D544" s="86" t="s">
        <v>1727</v>
      </c>
      <c r="E544" s="86" t="s">
        <v>2254</v>
      </c>
      <c r="F544" s="89">
        <f>VLOOKUP(C544,'WSS-29'!$C$1:$AU$617,19,)</f>
        <v>0</v>
      </c>
      <c r="G544" s="89">
        <f t="shared" ref="G544:V548" si="219">IF(VLOOKUP($E544,$D$5:$V$977,3,)=0,0,(VLOOKUP($E544,$D$5:$V$977,G$1,)/VLOOKUP($E544,$D$5:$V$977,3,))*$F544)</f>
        <v>0</v>
      </c>
      <c r="H544" s="89">
        <f t="shared" si="219"/>
        <v>0</v>
      </c>
      <c r="I544" s="89">
        <f t="shared" si="219"/>
        <v>0</v>
      </c>
      <c r="J544" s="89">
        <f t="shared" si="219"/>
        <v>0</v>
      </c>
      <c r="K544" s="89">
        <f t="shared" si="219"/>
        <v>0</v>
      </c>
      <c r="L544" s="89">
        <f t="shared" si="219"/>
        <v>0</v>
      </c>
      <c r="M544" s="89">
        <f t="shared" si="219"/>
        <v>0</v>
      </c>
      <c r="N544" s="89">
        <f t="shared" si="219"/>
        <v>0</v>
      </c>
      <c r="O544" s="89">
        <f t="shared" si="219"/>
        <v>0</v>
      </c>
      <c r="P544" s="89">
        <f t="shared" si="219"/>
        <v>0</v>
      </c>
      <c r="Q544" s="89">
        <f t="shared" si="219"/>
        <v>0</v>
      </c>
      <c r="R544" s="89">
        <f t="shared" si="219"/>
        <v>0</v>
      </c>
      <c r="S544" s="89">
        <f t="shared" si="219"/>
        <v>0</v>
      </c>
      <c r="T544" s="89">
        <f t="shared" si="219"/>
        <v>0</v>
      </c>
      <c r="U544" s="89">
        <f t="shared" si="219"/>
        <v>0</v>
      </c>
      <c r="V544" s="89">
        <f t="shared" si="219"/>
        <v>0</v>
      </c>
      <c r="W544" s="91">
        <f t="shared" ref="W544:W549" si="220">SUM(G544:V544)</f>
        <v>0</v>
      </c>
      <c r="X544" s="87" t="str">
        <f t="shared" ref="X544:X549" si="221">IF(ABS(F544-W544)&lt;0.01,"ok","err")</f>
        <v>ok</v>
      </c>
      <c r="Y544" s="203" t="str">
        <f t="shared" ref="Y544:Y549" si="222">IF(X544="err",W544-F544,"")</f>
        <v/>
      </c>
    </row>
    <row r="545" spans="1:25" ht="12" customHeight="1" x14ac:dyDescent="0.25">
      <c r="A545" s="96" t="s">
        <v>793</v>
      </c>
      <c r="C545" s="86" t="s">
        <v>900</v>
      </c>
      <c r="D545" s="86" t="s">
        <v>1728</v>
      </c>
      <c r="E545" s="86" t="s">
        <v>2254</v>
      </c>
      <c r="F545" s="90">
        <f>VLOOKUP(C545,'WSS-29'!$C$1:$AU$617,20,)</f>
        <v>0</v>
      </c>
      <c r="G545" s="89">
        <f t="shared" si="219"/>
        <v>0</v>
      </c>
      <c r="H545" s="89">
        <f t="shared" si="219"/>
        <v>0</v>
      </c>
      <c r="I545" s="89">
        <f t="shared" si="219"/>
        <v>0</v>
      </c>
      <c r="J545" s="89">
        <f t="shared" si="219"/>
        <v>0</v>
      </c>
      <c r="K545" s="89">
        <f t="shared" si="219"/>
        <v>0</v>
      </c>
      <c r="L545" s="89">
        <f t="shared" si="219"/>
        <v>0</v>
      </c>
      <c r="M545" s="89">
        <f t="shared" si="219"/>
        <v>0</v>
      </c>
      <c r="N545" s="89">
        <f t="shared" si="219"/>
        <v>0</v>
      </c>
      <c r="O545" s="89">
        <f t="shared" si="219"/>
        <v>0</v>
      </c>
      <c r="P545" s="89">
        <f t="shared" si="219"/>
        <v>0</v>
      </c>
      <c r="Q545" s="89">
        <f t="shared" si="219"/>
        <v>0</v>
      </c>
      <c r="R545" s="89">
        <f t="shared" si="219"/>
        <v>0</v>
      </c>
      <c r="S545" s="89">
        <f t="shared" si="219"/>
        <v>0</v>
      </c>
      <c r="T545" s="89">
        <f t="shared" si="219"/>
        <v>0</v>
      </c>
      <c r="U545" s="89">
        <f t="shared" si="219"/>
        <v>0</v>
      </c>
      <c r="V545" s="89">
        <f t="shared" si="219"/>
        <v>0</v>
      </c>
      <c r="W545" s="91">
        <f t="shared" si="220"/>
        <v>0</v>
      </c>
      <c r="X545" s="87" t="str">
        <f t="shared" si="221"/>
        <v>ok</v>
      </c>
      <c r="Y545" s="203" t="str">
        <f t="shared" si="222"/>
        <v/>
      </c>
    </row>
    <row r="546" spans="1:25" ht="12" customHeight="1" x14ac:dyDescent="0.25">
      <c r="A546" s="96" t="s">
        <v>794</v>
      </c>
      <c r="C546" s="86" t="s">
        <v>900</v>
      </c>
      <c r="D546" s="86" t="s">
        <v>1729</v>
      </c>
      <c r="E546" s="86" t="s">
        <v>905</v>
      </c>
      <c r="F546" s="90">
        <f>VLOOKUP(C546,'WSS-29'!$C$1:$AU$617,21,)</f>
        <v>0</v>
      </c>
      <c r="G546" s="89">
        <f t="shared" si="219"/>
        <v>0</v>
      </c>
      <c r="H546" s="89">
        <f t="shared" si="219"/>
        <v>0</v>
      </c>
      <c r="I546" s="89">
        <f t="shared" si="219"/>
        <v>0</v>
      </c>
      <c r="J546" s="89">
        <f t="shared" si="219"/>
        <v>0</v>
      </c>
      <c r="K546" s="89">
        <f t="shared" si="219"/>
        <v>0</v>
      </c>
      <c r="L546" s="89">
        <f t="shared" si="219"/>
        <v>0</v>
      </c>
      <c r="M546" s="89">
        <f t="shared" si="219"/>
        <v>0</v>
      </c>
      <c r="N546" s="89">
        <f t="shared" si="219"/>
        <v>0</v>
      </c>
      <c r="O546" s="89">
        <f t="shared" si="219"/>
        <v>0</v>
      </c>
      <c r="P546" s="89">
        <f t="shared" si="219"/>
        <v>0</v>
      </c>
      <c r="Q546" s="89">
        <f t="shared" si="219"/>
        <v>0</v>
      </c>
      <c r="R546" s="89">
        <f t="shared" si="219"/>
        <v>0</v>
      </c>
      <c r="S546" s="89">
        <f t="shared" si="219"/>
        <v>0</v>
      </c>
      <c r="T546" s="89">
        <f t="shared" si="219"/>
        <v>0</v>
      </c>
      <c r="U546" s="89">
        <f t="shared" si="219"/>
        <v>0</v>
      </c>
      <c r="V546" s="89">
        <f t="shared" si="219"/>
        <v>0</v>
      </c>
      <c r="W546" s="91">
        <f t="shared" si="220"/>
        <v>0</v>
      </c>
      <c r="X546" s="87" t="str">
        <f t="shared" si="221"/>
        <v>ok</v>
      </c>
      <c r="Y546" s="203" t="str">
        <f t="shared" si="222"/>
        <v/>
      </c>
    </row>
    <row r="547" spans="1:25" ht="12" customHeight="1" x14ac:dyDescent="0.25">
      <c r="A547" s="96" t="s">
        <v>795</v>
      </c>
      <c r="C547" s="86" t="s">
        <v>900</v>
      </c>
      <c r="D547" s="86" t="s">
        <v>1730</v>
      </c>
      <c r="E547" s="86" t="s">
        <v>734</v>
      </c>
      <c r="F547" s="90">
        <f>VLOOKUP(C547,'WSS-29'!$C$1:$AU$617,22,)</f>
        <v>0</v>
      </c>
      <c r="G547" s="89">
        <f t="shared" si="219"/>
        <v>0</v>
      </c>
      <c r="H547" s="89">
        <f t="shared" si="219"/>
        <v>0</v>
      </c>
      <c r="I547" s="89">
        <f t="shared" si="219"/>
        <v>0</v>
      </c>
      <c r="J547" s="89">
        <f t="shared" si="219"/>
        <v>0</v>
      </c>
      <c r="K547" s="89">
        <f t="shared" si="219"/>
        <v>0</v>
      </c>
      <c r="L547" s="89">
        <f t="shared" si="219"/>
        <v>0</v>
      </c>
      <c r="M547" s="89">
        <f t="shared" si="219"/>
        <v>0</v>
      </c>
      <c r="N547" s="89">
        <f t="shared" si="219"/>
        <v>0</v>
      </c>
      <c r="O547" s="89">
        <f t="shared" si="219"/>
        <v>0</v>
      </c>
      <c r="P547" s="89">
        <f t="shared" si="219"/>
        <v>0</v>
      </c>
      <c r="Q547" s="89">
        <f t="shared" si="219"/>
        <v>0</v>
      </c>
      <c r="R547" s="89">
        <f t="shared" si="219"/>
        <v>0</v>
      </c>
      <c r="S547" s="89">
        <f t="shared" si="219"/>
        <v>0</v>
      </c>
      <c r="T547" s="89">
        <f t="shared" si="219"/>
        <v>0</v>
      </c>
      <c r="U547" s="89">
        <f t="shared" si="219"/>
        <v>0</v>
      </c>
      <c r="V547" s="89">
        <f t="shared" si="219"/>
        <v>0</v>
      </c>
      <c r="W547" s="91">
        <f t="shared" si="220"/>
        <v>0</v>
      </c>
      <c r="X547" s="87" t="str">
        <f t="shared" si="221"/>
        <v>ok</v>
      </c>
      <c r="Y547" s="203" t="str">
        <f t="shared" si="222"/>
        <v/>
      </c>
    </row>
    <row r="548" spans="1:25" ht="12" customHeight="1" x14ac:dyDescent="0.25">
      <c r="A548" s="96" t="s">
        <v>796</v>
      </c>
      <c r="C548" s="86" t="s">
        <v>900</v>
      </c>
      <c r="D548" s="86" t="s">
        <v>1731</v>
      </c>
      <c r="E548" s="86" t="s">
        <v>904</v>
      </c>
      <c r="F548" s="90">
        <f>VLOOKUP(C548,'WSS-29'!$C$1:$AU$617,23,)</f>
        <v>0</v>
      </c>
      <c r="G548" s="89">
        <f t="shared" si="219"/>
        <v>0</v>
      </c>
      <c r="H548" s="89">
        <f t="shared" si="219"/>
        <v>0</v>
      </c>
      <c r="I548" s="89">
        <f t="shared" si="219"/>
        <v>0</v>
      </c>
      <c r="J548" s="89">
        <f t="shared" si="219"/>
        <v>0</v>
      </c>
      <c r="K548" s="89">
        <f t="shared" si="219"/>
        <v>0</v>
      </c>
      <c r="L548" s="89">
        <f t="shared" si="219"/>
        <v>0</v>
      </c>
      <c r="M548" s="89">
        <f t="shared" si="219"/>
        <v>0</v>
      </c>
      <c r="N548" s="89">
        <f t="shared" si="219"/>
        <v>0</v>
      </c>
      <c r="O548" s="89">
        <f t="shared" si="219"/>
        <v>0</v>
      </c>
      <c r="P548" s="89">
        <f t="shared" si="219"/>
        <v>0</v>
      </c>
      <c r="Q548" s="89">
        <f t="shared" si="219"/>
        <v>0</v>
      </c>
      <c r="R548" s="89">
        <f t="shared" si="219"/>
        <v>0</v>
      </c>
      <c r="S548" s="89">
        <f t="shared" si="219"/>
        <v>0</v>
      </c>
      <c r="T548" s="89">
        <f t="shared" si="219"/>
        <v>0</v>
      </c>
      <c r="U548" s="89">
        <f t="shared" si="219"/>
        <v>0</v>
      </c>
      <c r="V548" s="89">
        <f t="shared" si="219"/>
        <v>0</v>
      </c>
      <c r="W548" s="91">
        <f t="shared" si="220"/>
        <v>0</v>
      </c>
      <c r="X548" s="87" t="str">
        <f t="shared" si="221"/>
        <v>ok</v>
      </c>
      <c r="Y548" s="203" t="str">
        <f t="shared" si="222"/>
        <v/>
      </c>
    </row>
    <row r="549" spans="1:25" ht="12" customHeight="1" x14ac:dyDescent="0.25">
      <c r="A549" s="86" t="s">
        <v>151</v>
      </c>
      <c r="D549" s="86" t="s">
        <v>1732</v>
      </c>
      <c r="F549" s="89">
        <f t="shared" ref="F549:T549" si="223">SUM(F544:F548)</f>
        <v>0</v>
      </c>
      <c r="G549" s="89">
        <f t="shared" si="223"/>
        <v>0</v>
      </c>
      <c r="H549" s="89">
        <f t="shared" si="223"/>
        <v>0</v>
      </c>
      <c r="I549" s="89">
        <f>SUM(I544:I548)</f>
        <v>0</v>
      </c>
      <c r="J549" s="89">
        <f>SUM(J544:J548)</f>
        <v>0</v>
      </c>
      <c r="K549" s="89">
        <f>SUM(K544:K548)</f>
        <v>0</v>
      </c>
      <c r="L549" s="89">
        <f t="shared" si="223"/>
        <v>0</v>
      </c>
      <c r="M549" s="89">
        <f t="shared" si="223"/>
        <v>0</v>
      </c>
      <c r="N549" s="89">
        <f t="shared" si="223"/>
        <v>0</v>
      </c>
      <c r="O549" s="89">
        <f t="shared" si="223"/>
        <v>0</v>
      </c>
      <c r="P549" s="89">
        <f>SUM(P544:P548)</f>
        <v>0</v>
      </c>
      <c r="Q549" s="89">
        <f t="shared" si="223"/>
        <v>0</v>
      </c>
      <c r="R549" s="89">
        <f t="shared" si="223"/>
        <v>0</v>
      </c>
      <c r="S549" s="89">
        <f t="shared" si="223"/>
        <v>0</v>
      </c>
      <c r="T549" s="89">
        <f t="shared" si="223"/>
        <v>0</v>
      </c>
      <c r="U549" s="89">
        <f>SUM(U544:U548)</f>
        <v>0</v>
      </c>
      <c r="V549" s="89">
        <f>SUM(V544:V548)</f>
        <v>0</v>
      </c>
      <c r="W549" s="91">
        <f t="shared" si="220"/>
        <v>0</v>
      </c>
      <c r="X549" s="87" t="str">
        <f t="shared" si="221"/>
        <v>ok</v>
      </c>
      <c r="Y549" s="91" t="str">
        <f t="shared" si="222"/>
        <v/>
      </c>
    </row>
    <row r="550" spans="1:25" ht="12" customHeight="1" x14ac:dyDescent="0.25">
      <c r="F550" s="90"/>
    </row>
    <row r="551" spans="1:25" ht="12" customHeight="1" x14ac:dyDescent="0.25">
      <c r="A551" s="23" t="s">
        <v>791</v>
      </c>
      <c r="F551" s="90"/>
    </row>
    <row r="552" spans="1:25" ht="12" customHeight="1" x14ac:dyDescent="0.25">
      <c r="A552" s="96" t="s">
        <v>389</v>
      </c>
      <c r="C552" s="86" t="s">
        <v>900</v>
      </c>
      <c r="D552" s="86" t="s">
        <v>1733</v>
      </c>
      <c r="E552" s="86" t="s">
        <v>2179</v>
      </c>
      <c r="F552" s="89">
        <f>VLOOKUP(C552,'WSS-29'!$C$1:$AU$617,24,)</f>
        <v>0</v>
      </c>
      <c r="G552" s="89">
        <f t="shared" ref="G552:V553" si="224">IF(VLOOKUP($E552,$D$5:$V$977,3,)=0,0,(VLOOKUP($E552,$D$5:$V$977,G$1,)/VLOOKUP($E552,$D$5:$V$977,3,))*$F552)</f>
        <v>0</v>
      </c>
      <c r="H552" s="89">
        <f t="shared" si="224"/>
        <v>0</v>
      </c>
      <c r="I552" s="89">
        <f t="shared" si="224"/>
        <v>0</v>
      </c>
      <c r="J552" s="89">
        <f t="shared" si="224"/>
        <v>0</v>
      </c>
      <c r="K552" s="89">
        <f t="shared" si="224"/>
        <v>0</v>
      </c>
      <c r="L552" s="89">
        <f t="shared" si="224"/>
        <v>0</v>
      </c>
      <c r="M552" s="89">
        <f t="shared" si="224"/>
        <v>0</v>
      </c>
      <c r="N552" s="89">
        <f t="shared" si="224"/>
        <v>0</v>
      </c>
      <c r="O552" s="89">
        <f t="shared" si="224"/>
        <v>0</v>
      </c>
      <c r="P552" s="89">
        <f t="shared" si="224"/>
        <v>0</v>
      </c>
      <c r="Q552" s="89">
        <f t="shared" si="224"/>
        <v>0</v>
      </c>
      <c r="R552" s="89">
        <f t="shared" si="224"/>
        <v>0</v>
      </c>
      <c r="S552" s="89">
        <f t="shared" si="224"/>
        <v>0</v>
      </c>
      <c r="T552" s="89">
        <f t="shared" si="224"/>
        <v>0</v>
      </c>
      <c r="U552" s="89">
        <f t="shared" si="224"/>
        <v>0</v>
      </c>
      <c r="V552" s="89">
        <f t="shared" si="224"/>
        <v>0</v>
      </c>
      <c r="W552" s="91">
        <f>SUM(G552:V552)</f>
        <v>0</v>
      </c>
      <c r="X552" s="87" t="str">
        <f>IF(ABS(F552-W552)&lt;0.01,"ok","err")</f>
        <v>ok</v>
      </c>
      <c r="Y552" s="203" t="str">
        <f>IF(X552="err",W552-F552,"")</f>
        <v/>
      </c>
    </row>
    <row r="553" spans="1:25" ht="12" customHeight="1" x14ac:dyDescent="0.25">
      <c r="A553" s="96" t="s">
        <v>392</v>
      </c>
      <c r="C553" s="86" t="s">
        <v>900</v>
      </c>
      <c r="D553" s="86" t="s">
        <v>1734</v>
      </c>
      <c r="E553" s="86" t="s">
        <v>2178</v>
      </c>
      <c r="F553" s="90">
        <f>VLOOKUP(C553,'WSS-29'!$C$1:$AU$617,25,)</f>
        <v>0</v>
      </c>
      <c r="G553" s="89">
        <f t="shared" si="224"/>
        <v>0</v>
      </c>
      <c r="H553" s="89">
        <f t="shared" si="224"/>
        <v>0</v>
      </c>
      <c r="I553" s="89">
        <f t="shared" si="224"/>
        <v>0</v>
      </c>
      <c r="J553" s="89">
        <f t="shared" si="224"/>
        <v>0</v>
      </c>
      <c r="K553" s="89">
        <f t="shared" si="224"/>
        <v>0</v>
      </c>
      <c r="L553" s="89">
        <f t="shared" si="224"/>
        <v>0</v>
      </c>
      <c r="M553" s="89">
        <f t="shared" si="224"/>
        <v>0</v>
      </c>
      <c r="N553" s="89">
        <f t="shared" si="224"/>
        <v>0</v>
      </c>
      <c r="O553" s="89">
        <f t="shared" si="224"/>
        <v>0</v>
      </c>
      <c r="P553" s="89">
        <f t="shared" si="224"/>
        <v>0</v>
      </c>
      <c r="Q553" s="89">
        <f t="shared" si="224"/>
        <v>0</v>
      </c>
      <c r="R553" s="89">
        <f t="shared" si="224"/>
        <v>0</v>
      </c>
      <c r="S553" s="89">
        <f t="shared" si="224"/>
        <v>0</v>
      </c>
      <c r="T553" s="89">
        <f t="shared" si="224"/>
        <v>0</v>
      </c>
      <c r="U553" s="89">
        <f t="shared" si="224"/>
        <v>0</v>
      </c>
      <c r="V553" s="89">
        <f t="shared" si="224"/>
        <v>0</v>
      </c>
      <c r="W553" s="91">
        <f>SUM(G553:V553)</f>
        <v>0</v>
      </c>
      <c r="X553" s="87" t="str">
        <f>IF(ABS(F553-W553)&lt;0.01,"ok","err")</f>
        <v>ok</v>
      </c>
      <c r="Y553" s="203" t="str">
        <f>IF(X553="err",W553-F553,"")</f>
        <v/>
      </c>
    </row>
    <row r="554" spans="1:25" ht="12" customHeight="1" x14ac:dyDescent="0.25">
      <c r="A554" s="86" t="s">
        <v>1469</v>
      </c>
      <c r="D554" s="86" t="s">
        <v>1735</v>
      </c>
      <c r="F554" s="89">
        <f t="shared" ref="F554:T554" si="225">F552+F553</f>
        <v>0</v>
      </c>
      <c r="G554" s="89">
        <f t="shared" si="225"/>
        <v>0</v>
      </c>
      <c r="H554" s="89">
        <f t="shared" si="225"/>
        <v>0</v>
      </c>
      <c r="I554" s="89">
        <f>I552+I553</f>
        <v>0</v>
      </c>
      <c r="J554" s="89">
        <f>J552+J553</f>
        <v>0</v>
      </c>
      <c r="K554" s="89">
        <f>K552+K553</f>
        <v>0</v>
      </c>
      <c r="L554" s="89">
        <f t="shared" si="225"/>
        <v>0</v>
      </c>
      <c r="M554" s="89">
        <f t="shared" si="225"/>
        <v>0</v>
      </c>
      <c r="N554" s="89">
        <f t="shared" si="225"/>
        <v>0</v>
      </c>
      <c r="O554" s="89">
        <f t="shared" si="225"/>
        <v>0</v>
      </c>
      <c r="P554" s="89">
        <f>P552+P553</f>
        <v>0</v>
      </c>
      <c r="Q554" s="89">
        <f t="shared" si="225"/>
        <v>0</v>
      </c>
      <c r="R554" s="89">
        <f t="shared" si="225"/>
        <v>0</v>
      </c>
      <c r="S554" s="89">
        <f t="shared" si="225"/>
        <v>0</v>
      </c>
      <c r="T554" s="89">
        <f t="shared" si="225"/>
        <v>0</v>
      </c>
      <c r="U554" s="89">
        <f>U552+U553</f>
        <v>0</v>
      </c>
      <c r="V554" s="89">
        <f>V552+V553</f>
        <v>0</v>
      </c>
      <c r="W554" s="91">
        <f>SUM(G554:V554)</f>
        <v>0</v>
      </c>
      <c r="X554" s="87" t="str">
        <f>IF(ABS(F554-W554)&lt;0.01,"ok","err")</f>
        <v>ok</v>
      </c>
      <c r="Y554" s="91" t="str">
        <f>IF(X554="err",W554-F554,"")</f>
        <v/>
      </c>
    </row>
    <row r="555" spans="1:25" ht="12" customHeight="1" x14ac:dyDescent="0.25">
      <c r="F555" s="90"/>
    </row>
    <row r="556" spans="1:25" ht="12" customHeight="1" x14ac:dyDescent="0.25">
      <c r="A556" s="23" t="s">
        <v>128</v>
      </c>
      <c r="F556" s="90"/>
    </row>
    <row r="557" spans="1:25" ht="12" customHeight="1" x14ac:dyDescent="0.25">
      <c r="A557" s="96" t="s">
        <v>392</v>
      </c>
      <c r="C557" s="86" t="s">
        <v>900</v>
      </c>
      <c r="D557" s="86" t="s">
        <v>1736</v>
      </c>
      <c r="E557" s="86" t="s">
        <v>393</v>
      </c>
      <c r="F557" s="89">
        <f>VLOOKUP(C557,'WSS-29'!$C$1:$AU$617,26,)</f>
        <v>0</v>
      </c>
      <c r="G557" s="89">
        <f t="shared" ref="G557:V557" si="226">IF(VLOOKUP($E557,$D$5:$V$977,3,)=0,0,(VLOOKUP($E557,$D$5:$V$977,G$1,)/VLOOKUP($E557,$D$5:$V$977,3,))*$F557)</f>
        <v>0</v>
      </c>
      <c r="H557" s="89">
        <f t="shared" si="226"/>
        <v>0</v>
      </c>
      <c r="I557" s="89">
        <f t="shared" si="226"/>
        <v>0</v>
      </c>
      <c r="J557" s="89">
        <f t="shared" si="226"/>
        <v>0</v>
      </c>
      <c r="K557" s="89">
        <f t="shared" si="226"/>
        <v>0</v>
      </c>
      <c r="L557" s="89">
        <f t="shared" si="226"/>
        <v>0</v>
      </c>
      <c r="M557" s="89">
        <f t="shared" si="226"/>
        <v>0</v>
      </c>
      <c r="N557" s="89">
        <f t="shared" si="226"/>
        <v>0</v>
      </c>
      <c r="O557" s="89">
        <f t="shared" si="226"/>
        <v>0</v>
      </c>
      <c r="P557" s="89">
        <f t="shared" si="226"/>
        <v>0</v>
      </c>
      <c r="Q557" s="89">
        <f t="shared" si="226"/>
        <v>0</v>
      </c>
      <c r="R557" s="89">
        <f t="shared" si="226"/>
        <v>0</v>
      </c>
      <c r="S557" s="89">
        <f t="shared" si="226"/>
        <v>0</v>
      </c>
      <c r="T557" s="89">
        <f t="shared" si="226"/>
        <v>0</v>
      </c>
      <c r="U557" s="89">
        <f t="shared" si="226"/>
        <v>0</v>
      </c>
      <c r="V557" s="89">
        <f t="shared" si="226"/>
        <v>0</v>
      </c>
      <c r="W557" s="91">
        <f>SUM(G557:V557)</f>
        <v>0</v>
      </c>
      <c r="X557" s="87" t="str">
        <f>IF(ABS(F557-W557)&lt;0.01,"ok","err")</f>
        <v>ok</v>
      </c>
      <c r="Y557" s="203" t="str">
        <f>IF(X557="err",W557-F557,"")</f>
        <v/>
      </c>
    </row>
    <row r="558" spans="1:25" ht="12" customHeight="1" x14ac:dyDescent="0.25">
      <c r="F558" s="90"/>
    </row>
    <row r="559" spans="1:25" ht="12" customHeight="1" x14ac:dyDescent="0.25">
      <c r="A559" s="23" t="s">
        <v>127</v>
      </c>
      <c r="F559" s="90"/>
    </row>
    <row r="560" spans="1:25" ht="12" customHeight="1" x14ac:dyDescent="0.25">
      <c r="A560" s="96" t="s">
        <v>392</v>
      </c>
      <c r="C560" s="86" t="s">
        <v>900</v>
      </c>
      <c r="D560" s="86" t="s">
        <v>1737</v>
      </c>
      <c r="E560" s="86" t="s">
        <v>394</v>
      </c>
      <c r="F560" s="89">
        <f>VLOOKUP(C560,'WSS-29'!$C$1:$AU$617,27,)</f>
        <v>0</v>
      </c>
      <c r="G560" s="89">
        <f t="shared" ref="G560:V560" si="227">IF(VLOOKUP($E560,$D$5:$V$977,3,)=0,0,(VLOOKUP($E560,$D$5:$V$977,G$1,)/VLOOKUP($E560,$D$5:$V$977,3,))*$F560)</f>
        <v>0</v>
      </c>
      <c r="H560" s="89">
        <f t="shared" si="227"/>
        <v>0</v>
      </c>
      <c r="I560" s="89">
        <f t="shared" si="227"/>
        <v>0</v>
      </c>
      <c r="J560" s="89">
        <f t="shared" si="227"/>
        <v>0</v>
      </c>
      <c r="K560" s="89">
        <f t="shared" si="227"/>
        <v>0</v>
      </c>
      <c r="L560" s="89">
        <f t="shared" si="227"/>
        <v>0</v>
      </c>
      <c r="M560" s="89">
        <f t="shared" si="227"/>
        <v>0</v>
      </c>
      <c r="N560" s="89">
        <f t="shared" si="227"/>
        <v>0</v>
      </c>
      <c r="O560" s="89">
        <f t="shared" si="227"/>
        <v>0</v>
      </c>
      <c r="P560" s="89">
        <f t="shared" si="227"/>
        <v>0</v>
      </c>
      <c r="Q560" s="89">
        <f t="shared" si="227"/>
        <v>0</v>
      </c>
      <c r="R560" s="89">
        <f t="shared" si="227"/>
        <v>0</v>
      </c>
      <c r="S560" s="89">
        <f t="shared" si="227"/>
        <v>0</v>
      </c>
      <c r="T560" s="89">
        <f t="shared" si="227"/>
        <v>0</v>
      </c>
      <c r="U560" s="89">
        <f t="shared" si="227"/>
        <v>0</v>
      </c>
      <c r="V560" s="89">
        <f t="shared" si="227"/>
        <v>0</v>
      </c>
      <c r="W560" s="91">
        <f>SUM(G560:V560)</f>
        <v>0</v>
      </c>
      <c r="X560" s="87" t="str">
        <f>IF(ABS(F560-W560)&lt;0.01,"ok","err")</f>
        <v>ok</v>
      </c>
      <c r="Y560" s="203" t="str">
        <f>IF(X560="err",W560-F560,"")</f>
        <v/>
      </c>
    </row>
    <row r="561" spans="1:25" ht="12" customHeight="1" x14ac:dyDescent="0.25">
      <c r="F561" s="90"/>
    </row>
    <row r="562" spans="1:25" ht="12" customHeight="1" x14ac:dyDescent="0.25">
      <c r="A562" s="23" t="s">
        <v>144</v>
      </c>
      <c r="F562" s="90"/>
    </row>
    <row r="563" spans="1:25" ht="12" customHeight="1" x14ac:dyDescent="0.25">
      <c r="A563" s="96" t="s">
        <v>392</v>
      </c>
      <c r="C563" s="86" t="s">
        <v>900</v>
      </c>
      <c r="D563" s="86" t="s">
        <v>1738</v>
      </c>
      <c r="E563" s="86" t="s">
        <v>395</v>
      </c>
      <c r="F563" s="89">
        <f>VLOOKUP(C563,'WSS-29'!$C$1:$AU$617,28,)</f>
        <v>0</v>
      </c>
      <c r="G563" s="89">
        <f t="shared" ref="G563:V563" si="228">IF(VLOOKUP($E563,$D$5:$V$977,3,)=0,0,(VLOOKUP($E563,$D$5:$V$977,G$1,)/VLOOKUP($E563,$D$5:$V$977,3,))*$F563)</f>
        <v>0</v>
      </c>
      <c r="H563" s="89">
        <f t="shared" si="228"/>
        <v>0</v>
      </c>
      <c r="I563" s="89">
        <f t="shared" si="228"/>
        <v>0</v>
      </c>
      <c r="J563" s="89">
        <f t="shared" si="228"/>
        <v>0</v>
      </c>
      <c r="K563" s="89">
        <f t="shared" si="228"/>
        <v>0</v>
      </c>
      <c r="L563" s="89">
        <f t="shared" si="228"/>
        <v>0</v>
      </c>
      <c r="M563" s="89">
        <f t="shared" si="228"/>
        <v>0</v>
      </c>
      <c r="N563" s="89">
        <f t="shared" si="228"/>
        <v>0</v>
      </c>
      <c r="O563" s="89">
        <f t="shared" si="228"/>
        <v>0</v>
      </c>
      <c r="P563" s="89">
        <f t="shared" si="228"/>
        <v>0</v>
      </c>
      <c r="Q563" s="89">
        <f t="shared" si="228"/>
        <v>0</v>
      </c>
      <c r="R563" s="89">
        <f t="shared" si="228"/>
        <v>0</v>
      </c>
      <c r="S563" s="89">
        <f t="shared" si="228"/>
        <v>0</v>
      </c>
      <c r="T563" s="89">
        <f t="shared" si="228"/>
        <v>0</v>
      </c>
      <c r="U563" s="89">
        <f t="shared" si="228"/>
        <v>0</v>
      </c>
      <c r="V563" s="89">
        <f t="shared" si="228"/>
        <v>0</v>
      </c>
      <c r="W563" s="91">
        <f>SUM(G563:V563)</f>
        <v>0</v>
      </c>
      <c r="X563" s="87" t="str">
        <f>IF(ABS(F563-W563)&lt;0.01,"ok","err")</f>
        <v>ok</v>
      </c>
      <c r="Y563" s="203" t="str">
        <f>IF(X563="err",W563-F563,"")</f>
        <v/>
      </c>
    </row>
    <row r="564" spans="1:25" ht="12" customHeight="1" x14ac:dyDescent="0.25">
      <c r="F564" s="90"/>
    </row>
    <row r="565" spans="1:25" ht="12" customHeight="1" x14ac:dyDescent="0.25">
      <c r="A565" s="23" t="s">
        <v>292</v>
      </c>
      <c r="F565" s="90"/>
    </row>
    <row r="566" spans="1:25" ht="12" customHeight="1" x14ac:dyDescent="0.25">
      <c r="A566" s="96" t="s">
        <v>392</v>
      </c>
      <c r="C566" s="86" t="s">
        <v>900</v>
      </c>
      <c r="D566" s="86" t="s">
        <v>1739</v>
      </c>
      <c r="E566" s="86" t="s">
        <v>396</v>
      </c>
      <c r="F566" s="89">
        <f>VLOOKUP(C566,'WSS-29'!$C$1:$AU$617,30,)</f>
        <v>0</v>
      </c>
      <c r="G566" s="89">
        <f t="shared" ref="G566:V566" si="229">IF(VLOOKUP($E566,$D$5:$V$977,3,)=0,0,(VLOOKUP($E566,$D$5:$V$977,G$1,)/VLOOKUP($E566,$D$5:$V$977,3,))*$F566)</f>
        <v>0</v>
      </c>
      <c r="H566" s="89">
        <f t="shared" si="229"/>
        <v>0</v>
      </c>
      <c r="I566" s="89">
        <f t="shared" si="229"/>
        <v>0</v>
      </c>
      <c r="J566" s="89">
        <f t="shared" si="229"/>
        <v>0</v>
      </c>
      <c r="K566" s="89">
        <f t="shared" si="229"/>
        <v>0</v>
      </c>
      <c r="L566" s="89">
        <f t="shared" si="229"/>
        <v>0</v>
      </c>
      <c r="M566" s="89">
        <f t="shared" si="229"/>
        <v>0</v>
      </c>
      <c r="N566" s="89">
        <f t="shared" si="229"/>
        <v>0</v>
      </c>
      <c r="O566" s="89">
        <f t="shared" si="229"/>
        <v>0</v>
      </c>
      <c r="P566" s="89">
        <f t="shared" si="229"/>
        <v>0</v>
      </c>
      <c r="Q566" s="89">
        <f t="shared" si="229"/>
        <v>0</v>
      </c>
      <c r="R566" s="89">
        <f t="shared" si="229"/>
        <v>0</v>
      </c>
      <c r="S566" s="89">
        <f t="shared" si="229"/>
        <v>0</v>
      </c>
      <c r="T566" s="89">
        <f t="shared" si="229"/>
        <v>0</v>
      </c>
      <c r="U566" s="89">
        <f t="shared" si="229"/>
        <v>0</v>
      </c>
      <c r="V566" s="89">
        <f t="shared" si="229"/>
        <v>0</v>
      </c>
      <c r="W566" s="91">
        <f>SUM(G566:V566)</f>
        <v>0</v>
      </c>
      <c r="X566" s="87" t="str">
        <f>IF(ABS(F566-W566)&lt;0.01,"ok","err")</f>
        <v>ok</v>
      </c>
      <c r="Y566" s="203" t="str">
        <f>IF(X566="err",W566-F566,"")</f>
        <v/>
      </c>
    </row>
    <row r="567" spans="1:25" ht="12" customHeight="1" x14ac:dyDescent="0.25">
      <c r="F567" s="90"/>
    </row>
    <row r="568" spans="1:25" ht="12" customHeight="1" x14ac:dyDescent="0.25">
      <c r="A568" s="23" t="s">
        <v>1631</v>
      </c>
      <c r="F568" s="90"/>
    </row>
    <row r="569" spans="1:25" ht="12" customHeight="1" x14ac:dyDescent="0.25">
      <c r="A569" s="96" t="s">
        <v>392</v>
      </c>
      <c r="C569" s="86" t="s">
        <v>900</v>
      </c>
      <c r="D569" s="86" t="s">
        <v>1740</v>
      </c>
      <c r="E569" s="86" t="s">
        <v>396</v>
      </c>
      <c r="F569" s="89">
        <f>VLOOKUP(C569,'WSS-29'!$C$1:$AU$617,32,)</f>
        <v>0</v>
      </c>
      <c r="G569" s="89">
        <f t="shared" ref="G569:V569" si="230">IF(VLOOKUP($E569,$D$5:$V$977,3,)=0,0,(VLOOKUP($E569,$D$5:$V$977,G$1,)/VLOOKUP($E569,$D$5:$V$977,3,))*$F569)</f>
        <v>0</v>
      </c>
      <c r="H569" s="89">
        <f t="shared" si="230"/>
        <v>0</v>
      </c>
      <c r="I569" s="89">
        <f t="shared" si="230"/>
        <v>0</v>
      </c>
      <c r="J569" s="89">
        <f t="shared" si="230"/>
        <v>0</v>
      </c>
      <c r="K569" s="89">
        <f t="shared" si="230"/>
        <v>0</v>
      </c>
      <c r="L569" s="89">
        <f t="shared" si="230"/>
        <v>0</v>
      </c>
      <c r="M569" s="89">
        <f t="shared" si="230"/>
        <v>0</v>
      </c>
      <c r="N569" s="89">
        <f t="shared" si="230"/>
        <v>0</v>
      </c>
      <c r="O569" s="89">
        <f t="shared" si="230"/>
        <v>0</v>
      </c>
      <c r="P569" s="89">
        <f t="shared" si="230"/>
        <v>0</v>
      </c>
      <c r="Q569" s="89">
        <f t="shared" si="230"/>
        <v>0</v>
      </c>
      <c r="R569" s="89">
        <f t="shared" si="230"/>
        <v>0</v>
      </c>
      <c r="S569" s="89">
        <f t="shared" si="230"/>
        <v>0</v>
      </c>
      <c r="T569" s="89">
        <f t="shared" si="230"/>
        <v>0</v>
      </c>
      <c r="U569" s="89">
        <f t="shared" si="230"/>
        <v>0</v>
      </c>
      <c r="V569" s="89">
        <f t="shared" si="230"/>
        <v>0</v>
      </c>
      <c r="W569" s="91">
        <f>SUM(G569:V569)</f>
        <v>0</v>
      </c>
      <c r="X569" s="87" t="str">
        <f>IF(ABS(F569-W569)&lt;0.01,"ok","err")</f>
        <v>ok</v>
      </c>
      <c r="Y569" s="203" t="str">
        <f>IF(X569="err",W569-F569,"")</f>
        <v/>
      </c>
    </row>
    <row r="570" spans="1:25" ht="12" customHeight="1" x14ac:dyDescent="0.25">
      <c r="F570" s="90"/>
    </row>
    <row r="571" spans="1:25" ht="12" customHeight="1" x14ac:dyDescent="0.25">
      <c r="A571" s="23" t="s">
        <v>1630</v>
      </c>
      <c r="F571" s="90"/>
    </row>
    <row r="572" spans="1:25" ht="12" customHeight="1" x14ac:dyDescent="0.25">
      <c r="A572" s="96" t="s">
        <v>392</v>
      </c>
      <c r="C572" s="86" t="s">
        <v>900</v>
      </c>
      <c r="D572" s="86" t="s">
        <v>1741</v>
      </c>
      <c r="E572" s="86" t="s">
        <v>397</v>
      </c>
      <c r="F572" s="89">
        <f>VLOOKUP(C572,'WSS-29'!$C$1:$AU$617,34,)</f>
        <v>0</v>
      </c>
      <c r="G572" s="89">
        <f t="shared" ref="G572:V572" si="231">IF(VLOOKUP($E572,$D$5:$V$977,3,)=0,0,(VLOOKUP($E572,$D$5:$V$977,G$1,)/VLOOKUP($E572,$D$5:$V$977,3,))*$F572)</f>
        <v>0</v>
      </c>
      <c r="H572" s="89">
        <f t="shared" si="231"/>
        <v>0</v>
      </c>
      <c r="I572" s="89">
        <f t="shared" si="231"/>
        <v>0</v>
      </c>
      <c r="J572" s="89">
        <f t="shared" si="231"/>
        <v>0</v>
      </c>
      <c r="K572" s="89">
        <f t="shared" si="231"/>
        <v>0</v>
      </c>
      <c r="L572" s="89">
        <f t="shared" si="231"/>
        <v>0</v>
      </c>
      <c r="M572" s="89">
        <f t="shared" si="231"/>
        <v>0</v>
      </c>
      <c r="N572" s="89">
        <f t="shared" si="231"/>
        <v>0</v>
      </c>
      <c r="O572" s="89">
        <f t="shared" si="231"/>
        <v>0</v>
      </c>
      <c r="P572" s="89">
        <f t="shared" si="231"/>
        <v>0</v>
      </c>
      <c r="Q572" s="89">
        <f t="shared" si="231"/>
        <v>0</v>
      </c>
      <c r="R572" s="89">
        <f t="shared" si="231"/>
        <v>0</v>
      </c>
      <c r="S572" s="89">
        <f t="shared" si="231"/>
        <v>0</v>
      </c>
      <c r="T572" s="89">
        <f t="shared" si="231"/>
        <v>0</v>
      </c>
      <c r="U572" s="89">
        <f t="shared" si="231"/>
        <v>0</v>
      </c>
      <c r="V572" s="89">
        <f t="shared" si="231"/>
        <v>0</v>
      </c>
      <c r="W572" s="91">
        <f>SUM(G572:V572)</f>
        <v>0</v>
      </c>
      <c r="X572" s="87" t="str">
        <f>IF(ABS(F572-W572)&lt;0.01,"ok","err")</f>
        <v>ok</v>
      </c>
      <c r="Y572" s="203" t="str">
        <f>IF(X572="err",W572-F572,"")</f>
        <v/>
      </c>
    </row>
    <row r="573" spans="1:25" ht="12" customHeight="1" x14ac:dyDescent="0.25">
      <c r="F573" s="90"/>
    </row>
    <row r="574" spans="1:25" ht="12" customHeight="1" x14ac:dyDescent="0.25">
      <c r="A574" s="86" t="s">
        <v>62</v>
      </c>
      <c r="D574" s="86" t="s">
        <v>410</v>
      </c>
      <c r="F574" s="89">
        <f>F529+F535+F538+F541+F549+F554+F557+F560+F563+F566+F569+F572</f>
        <v>0</v>
      </c>
      <c r="G574" s="89">
        <f t="shared" ref="G574:T574" si="232">G529+G535+G538+G541+G549+G554+G557+G560+G563+G566+G569+G572</f>
        <v>0</v>
      </c>
      <c r="H574" s="89">
        <f t="shared" si="232"/>
        <v>0</v>
      </c>
      <c r="I574" s="89">
        <f>I529+I535+I538+I541+I549+I554+I557+I560+I563+I566+I569+I572</f>
        <v>0</v>
      </c>
      <c r="J574" s="89">
        <f>J529+J535+J538+J541+J549+J554+J557+J560+J563+J566+J569+J572</f>
        <v>0</v>
      </c>
      <c r="K574" s="89">
        <f>K529+K535+K538+K541+K549+K554+K557+K560+K563+K566+K569+K572</f>
        <v>0</v>
      </c>
      <c r="L574" s="89">
        <f t="shared" si="232"/>
        <v>0</v>
      </c>
      <c r="M574" s="89">
        <f t="shared" si="232"/>
        <v>0</v>
      </c>
      <c r="N574" s="89">
        <f t="shared" si="232"/>
        <v>0</v>
      </c>
      <c r="O574" s="89">
        <f>O529+O535+O538+O541+O549+O554+O557+O560+O563+O566+O569+O572</f>
        <v>0</v>
      </c>
      <c r="P574" s="89">
        <f>P529+P535+P538+P541+P549+P554+P557+P560+P563+P566+P569+P572</f>
        <v>0</v>
      </c>
      <c r="Q574" s="89">
        <f t="shared" si="232"/>
        <v>0</v>
      </c>
      <c r="R574" s="89">
        <f t="shared" si="232"/>
        <v>0</v>
      </c>
      <c r="S574" s="89">
        <f t="shared" si="232"/>
        <v>0</v>
      </c>
      <c r="T574" s="89">
        <f t="shared" si="232"/>
        <v>0</v>
      </c>
      <c r="U574" s="89">
        <f>U529+U535+U538+U541+U549+U554+U557+U560+U563+U566+U569+U572</f>
        <v>0</v>
      </c>
      <c r="V574" s="89">
        <f>V529+V535+V538+V541+V549+V554+V557+V560+V563+V566+V569+V572</f>
        <v>0</v>
      </c>
      <c r="W574" s="91">
        <f>SUM(G574:V574)</f>
        <v>0</v>
      </c>
      <c r="X574" s="87" t="str">
        <f>IF(ABS(F574-W574)&lt;0.01,"ok","err")</f>
        <v>ok</v>
      </c>
      <c r="Y574" s="91" t="str">
        <f>IF(X574="err",W574-F574,"")</f>
        <v/>
      </c>
    </row>
    <row r="575" spans="1:25" ht="12" customHeight="1" x14ac:dyDescent="0.25">
      <c r="F575" s="89"/>
      <c r="G575" s="89"/>
      <c r="H575" s="89"/>
      <c r="I575" s="89"/>
      <c r="J575" s="89"/>
      <c r="K575" s="89"/>
      <c r="L575" s="89"/>
      <c r="M575" s="89"/>
      <c r="N575" s="89"/>
      <c r="O575" s="89"/>
      <c r="P575" s="89"/>
      <c r="Q575" s="89"/>
      <c r="R575" s="89"/>
      <c r="S575" s="89"/>
      <c r="T575" s="89"/>
      <c r="U575" s="89"/>
      <c r="V575" s="89"/>
      <c r="W575" s="91"/>
      <c r="X575" s="87"/>
    </row>
    <row r="576" spans="1:25" ht="12" customHeight="1" x14ac:dyDescent="0.25">
      <c r="F576" s="89"/>
      <c r="G576" s="89"/>
      <c r="H576" s="89"/>
      <c r="I576" s="89"/>
      <c r="J576" s="89"/>
      <c r="K576" s="89"/>
      <c r="L576" s="89"/>
      <c r="M576" s="89"/>
      <c r="N576" s="89"/>
      <c r="O576" s="89"/>
      <c r="P576" s="89"/>
      <c r="Q576" s="89"/>
      <c r="R576" s="89"/>
      <c r="S576" s="89"/>
      <c r="T576" s="89"/>
      <c r="U576" s="89"/>
      <c r="V576" s="89"/>
      <c r="W576" s="91"/>
      <c r="X576" s="87"/>
    </row>
    <row r="577" spans="1:25" ht="12" customHeight="1" x14ac:dyDescent="0.25">
      <c r="F577" s="89"/>
      <c r="G577" s="89"/>
      <c r="H577" s="89"/>
      <c r="I577" s="89"/>
      <c r="J577" s="89"/>
      <c r="K577" s="89"/>
      <c r="L577" s="89"/>
      <c r="M577" s="89"/>
      <c r="N577" s="89"/>
      <c r="O577" s="89"/>
      <c r="P577" s="89"/>
      <c r="Q577" s="89"/>
      <c r="R577" s="89"/>
      <c r="S577" s="89"/>
      <c r="T577" s="89"/>
      <c r="U577" s="89"/>
      <c r="V577" s="89"/>
      <c r="W577" s="91"/>
      <c r="X577" s="87"/>
    </row>
    <row r="578" spans="1:25" ht="12" customHeight="1" x14ac:dyDescent="0.25">
      <c r="F578" s="89"/>
      <c r="G578" s="89"/>
      <c r="H578" s="89"/>
      <c r="I578" s="89"/>
      <c r="J578" s="89"/>
      <c r="K578" s="89"/>
      <c r="L578" s="89"/>
      <c r="M578" s="89"/>
      <c r="N578" s="89"/>
      <c r="O578" s="89"/>
      <c r="P578" s="89"/>
      <c r="Q578" s="89"/>
      <c r="R578" s="89"/>
      <c r="S578" s="89"/>
      <c r="T578" s="89"/>
      <c r="U578" s="89"/>
      <c r="V578" s="89"/>
      <c r="W578" s="91"/>
      <c r="X578" s="87"/>
    </row>
    <row r="579" spans="1:25" ht="12" customHeight="1" x14ac:dyDescent="0.25">
      <c r="F579" s="89"/>
      <c r="G579" s="89"/>
      <c r="H579" s="89"/>
      <c r="I579" s="89"/>
      <c r="J579" s="89"/>
      <c r="K579" s="89"/>
      <c r="L579" s="89"/>
      <c r="M579" s="89"/>
      <c r="N579" s="89"/>
      <c r="O579" s="89"/>
      <c r="P579" s="89"/>
      <c r="Q579" s="89"/>
      <c r="R579" s="89"/>
      <c r="S579" s="89"/>
      <c r="T579" s="89"/>
      <c r="U579" s="89"/>
      <c r="V579" s="89"/>
      <c r="W579" s="91"/>
      <c r="X579" s="87"/>
    </row>
    <row r="580" spans="1:25" ht="12" customHeight="1" x14ac:dyDescent="0.25">
      <c r="F580" s="89"/>
      <c r="G580" s="89"/>
      <c r="H580" s="89"/>
      <c r="I580" s="89"/>
      <c r="J580" s="89"/>
      <c r="K580" s="89"/>
      <c r="L580" s="89"/>
      <c r="M580" s="89"/>
      <c r="N580" s="89"/>
      <c r="O580" s="89"/>
      <c r="P580" s="89"/>
      <c r="Q580" s="89"/>
      <c r="R580" s="89"/>
      <c r="S580" s="89"/>
      <c r="T580" s="89"/>
      <c r="U580" s="89"/>
      <c r="V580" s="89"/>
      <c r="W580" s="91"/>
      <c r="X580" s="87"/>
    </row>
    <row r="581" spans="1:25" ht="12" customHeight="1" x14ac:dyDescent="0.25">
      <c r="F581" s="89"/>
      <c r="G581" s="89"/>
      <c r="H581" s="89"/>
      <c r="I581" s="89"/>
      <c r="J581" s="89"/>
      <c r="K581" s="89"/>
      <c r="L581" s="89"/>
      <c r="M581" s="89"/>
      <c r="N581" s="89"/>
      <c r="O581" s="89"/>
      <c r="P581" s="89"/>
      <c r="Q581" s="89"/>
      <c r="R581" s="89"/>
      <c r="S581" s="89"/>
      <c r="T581" s="89"/>
      <c r="U581" s="89"/>
      <c r="V581" s="89"/>
      <c r="W581" s="91"/>
      <c r="X581" s="87"/>
    </row>
    <row r="582" spans="1:25" ht="12" customHeight="1" x14ac:dyDescent="0.25">
      <c r="A582" s="22" t="s">
        <v>1135</v>
      </c>
    </row>
    <row r="584" spans="1:25" ht="12" customHeight="1" x14ac:dyDescent="0.25">
      <c r="A584" s="23" t="s">
        <v>137</v>
      </c>
    </row>
    <row r="585" spans="1:25" ht="12" customHeight="1" x14ac:dyDescent="0.25">
      <c r="A585" s="96" t="s">
        <v>2270</v>
      </c>
      <c r="C585" s="86" t="s">
        <v>376</v>
      </c>
      <c r="D585" s="86" t="s">
        <v>1136</v>
      </c>
      <c r="E585" s="86" t="s">
        <v>2269</v>
      </c>
      <c r="F585" s="89">
        <f>VLOOKUP(C585,'WSS-29'!$C$1:$AU$617,6,)</f>
        <v>68341836.106964022</v>
      </c>
      <c r="G585" s="89">
        <f t="shared" ref="G585:V590" si="233">IF(VLOOKUP($E585,$D$5:$V$977,3,)=0,0,(VLOOKUP($E585,$D$5:$V$977,G$1,)/VLOOKUP($E585,$D$5:$V$977,3,))*$F585)</f>
        <v>28046922.090506382</v>
      </c>
      <c r="H585" s="89">
        <f t="shared" si="233"/>
        <v>7554281.1398303397</v>
      </c>
      <c r="I585" s="89">
        <f t="shared" si="233"/>
        <v>484737.58532441605</v>
      </c>
      <c r="J585" s="89">
        <f t="shared" si="233"/>
        <v>7044669.5482351268</v>
      </c>
      <c r="K585" s="89">
        <f t="shared" si="233"/>
        <v>306056.94802265032</v>
      </c>
      <c r="L585" s="89">
        <f t="shared" si="233"/>
        <v>6775045.3196963919</v>
      </c>
      <c r="M585" s="89">
        <f t="shared" si="233"/>
        <v>12402470.275200732</v>
      </c>
      <c r="N585" s="89">
        <f t="shared" si="233"/>
        <v>4037190.7810989572</v>
      </c>
      <c r="O585" s="89">
        <f t="shared" si="233"/>
        <v>1671795.147712406</v>
      </c>
      <c r="P585" s="89">
        <f t="shared" si="233"/>
        <v>10896.857482975809</v>
      </c>
      <c r="Q585" s="89">
        <f t="shared" si="233"/>
        <v>396.46121713442614</v>
      </c>
      <c r="R585" s="89">
        <f t="shared" si="233"/>
        <v>6483.0450694044293</v>
      </c>
      <c r="S585" s="89">
        <f t="shared" si="233"/>
        <v>834.4788782067825</v>
      </c>
      <c r="T585" s="89">
        <f t="shared" si="233"/>
        <v>56.428688891765233</v>
      </c>
      <c r="U585" s="89">
        <f t="shared" si="233"/>
        <v>0</v>
      </c>
      <c r="V585" s="89">
        <f t="shared" si="233"/>
        <v>0</v>
      </c>
      <c r="W585" s="91">
        <f t="shared" ref="W585:W590" si="234">SUM(G585:V585)</f>
        <v>68341836.106964007</v>
      </c>
      <c r="X585" s="87" t="str">
        <f t="shared" ref="X585:X590" si="235">IF(ABS(F585-W585)&lt;0.01,"ok","err")</f>
        <v>ok</v>
      </c>
      <c r="Y585" s="203" t="str">
        <f t="shared" ref="Y585:Y590" si="236">IF(X585="err",W585-F585,"")</f>
        <v/>
      </c>
    </row>
    <row r="586" spans="1:25" ht="12" hidden="1" customHeight="1" x14ac:dyDescent="0.25">
      <c r="A586" s="96" t="s">
        <v>2271</v>
      </c>
      <c r="C586" s="86" t="s">
        <v>376</v>
      </c>
      <c r="D586" s="86" t="s">
        <v>1137</v>
      </c>
      <c r="E586" s="86" t="s">
        <v>2269</v>
      </c>
      <c r="F586" s="90">
        <f>VLOOKUP(C586,'WSS-29'!$C$1:$AU$617,7,)</f>
        <v>0</v>
      </c>
      <c r="G586" s="89">
        <f t="shared" si="233"/>
        <v>0</v>
      </c>
      <c r="H586" s="89">
        <f t="shared" si="233"/>
        <v>0</v>
      </c>
      <c r="I586" s="89">
        <f t="shared" si="233"/>
        <v>0</v>
      </c>
      <c r="J586" s="89">
        <f t="shared" si="233"/>
        <v>0</v>
      </c>
      <c r="K586" s="89">
        <f t="shared" si="233"/>
        <v>0</v>
      </c>
      <c r="L586" s="89">
        <f t="shared" si="233"/>
        <v>0</v>
      </c>
      <c r="M586" s="89">
        <f t="shared" si="233"/>
        <v>0</v>
      </c>
      <c r="N586" s="89">
        <f t="shared" si="233"/>
        <v>0</v>
      </c>
      <c r="O586" s="89">
        <f t="shared" si="233"/>
        <v>0</v>
      </c>
      <c r="P586" s="89">
        <f t="shared" si="233"/>
        <v>0</v>
      </c>
      <c r="Q586" s="89">
        <f t="shared" si="233"/>
        <v>0</v>
      </c>
      <c r="R586" s="89">
        <f t="shared" si="233"/>
        <v>0</v>
      </c>
      <c r="S586" s="89">
        <f t="shared" si="233"/>
        <v>0</v>
      </c>
      <c r="T586" s="89">
        <f t="shared" si="233"/>
        <v>0</v>
      </c>
      <c r="U586" s="89">
        <f t="shared" si="233"/>
        <v>0</v>
      </c>
      <c r="V586" s="89">
        <f t="shared" si="233"/>
        <v>0</v>
      </c>
      <c r="W586" s="91">
        <f t="shared" si="234"/>
        <v>0</v>
      </c>
      <c r="X586" s="87" t="str">
        <f t="shared" si="235"/>
        <v>ok</v>
      </c>
      <c r="Y586" s="203" t="str">
        <f t="shared" si="236"/>
        <v/>
      </c>
    </row>
    <row r="587" spans="1:25" ht="12" hidden="1" customHeight="1" x14ac:dyDescent="0.25">
      <c r="A587" s="96" t="s">
        <v>2271</v>
      </c>
      <c r="C587" s="86" t="s">
        <v>376</v>
      </c>
      <c r="D587" s="86" t="s">
        <v>1138</v>
      </c>
      <c r="E587" s="86" t="s">
        <v>2269</v>
      </c>
      <c r="F587" s="90">
        <f>VLOOKUP(C587,'WSS-29'!$C$1:$AU$617,8,)</f>
        <v>0</v>
      </c>
      <c r="G587" s="89">
        <f t="shared" si="233"/>
        <v>0</v>
      </c>
      <c r="H587" s="89">
        <f t="shared" si="233"/>
        <v>0</v>
      </c>
      <c r="I587" s="89">
        <f t="shared" si="233"/>
        <v>0</v>
      </c>
      <c r="J587" s="89">
        <f t="shared" si="233"/>
        <v>0</v>
      </c>
      <c r="K587" s="89">
        <f t="shared" si="233"/>
        <v>0</v>
      </c>
      <c r="L587" s="89">
        <f t="shared" si="233"/>
        <v>0</v>
      </c>
      <c r="M587" s="89">
        <f t="shared" si="233"/>
        <v>0</v>
      </c>
      <c r="N587" s="89">
        <f t="shared" si="233"/>
        <v>0</v>
      </c>
      <c r="O587" s="89">
        <f t="shared" si="233"/>
        <v>0</v>
      </c>
      <c r="P587" s="89">
        <f t="shared" si="233"/>
        <v>0</v>
      </c>
      <c r="Q587" s="89">
        <f t="shared" si="233"/>
        <v>0</v>
      </c>
      <c r="R587" s="89">
        <f t="shared" si="233"/>
        <v>0</v>
      </c>
      <c r="S587" s="89">
        <f t="shared" si="233"/>
        <v>0</v>
      </c>
      <c r="T587" s="89">
        <f t="shared" si="233"/>
        <v>0</v>
      </c>
      <c r="U587" s="89">
        <f t="shared" si="233"/>
        <v>0</v>
      </c>
      <c r="V587" s="89">
        <f t="shared" si="233"/>
        <v>0</v>
      </c>
      <c r="W587" s="91">
        <f t="shared" si="234"/>
        <v>0</v>
      </c>
      <c r="X587" s="87" t="str">
        <f t="shared" si="235"/>
        <v>ok</v>
      </c>
      <c r="Y587" s="203" t="str">
        <f t="shared" si="236"/>
        <v/>
      </c>
    </row>
    <row r="588" spans="1:25" ht="12" customHeight="1" x14ac:dyDescent="0.25">
      <c r="A588" s="96" t="s">
        <v>2273</v>
      </c>
      <c r="C588" s="86" t="s">
        <v>376</v>
      </c>
      <c r="D588" s="86" t="s">
        <v>1139</v>
      </c>
      <c r="E588" s="86" t="s">
        <v>390</v>
      </c>
      <c r="F588" s="90">
        <f>VLOOKUP(C588,'WSS-29'!$C$1:$AU$617,9,)</f>
        <v>0</v>
      </c>
      <c r="G588" s="89">
        <f t="shared" si="233"/>
        <v>0</v>
      </c>
      <c r="H588" s="89">
        <f t="shared" si="233"/>
        <v>0</v>
      </c>
      <c r="I588" s="89">
        <f t="shared" si="233"/>
        <v>0</v>
      </c>
      <c r="J588" s="89">
        <f t="shared" si="233"/>
        <v>0</v>
      </c>
      <c r="K588" s="89">
        <f t="shared" si="233"/>
        <v>0</v>
      </c>
      <c r="L588" s="89">
        <f t="shared" si="233"/>
        <v>0</v>
      </c>
      <c r="M588" s="89">
        <f t="shared" si="233"/>
        <v>0</v>
      </c>
      <c r="N588" s="89">
        <f t="shared" si="233"/>
        <v>0</v>
      </c>
      <c r="O588" s="89">
        <f t="shared" si="233"/>
        <v>0</v>
      </c>
      <c r="P588" s="89">
        <f t="shared" si="233"/>
        <v>0</v>
      </c>
      <c r="Q588" s="89">
        <f t="shared" si="233"/>
        <v>0</v>
      </c>
      <c r="R588" s="89">
        <f t="shared" si="233"/>
        <v>0</v>
      </c>
      <c r="S588" s="89">
        <f t="shared" si="233"/>
        <v>0</v>
      </c>
      <c r="T588" s="89">
        <f t="shared" si="233"/>
        <v>0</v>
      </c>
      <c r="U588" s="89">
        <f t="shared" si="233"/>
        <v>0</v>
      </c>
      <c r="V588" s="89">
        <f t="shared" si="233"/>
        <v>0</v>
      </c>
      <c r="W588" s="91">
        <f t="shared" si="234"/>
        <v>0</v>
      </c>
      <c r="X588" s="87" t="str">
        <f t="shared" si="235"/>
        <v>ok</v>
      </c>
      <c r="Y588" s="203" t="str">
        <f t="shared" si="236"/>
        <v/>
      </c>
    </row>
    <row r="589" spans="1:25" ht="12" hidden="1" customHeight="1" x14ac:dyDescent="0.25">
      <c r="A589" s="96" t="s">
        <v>2272</v>
      </c>
      <c r="C589" s="86" t="s">
        <v>376</v>
      </c>
      <c r="D589" s="86" t="s">
        <v>1140</v>
      </c>
      <c r="E589" s="86" t="s">
        <v>390</v>
      </c>
      <c r="F589" s="90">
        <f>VLOOKUP(C589,'WSS-29'!$C$1:$AU$617,10,)</f>
        <v>0</v>
      </c>
      <c r="G589" s="89">
        <f t="shared" si="233"/>
        <v>0</v>
      </c>
      <c r="H589" s="89">
        <f t="shared" si="233"/>
        <v>0</v>
      </c>
      <c r="I589" s="89">
        <f t="shared" si="233"/>
        <v>0</v>
      </c>
      <c r="J589" s="89">
        <f t="shared" si="233"/>
        <v>0</v>
      </c>
      <c r="K589" s="89">
        <f t="shared" si="233"/>
        <v>0</v>
      </c>
      <c r="L589" s="89">
        <f t="shared" si="233"/>
        <v>0</v>
      </c>
      <c r="M589" s="89">
        <f t="shared" si="233"/>
        <v>0</v>
      </c>
      <c r="N589" s="89">
        <f t="shared" si="233"/>
        <v>0</v>
      </c>
      <c r="O589" s="89">
        <f t="shared" si="233"/>
        <v>0</v>
      </c>
      <c r="P589" s="89">
        <f t="shared" si="233"/>
        <v>0</v>
      </c>
      <c r="Q589" s="89">
        <f t="shared" si="233"/>
        <v>0</v>
      </c>
      <c r="R589" s="89">
        <f t="shared" si="233"/>
        <v>0</v>
      </c>
      <c r="S589" s="89">
        <f t="shared" si="233"/>
        <v>0</v>
      </c>
      <c r="T589" s="89">
        <f t="shared" si="233"/>
        <v>0</v>
      </c>
      <c r="U589" s="89">
        <f t="shared" si="233"/>
        <v>0</v>
      </c>
      <c r="V589" s="89">
        <f t="shared" si="233"/>
        <v>0</v>
      </c>
      <c r="W589" s="91">
        <f t="shared" si="234"/>
        <v>0</v>
      </c>
      <c r="X589" s="87" t="str">
        <f t="shared" si="235"/>
        <v>ok</v>
      </c>
      <c r="Y589" s="203" t="str">
        <f t="shared" si="236"/>
        <v/>
      </c>
    </row>
    <row r="590" spans="1:25" ht="12" hidden="1" customHeight="1" x14ac:dyDescent="0.25">
      <c r="A590" s="96" t="s">
        <v>2272</v>
      </c>
      <c r="C590" s="86" t="s">
        <v>376</v>
      </c>
      <c r="D590" s="86" t="s">
        <v>1141</v>
      </c>
      <c r="E590" s="86" t="s">
        <v>390</v>
      </c>
      <c r="F590" s="90">
        <f>VLOOKUP(C590,'WSS-29'!$C$1:$AU$617,11,)</f>
        <v>0</v>
      </c>
      <c r="G590" s="89">
        <f t="shared" si="233"/>
        <v>0</v>
      </c>
      <c r="H590" s="89">
        <f t="shared" si="233"/>
        <v>0</v>
      </c>
      <c r="I590" s="89">
        <f t="shared" si="233"/>
        <v>0</v>
      </c>
      <c r="J590" s="89">
        <f t="shared" si="233"/>
        <v>0</v>
      </c>
      <c r="K590" s="89">
        <f t="shared" si="233"/>
        <v>0</v>
      </c>
      <c r="L590" s="89">
        <f t="shared" si="233"/>
        <v>0</v>
      </c>
      <c r="M590" s="89">
        <f t="shared" si="233"/>
        <v>0</v>
      </c>
      <c r="N590" s="89">
        <f t="shared" si="233"/>
        <v>0</v>
      </c>
      <c r="O590" s="89">
        <f t="shared" si="233"/>
        <v>0</v>
      </c>
      <c r="P590" s="89">
        <f t="shared" si="233"/>
        <v>0</v>
      </c>
      <c r="Q590" s="89">
        <f t="shared" si="233"/>
        <v>0</v>
      </c>
      <c r="R590" s="89">
        <f t="shared" si="233"/>
        <v>0</v>
      </c>
      <c r="S590" s="89">
        <f t="shared" si="233"/>
        <v>0</v>
      </c>
      <c r="T590" s="89">
        <f t="shared" si="233"/>
        <v>0</v>
      </c>
      <c r="U590" s="89">
        <f t="shared" si="233"/>
        <v>0</v>
      </c>
      <c r="V590" s="89">
        <f t="shared" si="233"/>
        <v>0</v>
      </c>
      <c r="W590" s="91">
        <f t="shared" si="234"/>
        <v>0</v>
      </c>
      <c r="X590" s="87" t="str">
        <f t="shared" si="235"/>
        <v>ok</v>
      </c>
      <c r="Y590" s="203" t="str">
        <f t="shared" si="236"/>
        <v/>
      </c>
    </row>
    <row r="591" spans="1:25" ht="12" customHeight="1" x14ac:dyDescent="0.25">
      <c r="A591" s="86" t="s">
        <v>160</v>
      </c>
      <c r="D591" s="86" t="s">
        <v>1142</v>
      </c>
      <c r="F591" s="89">
        <f t="shared" ref="F591:T591" si="237">SUM(F585:F590)</f>
        <v>68341836.106964022</v>
      </c>
      <c r="G591" s="89">
        <f t="shared" si="237"/>
        <v>28046922.090506382</v>
      </c>
      <c r="H591" s="89">
        <f t="shared" si="237"/>
        <v>7554281.1398303397</v>
      </c>
      <c r="I591" s="89">
        <f>SUM(I585:I590)</f>
        <v>484737.58532441605</v>
      </c>
      <c r="J591" s="89">
        <f>SUM(J585:J590)</f>
        <v>7044669.5482351268</v>
      </c>
      <c r="K591" s="89">
        <f>SUM(K585:K590)</f>
        <v>306056.94802265032</v>
      </c>
      <c r="L591" s="89">
        <f t="shared" si="237"/>
        <v>6775045.3196963919</v>
      </c>
      <c r="M591" s="89">
        <f t="shared" si="237"/>
        <v>12402470.275200732</v>
      </c>
      <c r="N591" s="89">
        <f t="shared" si="237"/>
        <v>4037190.7810989572</v>
      </c>
      <c r="O591" s="89">
        <f t="shared" si="237"/>
        <v>1671795.147712406</v>
      </c>
      <c r="P591" s="89">
        <f>SUM(P585:P590)</f>
        <v>10896.857482975809</v>
      </c>
      <c r="Q591" s="89">
        <f t="shared" si="237"/>
        <v>396.46121713442614</v>
      </c>
      <c r="R591" s="89">
        <f t="shared" si="237"/>
        <v>6483.0450694044293</v>
      </c>
      <c r="S591" s="89">
        <f t="shared" si="237"/>
        <v>834.4788782067825</v>
      </c>
      <c r="T591" s="89">
        <f t="shared" si="237"/>
        <v>56.428688891765233</v>
      </c>
      <c r="U591" s="89">
        <f>SUM(U585:U590)</f>
        <v>0</v>
      </c>
      <c r="V591" s="89">
        <f>SUM(V585:V590)</f>
        <v>0</v>
      </c>
      <c r="W591" s="91">
        <f>SUM(G591:V591)</f>
        <v>68341836.106964007</v>
      </c>
      <c r="X591" s="87" t="str">
        <f>IF(ABS(F591-W591)&lt;0.01,"ok","err")</f>
        <v>ok</v>
      </c>
      <c r="Y591" s="203" t="str">
        <f>IF(X591="err",W591-F591,"")</f>
        <v/>
      </c>
    </row>
    <row r="592" spans="1:25" ht="12" customHeight="1" x14ac:dyDescent="0.25">
      <c r="F592" s="90"/>
      <c r="G592" s="90"/>
    </row>
    <row r="593" spans="1:25" ht="12" customHeight="1" x14ac:dyDescent="0.25">
      <c r="A593" s="23" t="s">
        <v>441</v>
      </c>
      <c r="F593" s="90"/>
      <c r="G593" s="90"/>
    </row>
    <row r="594" spans="1:25" ht="12" customHeight="1" x14ac:dyDescent="0.25">
      <c r="A594" s="96" t="s">
        <v>2249</v>
      </c>
      <c r="C594" s="86" t="s">
        <v>376</v>
      </c>
      <c r="D594" s="86" t="s">
        <v>1143</v>
      </c>
      <c r="E594" s="86" t="s">
        <v>2250</v>
      </c>
      <c r="F594" s="89">
        <f>VLOOKUP(C594,'WSS-29'!$C$1:$AU$617,13,)</f>
        <v>15624866.399741719</v>
      </c>
      <c r="G594" s="89">
        <f t="shared" ref="G594:V596" si="238">IF(VLOOKUP($E594,$D$5:$V$977,3,)=0,0,(VLOOKUP($E594,$D$5:$V$977,G$1,)/VLOOKUP($E594,$D$5:$V$977,3,))*$F594)</f>
        <v>6908489.2282339996</v>
      </c>
      <c r="H594" s="89">
        <f t="shared" si="238"/>
        <v>1773266.9174463779</v>
      </c>
      <c r="I594" s="89">
        <f t="shared" si="238"/>
        <v>181483.74667440963</v>
      </c>
      <c r="J594" s="89">
        <f t="shared" si="238"/>
        <v>1581909.0090319288</v>
      </c>
      <c r="K594" s="89">
        <f t="shared" si="238"/>
        <v>67975.921298730551</v>
      </c>
      <c r="L594" s="89">
        <f t="shared" si="238"/>
        <v>1399459.3123564466</v>
      </c>
      <c r="M594" s="89">
        <f t="shared" si="238"/>
        <v>2279208.215862643</v>
      </c>
      <c r="N594" s="89">
        <f t="shared" si="238"/>
        <v>790380.13688667491</v>
      </c>
      <c r="O594" s="89">
        <f t="shared" si="238"/>
        <v>529615.31652773765</v>
      </c>
      <c r="P594" s="89">
        <f t="shared" si="238"/>
        <v>106670.35214109925</v>
      </c>
      <c r="Q594" s="89">
        <f t="shared" si="238"/>
        <v>3880.9957557111334</v>
      </c>
      <c r="R594" s="89">
        <f t="shared" si="238"/>
        <v>1045.6350493065088</v>
      </c>
      <c r="S594" s="89">
        <f t="shared" si="238"/>
        <v>1472.4245928919756</v>
      </c>
      <c r="T594" s="89">
        <f t="shared" si="238"/>
        <v>9.1878837599102496</v>
      </c>
      <c r="U594" s="89">
        <f t="shared" si="238"/>
        <v>0</v>
      </c>
      <c r="V594" s="89">
        <f t="shared" si="238"/>
        <v>0</v>
      </c>
      <c r="W594" s="91">
        <f>SUM(G594:V594)</f>
        <v>15624866.399741717</v>
      </c>
      <c r="X594" s="87" t="str">
        <f>IF(ABS(F594-W594)&lt;0.01,"ok","err")</f>
        <v>ok</v>
      </c>
      <c r="Y594" s="203" t="str">
        <f>IF(X594="err",W594-F594,"")</f>
        <v/>
      </c>
    </row>
    <row r="595" spans="1:25" ht="12" hidden="1" customHeight="1" x14ac:dyDescent="0.25">
      <c r="A595" s="96" t="s">
        <v>2248</v>
      </c>
      <c r="C595" s="86" t="s">
        <v>376</v>
      </c>
      <c r="D595" s="86" t="s">
        <v>1144</v>
      </c>
      <c r="E595" s="86" t="s">
        <v>2250</v>
      </c>
      <c r="F595" s="90">
        <f>VLOOKUP(C595,'WSS-29'!$C$1:$AU$617,14,)</f>
        <v>0</v>
      </c>
      <c r="G595" s="89">
        <f t="shared" si="238"/>
        <v>0</v>
      </c>
      <c r="H595" s="89">
        <f t="shared" si="238"/>
        <v>0</v>
      </c>
      <c r="I595" s="89">
        <f t="shared" si="238"/>
        <v>0</v>
      </c>
      <c r="J595" s="89">
        <f t="shared" si="238"/>
        <v>0</v>
      </c>
      <c r="K595" s="89">
        <f t="shared" si="238"/>
        <v>0</v>
      </c>
      <c r="L595" s="89">
        <f t="shared" si="238"/>
        <v>0</v>
      </c>
      <c r="M595" s="89">
        <f t="shared" si="238"/>
        <v>0</v>
      </c>
      <c r="N595" s="89">
        <f t="shared" si="238"/>
        <v>0</v>
      </c>
      <c r="O595" s="89">
        <f t="shared" si="238"/>
        <v>0</v>
      </c>
      <c r="P595" s="89">
        <f t="shared" si="238"/>
        <v>0</v>
      </c>
      <c r="Q595" s="89">
        <f t="shared" si="238"/>
        <v>0</v>
      </c>
      <c r="R595" s="89">
        <f t="shared" si="238"/>
        <v>0</v>
      </c>
      <c r="S595" s="89">
        <f t="shared" si="238"/>
        <v>0</v>
      </c>
      <c r="T595" s="89">
        <f t="shared" si="238"/>
        <v>0</v>
      </c>
      <c r="U595" s="89">
        <f t="shared" si="238"/>
        <v>0</v>
      </c>
      <c r="V595" s="89">
        <f t="shared" si="238"/>
        <v>0</v>
      </c>
      <c r="W595" s="91">
        <f>SUM(G595:V595)</f>
        <v>0</v>
      </c>
      <c r="X595" s="87" t="str">
        <f>IF(ABS(F595-W595)&lt;0.01,"ok","err")</f>
        <v>ok</v>
      </c>
      <c r="Y595" s="203" t="str">
        <f>IF(X595="err",W595-F595,"")</f>
        <v/>
      </c>
    </row>
    <row r="596" spans="1:25" ht="12" hidden="1" customHeight="1" x14ac:dyDescent="0.25">
      <c r="A596" s="96" t="s">
        <v>2248</v>
      </c>
      <c r="C596" s="86" t="s">
        <v>376</v>
      </c>
      <c r="D596" s="86" t="s">
        <v>1145</v>
      </c>
      <c r="E596" s="86" t="s">
        <v>2250</v>
      </c>
      <c r="F596" s="90">
        <f>VLOOKUP(C596,'WSS-29'!$C$1:$AU$617,15,)</f>
        <v>0</v>
      </c>
      <c r="G596" s="89">
        <f t="shared" si="238"/>
        <v>0</v>
      </c>
      <c r="H596" s="89">
        <f t="shared" si="238"/>
        <v>0</v>
      </c>
      <c r="I596" s="89">
        <f t="shared" si="238"/>
        <v>0</v>
      </c>
      <c r="J596" s="89">
        <f t="shared" si="238"/>
        <v>0</v>
      </c>
      <c r="K596" s="89">
        <f t="shared" si="238"/>
        <v>0</v>
      </c>
      <c r="L596" s="89">
        <f t="shared" si="238"/>
        <v>0</v>
      </c>
      <c r="M596" s="89">
        <f t="shared" si="238"/>
        <v>0</v>
      </c>
      <c r="N596" s="89">
        <f t="shared" si="238"/>
        <v>0</v>
      </c>
      <c r="O596" s="89">
        <f t="shared" si="238"/>
        <v>0</v>
      </c>
      <c r="P596" s="89">
        <f t="shared" si="238"/>
        <v>0</v>
      </c>
      <c r="Q596" s="89">
        <f t="shared" si="238"/>
        <v>0</v>
      </c>
      <c r="R596" s="89">
        <f t="shared" si="238"/>
        <v>0</v>
      </c>
      <c r="S596" s="89">
        <f t="shared" si="238"/>
        <v>0</v>
      </c>
      <c r="T596" s="89">
        <f t="shared" si="238"/>
        <v>0</v>
      </c>
      <c r="U596" s="89">
        <f t="shared" si="238"/>
        <v>0</v>
      </c>
      <c r="V596" s="89">
        <f t="shared" si="238"/>
        <v>0</v>
      </c>
      <c r="W596" s="91">
        <f>SUM(G596:V596)</f>
        <v>0</v>
      </c>
      <c r="X596" s="87" t="str">
        <f>IF(ABS(F596-W596)&lt;0.01,"ok","err")</f>
        <v>ok</v>
      </c>
      <c r="Y596" s="203" t="str">
        <f>IF(X596="err",W596-F596,"")</f>
        <v/>
      </c>
    </row>
    <row r="597" spans="1:25" ht="12" hidden="1" customHeight="1" x14ac:dyDescent="0.25">
      <c r="A597" s="86" t="s">
        <v>443</v>
      </c>
      <c r="D597" s="86" t="s">
        <v>1146</v>
      </c>
      <c r="F597" s="89">
        <f t="shared" ref="F597:T597" si="239">SUM(F594:F596)</f>
        <v>15624866.399741719</v>
      </c>
      <c r="G597" s="89">
        <f t="shared" si="239"/>
        <v>6908489.2282339996</v>
      </c>
      <c r="H597" s="89">
        <f t="shared" si="239"/>
        <v>1773266.9174463779</v>
      </c>
      <c r="I597" s="89">
        <f>SUM(I594:I596)</f>
        <v>181483.74667440963</v>
      </c>
      <c r="J597" s="89">
        <f>SUM(J594:J596)</f>
        <v>1581909.0090319288</v>
      </c>
      <c r="K597" s="89">
        <f>SUM(K594:K596)</f>
        <v>67975.921298730551</v>
      </c>
      <c r="L597" s="89">
        <f t="shared" si="239"/>
        <v>1399459.3123564466</v>
      </c>
      <c r="M597" s="89">
        <f t="shared" si="239"/>
        <v>2279208.215862643</v>
      </c>
      <c r="N597" s="89">
        <f t="shared" si="239"/>
        <v>790380.13688667491</v>
      </c>
      <c r="O597" s="89">
        <f t="shared" si="239"/>
        <v>529615.31652773765</v>
      </c>
      <c r="P597" s="89">
        <f>SUM(P594:P596)</f>
        <v>106670.35214109925</v>
      </c>
      <c r="Q597" s="89">
        <f t="shared" si="239"/>
        <v>3880.9957557111334</v>
      </c>
      <c r="R597" s="89">
        <f t="shared" si="239"/>
        <v>1045.6350493065088</v>
      </c>
      <c r="S597" s="89">
        <f t="shared" si="239"/>
        <v>1472.4245928919756</v>
      </c>
      <c r="T597" s="89">
        <f t="shared" si="239"/>
        <v>9.1878837599102496</v>
      </c>
      <c r="U597" s="89">
        <f>SUM(U594:U596)</f>
        <v>0</v>
      </c>
      <c r="V597" s="89">
        <f>SUM(V594:V596)</f>
        <v>0</v>
      </c>
      <c r="W597" s="91">
        <f>SUM(G597:V597)</f>
        <v>15624866.399741717</v>
      </c>
      <c r="X597" s="87" t="str">
        <f>IF(ABS(F597-W597)&lt;0.01,"ok","err")</f>
        <v>ok</v>
      </c>
      <c r="Y597" s="91" t="str">
        <f>IF(X597="err",W597-F597,"")</f>
        <v/>
      </c>
    </row>
    <row r="598" spans="1:25" ht="12" customHeight="1" x14ac:dyDescent="0.25">
      <c r="F598" s="90"/>
      <c r="G598" s="90"/>
    </row>
    <row r="599" spans="1:25" ht="12" customHeight="1" x14ac:dyDescent="0.25">
      <c r="A599" s="23" t="s">
        <v>1628</v>
      </c>
      <c r="F599" s="90"/>
      <c r="G599" s="90"/>
    </row>
    <row r="600" spans="1:25" ht="12" customHeight="1" x14ac:dyDescent="0.25">
      <c r="A600" s="96" t="s">
        <v>145</v>
      </c>
      <c r="C600" s="86" t="s">
        <v>376</v>
      </c>
      <c r="D600" s="86" t="s">
        <v>1147</v>
      </c>
      <c r="E600" s="86" t="s">
        <v>2254</v>
      </c>
      <c r="F600" s="89">
        <f>VLOOKUP(C600,'WSS-29'!$C$1:$AU$617,17,)</f>
        <v>0</v>
      </c>
      <c r="G600" s="89">
        <f t="shared" ref="G600:V600" si="240">IF(VLOOKUP($E600,$D$5:$V$977,3,)=0,0,(VLOOKUP($E600,$D$5:$V$977,G$1,)/VLOOKUP($E600,$D$5:$V$977,3,))*$F600)</f>
        <v>0</v>
      </c>
      <c r="H600" s="89">
        <f t="shared" si="240"/>
        <v>0</v>
      </c>
      <c r="I600" s="89">
        <f t="shared" si="240"/>
        <v>0</v>
      </c>
      <c r="J600" s="89">
        <f t="shared" si="240"/>
        <v>0</v>
      </c>
      <c r="K600" s="89">
        <f t="shared" si="240"/>
        <v>0</v>
      </c>
      <c r="L600" s="89">
        <f t="shared" si="240"/>
        <v>0</v>
      </c>
      <c r="M600" s="89">
        <f t="shared" si="240"/>
        <v>0</v>
      </c>
      <c r="N600" s="89">
        <f t="shared" si="240"/>
        <v>0</v>
      </c>
      <c r="O600" s="89">
        <f t="shared" si="240"/>
        <v>0</v>
      </c>
      <c r="P600" s="89">
        <f t="shared" si="240"/>
        <v>0</v>
      </c>
      <c r="Q600" s="89">
        <f t="shared" si="240"/>
        <v>0</v>
      </c>
      <c r="R600" s="89">
        <f t="shared" si="240"/>
        <v>0</v>
      </c>
      <c r="S600" s="89">
        <f t="shared" si="240"/>
        <v>0</v>
      </c>
      <c r="T600" s="89">
        <f t="shared" si="240"/>
        <v>0</v>
      </c>
      <c r="U600" s="89">
        <f t="shared" si="240"/>
        <v>0</v>
      </c>
      <c r="V600" s="89">
        <f t="shared" si="240"/>
        <v>0</v>
      </c>
      <c r="W600" s="91">
        <f>SUM(G600:V600)</f>
        <v>0</v>
      </c>
      <c r="X600" s="87" t="str">
        <f>IF(ABS(F600-W600)&lt;0.01,"ok","err")</f>
        <v>ok</v>
      </c>
      <c r="Y600" s="203" t="str">
        <f>IF(X600="err",W600-F600,"")</f>
        <v/>
      </c>
    </row>
    <row r="601" spans="1:25" ht="12" customHeight="1" x14ac:dyDescent="0.25">
      <c r="F601" s="90"/>
    </row>
    <row r="602" spans="1:25" ht="12" customHeight="1" x14ac:dyDescent="0.25">
      <c r="A602" s="23" t="s">
        <v>1629</v>
      </c>
      <c r="F602" s="90"/>
      <c r="G602" s="90"/>
    </row>
    <row r="603" spans="1:25" ht="12" customHeight="1" x14ac:dyDescent="0.25">
      <c r="A603" s="96" t="s">
        <v>147</v>
      </c>
      <c r="C603" s="86" t="s">
        <v>376</v>
      </c>
      <c r="D603" s="86" t="s">
        <v>1148</v>
      </c>
      <c r="E603" s="86" t="s">
        <v>2254</v>
      </c>
      <c r="F603" s="89">
        <f>VLOOKUP(C603,'WSS-29'!$C$1:$AU$617,18,)</f>
        <v>4024346.4010056118</v>
      </c>
      <c r="G603" s="89">
        <f t="shared" ref="G603:V603" si="241">IF(VLOOKUP($E603,$D$5:$V$977,3,)=0,0,(VLOOKUP($E603,$D$5:$V$977,G$1,)/VLOOKUP($E603,$D$5:$V$977,3,))*$F603)</f>
        <v>1943544.5357280606</v>
      </c>
      <c r="H603" s="89">
        <f t="shared" si="241"/>
        <v>498867.85864921304</v>
      </c>
      <c r="I603" s="89">
        <f t="shared" si="241"/>
        <v>51056.277649096068</v>
      </c>
      <c r="J603" s="89">
        <f t="shared" si="241"/>
        <v>445033.71271940542</v>
      </c>
      <c r="K603" s="89">
        <f t="shared" si="241"/>
        <v>19123.461879523045</v>
      </c>
      <c r="L603" s="89">
        <f t="shared" si="241"/>
        <v>393705.68725622888</v>
      </c>
      <c r="M603" s="89">
        <f t="shared" si="241"/>
        <v>641202.80532864155</v>
      </c>
      <c r="N603" s="89">
        <f t="shared" si="241"/>
        <v>0</v>
      </c>
      <c r="O603" s="89">
        <f t="shared" si="241"/>
        <v>0</v>
      </c>
      <c r="P603" s="89">
        <f t="shared" si="241"/>
        <v>30009.249950154132</v>
      </c>
      <c r="Q603" s="89">
        <f t="shared" si="241"/>
        <v>1091.8288854485684</v>
      </c>
      <c r="R603" s="89">
        <f t="shared" si="241"/>
        <v>294.16536949061765</v>
      </c>
      <c r="S603" s="89">
        <f t="shared" si="241"/>
        <v>414.23279059209716</v>
      </c>
      <c r="T603" s="89">
        <f t="shared" si="241"/>
        <v>2.5847997567252361</v>
      </c>
      <c r="U603" s="89">
        <f t="shared" si="241"/>
        <v>0</v>
      </c>
      <c r="V603" s="89">
        <f t="shared" si="241"/>
        <v>0</v>
      </c>
      <c r="W603" s="91">
        <f>SUM(G603:V603)</f>
        <v>4024346.4010056113</v>
      </c>
      <c r="X603" s="87" t="str">
        <f>IF(ABS(F603-W603)&lt;0.01,"ok","err")</f>
        <v>ok</v>
      </c>
      <c r="Y603" s="203" t="str">
        <f>IF(X603="err",W603-F603,"")</f>
        <v/>
      </c>
    </row>
    <row r="604" spans="1:25" ht="12" customHeight="1" x14ac:dyDescent="0.25">
      <c r="F604" s="90"/>
    </row>
    <row r="605" spans="1:25" ht="12" customHeight="1" x14ac:dyDescent="0.25">
      <c r="A605" s="23" t="s">
        <v>146</v>
      </c>
      <c r="F605" s="90"/>
      <c r="G605" s="89"/>
      <c r="H605" s="89"/>
      <c r="I605" s="89"/>
      <c r="J605" s="89"/>
      <c r="K605" s="89"/>
      <c r="L605" s="89"/>
      <c r="M605" s="89"/>
      <c r="N605" s="89"/>
      <c r="O605" s="89"/>
      <c r="P605" s="89"/>
      <c r="Q605" s="89"/>
      <c r="R605" s="89"/>
      <c r="S605" s="89"/>
      <c r="T605" s="89"/>
      <c r="U605" s="89"/>
      <c r="V605" s="89"/>
      <c r="W605" s="91"/>
      <c r="X605" s="87"/>
      <c r="Y605" s="203"/>
    </row>
    <row r="606" spans="1:25" ht="12" customHeight="1" x14ac:dyDescent="0.25">
      <c r="A606" s="96" t="s">
        <v>792</v>
      </c>
      <c r="C606" s="86" t="s">
        <v>376</v>
      </c>
      <c r="D606" s="86" t="s">
        <v>1149</v>
      </c>
      <c r="E606" s="86" t="s">
        <v>2254</v>
      </c>
      <c r="F606" s="89">
        <f>VLOOKUP(C606,'WSS-29'!$C$1:$AU$617,19,)</f>
        <v>0</v>
      </c>
      <c r="G606" s="89">
        <f t="shared" ref="G606:V610" si="242">IF(VLOOKUP($E606,$D$5:$V$977,3,)=0,0,(VLOOKUP($E606,$D$5:$V$977,G$1,)/VLOOKUP($E606,$D$5:$V$977,3,))*$F606)</f>
        <v>0</v>
      </c>
      <c r="H606" s="89">
        <f t="shared" si="242"/>
        <v>0</v>
      </c>
      <c r="I606" s="89">
        <f t="shared" si="242"/>
        <v>0</v>
      </c>
      <c r="J606" s="89">
        <f t="shared" si="242"/>
        <v>0</v>
      </c>
      <c r="K606" s="89">
        <f t="shared" si="242"/>
        <v>0</v>
      </c>
      <c r="L606" s="89">
        <f t="shared" si="242"/>
        <v>0</v>
      </c>
      <c r="M606" s="89">
        <f t="shared" si="242"/>
        <v>0</v>
      </c>
      <c r="N606" s="89">
        <f t="shared" si="242"/>
        <v>0</v>
      </c>
      <c r="O606" s="89">
        <f t="shared" si="242"/>
        <v>0</v>
      </c>
      <c r="P606" s="89">
        <f t="shared" si="242"/>
        <v>0</v>
      </c>
      <c r="Q606" s="89">
        <f t="shared" si="242"/>
        <v>0</v>
      </c>
      <c r="R606" s="89">
        <f t="shared" si="242"/>
        <v>0</v>
      </c>
      <c r="S606" s="89">
        <f t="shared" si="242"/>
        <v>0</v>
      </c>
      <c r="T606" s="89">
        <f t="shared" si="242"/>
        <v>0</v>
      </c>
      <c r="U606" s="89">
        <f t="shared" si="242"/>
        <v>0</v>
      </c>
      <c r="V606" s="89">
        <f t="shared" si="242"/>
        <v>0</v>
      </c>
      <c r="W606" s="91">
        <f t="shared" ref="W606:W611" si="243">SUM(G606:V606)</f>
        <v>0</v>
      </c>
      <c r="X606" s="87" t="str">
        <f t="shared" ref="X606:X611" si="244">IF(ABS(F606-W606)&lt;0.01,"ok","err")</f>
        <v>ok</v>
      </c>
      <c r="Y606" s="203" t="str">
        <f t="shared" ref="Y606:Y611" si="245">IF(X606="err",W606-F606,"")</f>
        <v/>
      </c>
    </row>
    <row r="607" spans="1:25" ht="12" customHeight="1" x14ac:dyDescent="0.25">
      <c r="A607" s="96" t="s">
        <v>793</v>
      </c>
      <c r="C607" s="86" t="s">
        <v>376</v>
      </c>
      <c r="D607" s="86" t="s">
        <v>1150</v>
      </c>
      <c r="E607" s="86" t="s">
        <v>2254</v>
      </c>
      <c r="F607" s="90">
        <f>VLOOKUP(C607,'WSS-29'!$C$1:$AU$617,20,)</f>
        <v>3200777.2979566362</v>
      </c>
      <c r="G607" s="89">
        <f t="shared" si="242"/>
        <v>1545804.6121406369</v>
      </c>
      <c r="H607" s="89">
        <f t="shared" si="242"/>
        <v>396776.21097568498</v>
      </c>
      <c r="I607" s="89">
        <f t="shared" si="242"/>
        <v>40607.780278696147</v>
      </c>
      <c r="J607" s="89">
        <f t="shared" si="242"/>
        <v>353959.04391870514</v>
      </c>
      <c r="K607" s="89">
        <f t="shared" si="242"/>
        <v>15209.909024486869</v>
      </c>
      <c r="L607" s="89">
        <f t="shared" si="242"/>
        <v>313135.12811204832</v>
      </c>
      <c r="M607" s="89">
        <f t="shared" si="242"/>
        <v>509982.78432720894</v>
      </c>
      <c r="N607" s="89">
        <f t="shared" si="242"/>
        <v>0</v>
      </c>
      <c r="O607" s="89">
        <f t="shared" si="242"/>
        <v>0</v>
      </c>
      <c r="P607" s="89">
        <f t="shared" si="242"/>
        <v>23867.95678054895</v>
      </c>
      <c r="Q607" s="89">
        <f t="shared" si="242"/>
        <v>868.38973626221912</v>
      </c>
      <c r="R607" s="89">
        <f t="shared" si="242"/>
        <v>233.96540523333584</v>
      </c>
      <c r="S607" s="89">
        <f t="shared" si="242"/>
        <v>329.46142803837654</v>
      </c>
      <c r="T607" s="89">
        <f t="shared" si="242"/>
        <v>2.055829085444187</v>
      </c>
      <c r="U607" s="89">
        <f t="shared" si="242"/>
        <v>0</v>
      </c>
      <c r="V607" s="89">
        <f t="shared" si="242"/>
        <v>0</v>
      </c>
      <c r="W607" s="91">
        <f t="shared" si="243"/>
        <v>3200777.2979566357</v>
      </c>
      <c r="X607" s="87" t="str">
        <f t="shared" si="244"/>
        <v>ok</v>
      </c>
      <c r="Y607" s="203" t="str">
        <f t="shared" si="245"/>
        <v/>
      </c>
    </row>
    <row r="608" spans="1:25" ht="12" customHeight="1" x14ac:dyDescent="0.25">
      <c r="A608" s="96" t="s">
        <v>794</v>
      </c>
      <c r="C608" s="86" t="s">
        <v>376</v>
      </c>
      <c r="D608" s="86" t="s">
        <v>1151</v>
      </c>
      <c r="E608" s="86" t="s">
        <v>905</v>
      </c>
      <c r="F608" s="90">
        <f>VLOOKUP(C608,'WSS-29'!$C$1:$AU$617,21,)</f>
        <v>6221559.3841182869</v>
      </c>
      <c r="G608" s="89">
        <f t="shared" si="242"/>
        <v>4997869.8130734647</v>
      </c>
      <c r="H608" s="89">
        <f t="shared" si="242"/>
        <v>935347.88603721489</v>
      </c>
      <c r="I608" s="89">
        <f t="shared" si="242"/>
        <v>4790.6298763019313</v>
      </c>
      <c r="J608" s="89">
        <f t="shared" si="242"/>
        <v>50177.328492115288</v>
      </c>
      <c r="K608" s="89">
        <f t="shared" si="242"/>
        <v>2304.9256952018727</v>
      </c>
      <c r="L608" s="89">
        <f t="shared" si="242"/>
        <v>8654.7700123756604</v>
      </c>
      <c r="M608" s="89">
        <f t="shared" si="242"/>
        <v>2892.4557743709779</v>
      </c>
      <c r="N608" s="89">
        <f t="shared" si="242"/>
        <v>0</v>
      </c>
      <c r="O608" s="89">
        <f t="shared" si="242"/>
        <v>0</v>
      </c>
      <c r="P608" s="89">
        <f t="shared" si="242"/>
        <v>217555.60912309834</v>
      </c>
      <c r="Q608" s="89">
        <f t="shared" si="242"/>
        <v>135.5838644236396</v>
      </c>
      <c r="R608" s="89">
        <f t="shared" si="242"/>
        <v>1672.2009945582215</v>
      </c>
      <c r="S608" s="89">
        <f t="shared" si="242"/>
        <v>45.19462147454653</v>
      </c>
      <c r="T608" s="89">
        <f t="shared" si="242"/>
        <v>112.98655368636631</v>
      </c>
      <c r="U608" s="89">
        <f t="shared" si="242"/>
        <v>0</v>
      </c>
      <c r="V608" s="89">
        <f t="shared" si="242"/>
        <v>0</v>
      </c>
      <c r="W608" s="91">
        <f t="shared" si="243"/>
        <v>6221559.3841182869</v>
      </c>
      <c r="X608" s="87" t="str">
        <f t="shared" si="244"/>
        <v>ok</v>
      </c>
      <c r="Y608" s="203" t="str">
        <f t="shared" si="245"/>
        <v/>
      </c>
    </row>
    <row r="609" spans="1:25" ht="12" customHeight="1" x14ac:dyDescent="0.25">
      <c r="A609" s="96" t="s">
        <v>795</v>
      </c>
      <c r="C609" s="86" t="s">
        <v>376</v>
      </c>
      <c r="D609" s="86" t="s">
        <v>1152</v>
      </c>
      <c r="E609" s="86" t="s">
        <v>734</v>
      </c>
      <c r="F609" s="90">
        <f>VLOOKUP(C609,'WSS-29'!$C$1:$AU$617,22,)</f>
        <v>1440940.9718787491</v>
      </c>
      <c r="G609" s="89">
        <f t="shared" si="242"/>
        <v>1193492.5337868163</v>
      </c>
      <c r="H609" s="89">
        <f t="shared" si="242"/>
        <v>222632.85939607621</v>
      </c>
      <c r="I609" s="89">
        <f t="shared" si="242"/>
        <v>16137.604114844387</v>
      </c>
      <c r="J609" s="89">
        <f t="shared" si="242"/>
        <v>0</v>
      </c>
      <c r="K609" s="89">
        <f t="shared" si="242"/>
        <v>0</v>
      </c>
      <c r="L609" s="89">
        <f t="shared" si="242"/>
        <v>0</v>
      </c>
      <c r="M609" s="89">
        <f t="shared" si="242"/>
        <v>0</v>
      </c>
      <c r="N609" s="89">
        <f t="shared" si="242"/>
        <v>0</v>
      </c>
      <c r="O609" s="89">
        <f t="shared" si="242"/>
        <v>0</v>
      </c>
      <c r="P609" s="89">
        <f t="shared" si="242"/>
        <v>8294.1883727840159</v>
      </c>
      <c r="Q609" s="89">
        <f t="shared" si="242"/>
        <v>301.76810356137332</v>
      </c>
      <c r="R609" s="89">
        <f t="shared" si="242"/>
        <v>81.303697738445607</v>
      </c>
      <c r="S609" s="89">
        <f t="shared" si="242"/>
        <v>0</v>
      </c>
      <c r="T609" s="89">
        <f t="shared" si="242"/>
        <v>0.71440692865751876</v>
      </c>
      <c r="U609" s="89">
        <f t="shared" si="242"/>
        <v>0</v>
      </c>
      <c r="V609" s="89">
        <f t="shared" si="242"/>
        <v>0</v>
      </c>
      <c r="W609" s="91">
        <f t="shared" si="243"/>
        <v>1440940.9718787496</v>
      </c>
      <c r="X609" s="87" t="str">
        <f t="shared" si="244"/>
        <v>ok</v>
      </c>
      <c r="Y609" s="203" t="str">
        <f t="shared" si="245"/>
        <v/>
      </c>
    </row>
    <row r="610" spans="1:25" ht="12" customHeight="1" x14ac:dyDescent="0.25">
      <c r="A610" s="96" t="s">
        <v>796</v>
      </c>
      <c r="C610" s="86" t="s">
        <v>376</v>
      </c>
      <c r="D610" s="86" t="s">
        <v>1153</v>
      </c>
      <c r="E610" s="86" t="s">
        <v>904</v>
      </c>
      <c r="F610" s="90">
        <f>VLOOKUP(C610,'WSS-29'!$C$1:$AU$617,23,)</f>
        <v>2908901.9295372954</v>
      </c>
      <c r="G610" s="89">
        <f t="shared" si="242"/>
        <v>2338717.2652800805</v>
      </c>
      <c r="H610" s="89">
        <f t="shared" si="242"/>
        <v>437689.32203802979</v>
      </c>
      <c r="I610" s="89">
        <f t="shared" si="242"/>
        <v>2241.7408260548491</v>
      </c>
      <c r="J610" s="89">
        <f t="shared" si="242"/>
        <v>23480.120303088643</v>
      </c>
      <c r="K610" s="89">
        <f t="shared" si="242"/>
        <v>0</v>
      </c>
      <c r="L610" s="89">
        <f t="shared" si="242"/>
        <v>4049.9374357500337</v>
      </c>
      <c r="M610" s="89">
        <f t="shared" si="242"/>
        <v>0</v>
      </c>
      <c r="N610" s="89">
        <f t="shared" si="242"/>
        <v>0</v>
      </c>
      <c r="O610" s="89">
        <f t="shared" si="242"/>
        <v>0</v>
      </c>
      <c r="P610" s="89">
        <f t="shared" si="242"/>
        <v>101803.58397567482</v>
      </c>
      <c r="Q610" s="89">
        <f t="shared" si="242"/>
        <v>63.445495077024034</v>
      </c>
      <c r="R610" s="89">
        <f t="shared" si="242"/>
        <v>782.49443928329651</v>
      </c>
      <c r="S610" s="89">
        <f t="shared" si="242"/>
        <v>21.148498359008009</v>
      </c>
      <c r="T610" s="89">
        <f t="shared" si="242"/>
        <v>52.871245897520026</v>
      </c>
      <c r="U610" s="89">
        <f t="shared" si="242"/>
        <v>0</v>
      </c>
      <c r="V610" s="89">
        <f t="shared" si="242"/>
        <v>0</v>
      </c>
      <c r="W610" s="91">
        <f t="shared" si="243"/>
        <v>2908901.9295372958</v>
      </c>
      <c r="X610" s="87" t="str">
        <f t="shared" si="244"/>
        <v>ok</v>
      </c>
      <c r="Y610" s="203" t="str">
        <f t="shared" si="245"/>
        <v/>
      </c>
    </row>
    <row r="611" spans="1:25" ht="12" customHeight="1" x14ac:dyDescent="0.25">
      <c r="A611" s="86" t="s">
        <v>151</v>
      </c>
      <c r="D611" s="86" t="s">
        <v>1154</v>
      </c>
      <c r="F611" s="89">
        <f t="shared" ref="F611:T611" si="246">SUM(F606:F610)</f>
        <v>13772179.583490968</v>
      </c>
      <c r="G611" s="89">
        <f t="shared" si="246"/>
        <v>10075884.224280998</v>
      </c>
      <c r="H611" s="89">
        <f t="shared" si="246"/>
        <v>1992446.2784470059</v>
      </c>
      <c r="I611" s="89">
        <f>SUM(I606:I610)</f>
        <v>63777.755095897308</v>
      </c>
      <c r="J611" s="89">
        <f>SUM(J606:J610)</f>
        <v>427616.49271390907</v>
      </c>
      <c r="K611" s="89">
        <f>SUM(K606:K610)</f>
        <v>17514.834719688741</v>
      </c>
      <c r="L611" s="89">
        <f t="shared" si="246"/>
        <v>325839.83556017402</v>
      </c>
      <c r="M611" s="89">
        <f t="shared" si="246"/>
        <v>512875.24010157993</v>
      </c>
      <c r="N611" s="89">
        <f t="shared" si="246"/>
        <v>0</v>
      </c>
      <c r="O611" s="89">
        <f t="shared" si="246"/>
        <v>0</v>
      </c>
      <c r="P611" s="89">
        <f>SUM(P606:P610)</f>
        <v>351521.3382521061</v>
      </c>
      <c r="Q611" s="89">
        <f t="shared" si="246"/>
        <v>1369.1871993242562</v>
      </c>
      <c r="R611" s="89">
        <f t="shared" si="246"/>
        <v>2769.9645368132997</v>
      </c>
      <c r="S611" s="89">
        <f t="shared" si="246"/>
        <v>395.80454787193105</v>
      </c>
      <c r="T611" s="89">
        <f t="shared" si="246"/>
        <v>168.62803559798806</v>
      </c>
      <c r="U611" s="89">
        <f>SUM(U606:U610)</f>
        <v>0</v>
      </c>
      <c r="V611" s="89">
        <f>SUM(V606:V610)</f>
        <v>0</v>
      </c>
      <c r="W611" s="91">
        <f t="shared" si="243"/>
        <v>13772179.58349097</v>
      </c>
      <c r="X611" s="87" t="str">
        <f t="shared" si="244"/>
        <v>ok</v>
      </c>
      <c r="Y611" s="91" t="str">
        <f t="shared" si="245"/>
        <v/>
      </c>
    </row>
    <row r="612" spans="1:25" ht="12" customHeight="1" x14ac:dyDescent="0.25">
      <c r="F612" s="90"/>
    </row>
    <row r="613" spans="1:25" ht="12" customHeight="1" x14ac:dyDescent="0.25">
      <c r="A613" s="23" t="s">
        <v>791</v>
      </c>
      <c r="F613" s="90"/>
    </row>
    <row r="614" spans="1:25" ht="12" customHeight="1" x14ac:dyDescent="0.25">
      <c r="A614" s="96" t="s">
        <v>389</v>
      </c>
      <c r="C614" s="86" t="s">
        <v>376</v>
      </c>
      <c r="D614" s="86" t="s">
        <v>1155</v>
      </c>
      <c r="E614" s="86" t="s">
        <v>2179</v>
      </c>
      <c r="F614" s="89">
        <f>VLOOKUP(C614,'WSS-29'!$C$1:$AU$617,24,)</f>
        <v>2100509.0809078151</v>
      </c>
      <c r="G614" s="89">
        <f t="shared" ref="G614:V615" si="247">IF(VLOOKUP($E614,$D$5:$V$977,3,)=0,0,(VLOOKUP($E614,$D$5:$V$977,G$1,)/VLOOKUP($E614,$D$5:$V$977,3,))*$F614)</f>
        <v>1435817.4788640589</v>
      </c>
      <c r="H614" s="89">
        <f t="shared" si="247"/>
        <v>267835.9033182431</v>
      </c>
      <c r="I614" s="89">
        <f t="shared" si="247"/>
        <v>19414.159200111859</v>
      </c>
      <c r="J614" s="89">
        <f t="shared" si="247"/>
        <v>197883.77174618994</v>
      </c>
      <c r="K614" s="89">
        <f t="shared" si="247"/>
        <v>0</v>
      </c>
      <c r="L614" s="89">
        <f t="shared" si="247"/>
        <v>168883.27888718285</v>
      </c>
      <c r="M614" s="89">
        <f t="shared" si="247"/>
        <v>0</v>
      </c>
      <c r="N614" s="89">
        <f t="shared" si="247"/>
        <v>0</v>
      </c>
      <c r="O614" s="89">
        <f t="shared" si="247"/>
        <v>0</v>
      </c>
      <c r="P614" s="89">
        <f t="shared" si="247"/>
        <v>9978.2280169349906</v>
      </c>
      <c r="Q614" s="89">
        <f t="shared" si="247"/>
        <v>363.03864950232963</v>
      </c>
      <c r="R614" s="89">
        <f t="shared" si="247"/>
        <v>97.811479338497705</v>
      </c>
      <c r="S614" s="89">
        <f t="shared" si="247"/>
        <v>234.55128720601402</v>
      </c>
      <c r="T614" s="89">
        <f t="shared" si="247"/>
        <v>0.85945904657940397</v>
      </c>
      <c r="U614" s="89">
        <f t="shared" si="247"/>
        <v>0</v>
      </c>
      <c r="V614" s="89">
        <f t="shared" si="247"/>
        <v>0</v>
      </c>
      <c r="W614" s="91">
        <f>SUM(G614:V614)</f>
        <v>2100509.0809078151</v>
      </c>
      <c r="X614" s="87" t="str">
        <f>IF(ABS(F614-W614)&lt;0.01,"ok","err")</f>
        <v>ok</v>
      </c>
      <c r="Y614" s="203" t="str">
        <f>IF(X614="err",W614-F614,"")</f>
        <v/>
      </c>
    </row>
    <row r="615" spans="1:25" ht="12" customHeight="1" x14ac:dyDescent="0.25">
      <c r="A615" s="96" t="s">
        <v>392</v>
      </c>
      <c r="C615" s="86" t="s">
        <v>376</v>
      </c>
      <c r="D615" s="86" t="s">
        <v>1156</v>
      </c>
      <c r="E615" s="86" t="s">
        <v>2178</v>
      </c>
      <c r="F615" s="90">
        <f>VLOOKUP(C615,'WSS-29'!$C$1:$AU$617,25,)</f>
        <v>1745159.661032195</v>
      </c>
      <c r="G615" s="89">
        <f t="shared" si="247"/>
        <v>1403084.4383177746</v>
      </c>
      <c r="H615" s="89">
        <f t="shared" si="247"/>
        <v>262586.28423640231</v>
      </c>
      <c r="I615" s="89">
        <f t="shared" si="247"/>
        <v>1344.9046254860186</v>
      </c>
      <c r="J615" s="89">
        <f t="shared" si="247"/>
        <v>14086.607174017474</v>
      </c>
      <c r="K615" s="89">
        <f t="shared" si="247"/>
        <v>0</v>
      </c>
      <c r="L615" s="89">
        <f t="shared" si="247"/>
        <v>2429.7097715148357</v>
      </c>
      <c r="M615" s="89">
        <f t="shared" si="247"/>
        <v>0</v>
      </c>
      <c r="N615" s="89">
        <f t="shared" si="247"/>
        <v>0</v>
      </c>
      <c r="O615" s="89">
        <f t="shared" si="247"/>
        <v>0</v>
      </c>
      <c r="P615" s="89">
        <f t="shared" si="247"/>
        <v>61075.798499370969</v>
      </c>
      <c r="Q615" s="89">
        <f t="shared" si="247"/>
        <v>38.063338457151474</v>
      </c>
      <c r="R615" s="89">
        <f t="shared" si="247"/>
        <v>469.44784097153484</v>
      </c>
      <c r="S615" s="89">
        <f t="shared" si="247"/>
        <v>12.687779485717156</v>
      </c>
      <c r="T615" s="89">
        <f t="shared" si="247"/>
        <v>31.719448714292891</v>
      </c>
      <c r="U615" s="89">
        <f t="shared" si="247"/>
        <v>0</v>
      </c>
      <c r="V615" s="89">
        <f t="shared" si="247"/>
        <v>0</v>
      </c>
      <c r="W615" s="91">
        <f>SUM(G615:V615)</f>
        <v>1745159.661032195</v>
      </c>
      <c r="X615" s="87" t="str">
        <f>IF(ABS(F615-W615)&lt;0.01,"ok","err")</f>
        <v>ok</v>
      </c>
      <c r="Y615" s="203" t="str">
        <f>IF(X615="err",W615-F615,"")</f>
        <v/>
      </c>
    </row>
    <row r="616" spans="1:25" ht="12" customHeight="1" x14ac:dyDescent="0.25">
      <c r="A616" s="86" t="s">
        <v>1469</v>
      </c>
      <c r="D616" s="86" t="s">
        <v>1157</v>
      </c>
      <c r="F616" s="89">
        <f t="shared" ref="F616:T616" si="248">F614+F615</f>
        <v>3845668.7419400103</v>
      </c>
      <c r="G616" s="89">
        <f t="shared" si="248"/>
        <v>2838901.9171818336</v>
      </c>
      <c r="H616" s="89">
        <f t="shared" si="248"/>
        <v>530422.18755464535</v>
      </c>
      <c r="I616" s="89">
        <f>I614+I615</f>
        <v>20759.063825597877</v>
      </c>
      <c r="J616" s="89">
        <f>J614+J615</f>
        <v>211970.37892020741</v>
      </c>
      <c r="K616" s="89">
        <f>K614+K615</f>
        <v>0</v>
      </c>
      <c r="L616" s="89">
        <f t="shared" si="248"/>
        <v>171312.98865869769</v>
      </c>
      <c r="M616" s="89">
        <f t="shared" si="248"/>
        <v>0</v>
      </c>
      <c r="N616" s="89">
        <f t="shared" si="248"/>
        <v>0</v>
      </c>
      <c r="O616" s="89">
        <f t="shared" si="248"/>
        <v>0</v>
      </c>
      <c r="P616" s="89">
        <f>P614+P615</f>
        <v>71054.026516305952</v>
      </c>
      <c r="Q616" s="89">
        <f t="shared" si="248"/>
        <v>401.10198795948111</v>
      </c>
      <c r="R616" s="89">
        <f t="shared" si="248"/>
        <v>567.25932031003254</v>
      </c>
      <c r="S616" s="89">
        <f t="shared" si="248"/>
        <v>247.23906669173118</v>
      </c>
      <c r="T616" s="89">
        <f t="shared" si="248"/>
        <v>32.578907760872298</v>
      </c>
      <c r="U616" s="89">
        <f>U614+U615</f>
        <v>0</v>
      </c>
      <c r="V616" s="89">
        <f>V614+V615</f>
        <v>0</v>
      </c>
      <c r="W616" s="91">
        <f>SUM(G616:V616)</f>
        <v>3845668.7419400094</v>
      </c>
      <c r="X616" s="87" t="str">
        <f>IF(ABS(F616-W616)&lt;0.01,"ok","err")</f>
        <v>ok</v>
      </c>
      <c r="Y616" s="91" t="str">
        <f>IF(X616="err",W616-F616,"")</f>
        <v/>
      </c>
    </row>
    <row r="617" spans="1:25" ht="12" customHeight="1" x14ac:dyDescent="0.25">
      <c r="F617" s="90"/>
    </row>
    <row r="618" spans="1:25" ht="12" customHeight="1" x14ac:dyDescent="0.25">
      <c r="A618" s="23" t="s">
        <v>128</v>
      </c>
      <c r="F618" s="90"/>
    </row>
    <row r="619" spans="1:25" ht="12" customHeight="1" x14ac:dyDescent="0.25">
      <c r="A619" s="96" t="s">
        <v>392</v>
      </c>
      <c r="C619" s="86" t="s">
        <v>376</v>
      </c>
      <c r="D619" s="86" t="s">
        <v>1158</v>
      </c>
      <c r="E619" s="86" t="s">
        <v>393</v>
      </c>
      <c r="F619" s="89">
        <f>VLOOKUP(C619,'WSS-29'!$C$1:$AU$617,26,)</f>
        <v>1471391.4910519426</v>
      </c>
      <c r="G619" s="89">
        <f t="shared" ref="G619:V619" si="249">IF(VLOOKUP($E619,$D$5:$V$977,3,)=0,0,(VLOOKUP($E619,$D$5:$V$977,G$1,)/VLOOKUP($E619,$D$5:$V$977,3,))*$F619)</f>
        <v>1163669.9207671795</v>
      </c>
      <c r="H619" s="89">
        <f t="shared" si="249"/>
        <v>261601.30733140756</v>
      </c>
      <c r="I619" s="89">
        <f t="shared" si="249"/>
        <v>2366.8986005641896</v>
      </c>
      <c r="J619" s="89">
        <f t="shared" si="249"/>
        <v>33996.493816453411</v>
      </c>
      <c r="K619" s="89">
        <f t="shared" si="249"/>
        <v>0</v>
      </c>
      <c r="L619" s="89">
        <f t="shared" si="249"/>
        <v>9726.2479017718688</v>
      </c>
      <c r="M619" s="89">
        <f t="shared" si="249"/>
        <v>0</v>
      </c>
      <c r="N619" s="89">
        <f t="shared" si="249"/>
        <v>0</v>
      </c>
      <c r="O619" s="89">
        <f t="shared" si="249"/>
        <v>0</v>
      </c>
      <c r="P619" s="89">
        <f t="shared" si="249"/>
        <v>0</v>
      </c>
      <c r="Q619" s="89">
        <f t="shared" si="249"/>
        <v>0</v>
      </c>
      <c r="R619" s="89">
        <f t="shared" si="249"/>
        <v>0</v>
      </c>
      <c r="S619" s="89">
        <f t="shared" si="249"/>
        <v>30.622634565946626</v>
      </c>
      <c r="T619" s="89">
        <f t="shared" si="249"/>
        <v>0</v>
      </c>
      <c r="U619" s="89">
        <f t="shared" si="249"/>
        <v>0</v>
      </c>
      <c r="V619" s="89">
        <f t="shared" si="249"/>
        <v>0</v>
      </c>
      <c r="W619" s="91">
        <f>SUM(G619:V619)</f>
        <v>1471391.4910519426</v>
      </c>
      <c r="X619" s="87" t="str">
        <f>IF(ABS(F619-W619)&lt;0.01,"ok","err")</f>
        <v>ok</v>
      </c>
      <c r="Y619" s="203" t="str">
        <f>IF(X619="err",W619-F619,"")</f>
        <v/>
      </c>
    </row>
    <row r="620" spans="1:25" ht="12" customHeight="1" x14ac:dyDescent="0.25">
      <c r="F620" s="90"/>
    </row>
    <row r="621" spans="1:25" ht="12" customHeight="1" x14ac:dyDescent="0.25">
      <c r="A621" s="23" t="s">
        <v>127</v>
      </c>
      <c r="F621" s="90"/>
    </row>
    <row r="622" spans="1:25" ht="12" customHeight="1" x14ac:dyDescent="0.25">
      <c r="A622" s="96" t="s">
        <v>392</v>
      </c>
      <c r="C622" s="86" t="s">
        <v>376</v>
      </c>
      <c r="D622" s="86" t="s">
        <v>1159</v>
      </c>
      <c r="E622" s="86" t="s">
        <v>394</v>
      </c>
      <c r="F622" s="89">
        <f>VLOOKUP(C622,'WSS-29'!$C$1:$AU$617,27,)</f>
        <v>875093.61186417006</v>
      </c>
      <c r="G622" s="89">
        <f t="shared" ref="G622:V622" si="250">IF(VLOOKUP($E622,$D$5:$V$977,3,)=0,0,(VLOOKUP($E622,$D$5:$V$977,G$1,)/VLOOKUP($E622,$D$5:$V$977,3,))*$F622)</f>
        <v>528674.56717721024</v>
      </c>
      <c r="H622" s="89">
        <f t="shared" si="250"/>
        <v>213335.95067350881</v>
      </c>
      <c r="I622" s="89">
        <f t="shared" si="250"/>
        <v>4354.6357820394314</v>
      </c>
      <c r="J622" s="89">
        <f t="shared" si="250"/>
        <v>66702.176040255727</v>
      </c>
      <c r="K622" s="89">
        <f t="shared" si="250"/>
        <v>13044.343419255274</v>
      </c>
      <c r="L622" s="89">
        <f t="shared" si="250"/>
        <v>11930.48276202309</v>
      </c>
      <c r="M622" s="89">
        <f t="shared" si="250"/>
        <v>23107.684534621643</v>
      </c>
      <c r="N622" s="89">
        <f t="shared" si="250"/>
        <v>11456.624963621061</v>
      </c>
      <c r="O622" s="89">
        <f t="shared" si="250"/>
        <v>707.21244337721623</v>
      </c>
      <c r="P622" s="89">
        <f t="shared" si="250"/>
        <v>0</v>
      </c>
      <c r="Q622" s="89">
        <f t="shared" si="250"/>
        <v>129.07850100670322</v>
      </c>
      <c r="R622" s="89">
        <f t="shared" si="250"/>
        <v>1590.7730077770555</v>
      </c>
      <c r="S622" s="89">
        <f t="shared" si="250"/>
        <v>60.082559473989889</v>
      </c>
      <c r="T622" s="89">
        <f t="shared" si="250"/>
        <v>0</v>
      </c>
      <c r="U622" s="89">
        <f t="shared" si="250"/>
        <v>0</v>
      </c>
      <c r="V622" s="89">
        <f t="shared" si="250"/>
        <v>0</v>
      </c>
      <c r="W622" s="91">
        <f>SUM(G622:V622)</f>
        <v>875093.61186417018</v>
      </c>
      <c r="X622" s="87" t="str">
        <f>IF(ABS(F622-W622)&lt;0.01,"ok","err")</f>
        <v>ok</v>
      </c>
      <c r="Y622" s="203" t="str">
        <f>IF(X622="err",W622-F622,"")</f>
        <v/>
      </c>
    </row>
    <row r="623" spans="1:25" ht="12" customHeight="1" x14ac:dyDescent="0.25">
      <c r="F623" s="90"/>
    </row>
    <row r="624" spans="1:25" ht="12" customHeight="1" x14ac:dyDescent="0.25">
      <c r="A624" s="23" t="s">
        <v>144</v>
      </c>
      <c r="F624" s="90"/>
    </row>
    <row r="625" spans="1:25" ht="12" customHeight="1" x14ac:dyDescent="0.25">
      <c r="A625" s="96" t="s">
        <v>392</v>
      </c>
      <c r="C625" s="86" t="s">
        <v>376</v>
      </c>
      <c r="D625" s="86" t="s">
        <v>1160</v>
      </c>
      <c r="E625" s="86" t="s">
        <v>395</v>
      </c>
      <c r="F625" s="89">
        <f>VLOOKUP(C625,'WSS-29'!$C$1:$AU$617,28,)</f>
        <v>1685046.6639415524</v>
      </c>
      <c r="G625" s="89">
        <f t="shared" ref="G625:V625" si="251">IF(VLOOKUP($E625,$D$5:$V$977,3,)=0,0,(VLOOKUP($E625,$D$5:$V$977,G$1,)/VLOOKUP($E625,$D$5:$V$977,3,))*$F625)</f>
        <v>0</v>
      </c>
      <c r="H625" s="89">
        <f t="shared" si="251"/>
        <v>0</v>
      </c>
      <c r="I625" s="89">
        <f t="shared" si="251"/>
        <v>0</v>
      </c>
      <c r="J625" s="89">
        <f t="shared" si="251"/>
        <v>0</v>
      </c>
      <c r="K625" s="89">
        <f t="shared" si="251"/>
        <v>0</v>
      </c>
      <c r="L625" s="89">
        <f t="shared" si="251"/>
        <v>0</v>
      </c>
      <c r="M625" s="89">
        <f t="shared" si="251"/>
        <v>0</v>
      </c>
      <c r="N625" s="89">
        <f t="shared" si="251"/>
        <v>0</v>
      </c>
      <c r="O625" s="89">
        <f t="shared" si="251"/>
        <v>0</v>
      </c>
      <c r="P625" s="89">
        <f t="shared" si="251"/>
        <v>1685046.6639415524</v>
      </c>
      <c r="Q625" s="89">
        <f t="shared" si="251"/>
        <v>0</v>
      </c>
      <c r="R625" s="89">
        <f t="shared" si="251"/>
        <v>0</v>
      </c>
      <c r="S625" s="89">
        <f t="shared" si="251"/>
        <v>0</v>
      </c>
      <c r="T625" s="89">
        <f t="shared" si="251"/>
        <v>0</v>
      </c>
      <c r="U625" s="89">
        <f t="shared" si="251"/>
        <v>0</v>
      </c>
      <c r="V625" s="89">
        <f t="shared" si="251"/>
        <v>0</v>
      </c>
      <c r="W625" s="91">
        <f>SUM(G625:V625)</f>
        <v>1685046.6639415524</v>
      </c>
      <c r="X625" s="87" t="str">
        <f>IF(ABS(F625-W625)&lt;0.01,"ok","err")</f>
        <v>ok</v>
      </c>
      <c r="Y625" s="203" t="str">
        <f>IF(X625="err",W625-F625,"")</f>
        <v/>
      </c>
    </row>
    <row r="626" spans="1:25" ht="12" customHeight="1" x14ac:dyDescent="0.25">
      <c r="F626" s="90"/>
    </row>
    <row r="627" spans="1:25" ht="12" customHeight="1" x14ac:dyDescent="0.25">
      <c r="A627" s="23" t="s">
        <v>292</v>
      </c>
      <c r="F627" s="90"/>
    </row>
    <row r="628" spans="1:25" ht="12" customHeight="1" x14ac:dyDescent="0.25">
      <c r="A628" s="96" t="s">
        <v>392</v>
      </c>
      <c r="C628" s="86" t="s">
        <v>376</v>
      </c>
      <c r="D628" s="86" t="s">
        <v>1161</v>
      </c>
      <c r="E628" s="86" t="s">
        <v>396</v>
      </c>
      <c r="F628" s="89">
        <f>VLOOKUP(C628,'WSS-29'!$C$1:$AU$617,30,)</f>
        <v>0</v>
      </c>
      <c r="G628" s="89">
        <f t="shared" ref="G628:V628" si="252">IF(VLOOKUP($E628,$D$5:$V$977,3,)=0,0,(VLOOKUP($E628,$D$5:$V$977,G$1,)/VLOOKUP($E628,$D$5:$V$977,3,))*$F628)</f>
        <v>0</v>
      </c>
      <c r="H628" s="89">
        <f t="shared" si="252"/>
        <v>0</v>
      </c>
      <c r="I628" s="89">
        <f t="shared" si="252"/>
        <v>0</v>
      </c>
      <c r="J628" s="89">
        <f t="shared" si="252"/>
        <v>0</v>
      </c>
      <c r="K628" s="89">
        <f t="shared" si="252"/>
        <v>0</v>
      </c>
      <c r="L628" s="89">
        <f t="shared" si="252"/>
        <v>0</v>
      </c>
      <c r="M628" s="89">
        <f t="shared" si="252"/>
        <v>0</v>
      </c>
      <c r="N628" s="89">
        <f t="shared" si="252"/>
        <v>0</v>
      </c>
      <c r="O628" s="89">
        <f t="shared" si="252"/>
        <v>0</v>
      </c>
      <c r="P628" s="89">
        <f t="shared" si="252"/>
        <v>0</v>
      </c>
      <c r="Q628" s="89">
        <f t="shared" si="252"/>
        <v>0</v>
      </c>
      <c r="R628" s="89">
        <f t="shared" si="252"/>
        <v>0</v>
      </c>
      <c r="S628" s="89">
        <f t="shared" si="252"/>
        <v>0</v>
      </c>
      <c r="T628" s="89">
        <f t="shared" si="252"/>
        <v>0</v>
      </c>
      <c r="U628" s="89">
        <f t="shared" si="252"/>
        <v>0</v>
      </c>
      <c r="V628" s="89">
        <f t="shared" si="252"/>
        <v>0</v>
      </c>
      <c r="W628" s="91">
        <f>SUM(G628:V628)</f>
        <v>0</v>
      </c>
      <c r="X628" s="87" t="str">
        <f>IF(ABS(F628-W628)&lt;0.01,"ok","err")</f>
        <v>ok</v>
      </c>
      <c r="Y628" s="203" t="str">
        <f>IF(X628="err",W628-F628,"")</f>
        <v/>
      </c>
    </row>
    <row r="629" spans="1:25" ht="12" customHeight="1" x14ac:dyDescent="0.25">
      <c r="F629" s="90"/>
    </row>
    <row r="630" spans="1:25" ht="12" customHeight="1" x14ac:dyDescent="0.25">
      <c r="A630" s="23" t="s">
        <v>1631</v>
      </c>
      <c r="F630" s="90"/>
    </row>
    <row r="631" spans="1:25" ht="12" customHeight="1" x14ac:dyDescent="0.25">
      <c r="A631" s="96" t="s">
        <v>392</v>
      </c>
      <c r="C631" s="86" t="s">
        <v>376</v>
      </c>
      <c r="D631" s="86" t="s">
        <v>1162</v>
      </c>
      <c r="E631" s="86" t="s">
        <v>396</v>
      </c>
      <c r="F631" s="89">
        <f>VLOOKUP(C631,'WSS-29'!$C$1:$AU$617,32,)</f>
        <v>0</v>
      </c>
      <c r="G631" s="89">
        <f t="shared" ref="G631:V631" si="253">IF(VLOOKUP($E631,$D$5:$V$977,3,)=0,0,(VLOOKUP($E631,$D$5:$V$977,G$1,)/VLOOKUP($E631,$D$5:$V$977,3,))*$F631)</f>
        <v>0</v>
      </c>
      <c r="H631" s="89">
        <f t="shared" si="253"/>
        <v>0</v>
      </c>
      <c r="I631" s="89">
        <f t="shared" si="253"/>
        <v>0</v>
      </c>
      <c r="J631" s="89">
        <f t="shared" si="253"/>
        <v>0</v>
      </c>
      <c r="K631" s="89">
        <f t="shared" si="253"/>
        <v>0</v>
      </c>
      <c r="L631" s="89">
        <f t="shared" si="253"/>
        <v>0</v>
      </c>
      <c r="M631" s="89">
        <f t="shared" si="253"/>
        <v>0</v>
      </c>
      <c r="N631" s="89">
        <f t="shared" si="253"/>
        <v>0</v>
      </c>
      <c r="O631" s="89">
        <f t="shared" si="253"/>
        <v>0</v>
      </c>
      <c r="P631" s="89">
        <f t="shared" si="253"/>
        <v>0</v>
      </c>
      <c r="Q631" s="89">
        <f t="shared" si="253"/>
        <v>0</v>
      </c>
      <c r="R631" s="89">
        <f t="shared" si="253"/>
        <v>0</v>
      </c>
      <c r="S631" s="89">
        <f t="shared" si="253"/>
        <v>0</v>
      </c>
      <c r="T631" s="89">
        <f t="shared" si="253"/>
        <v>0</v>
      </c>
      <c r="U631" s="89">
        <f t="shared" si="253"/>
        <v>0</v>
      </c>
      <c r="V631" s="89">
        <f t="shared" si="253"/>
        <v>0</v>
      </c>
      <c r="W631" s="91">
        <f>SUM(G631:V631)</f>
        <v>0</v>
      </c>
      <c r="X631" s="87" t="str">
        <f>IF(ABS(F631-W631)&lt;0.01,"ok","err")</f>
        <v>ok</v>
      </c>
      <c r="Y631" s="203" t="str">
        <f>IF(X631="err",W631-F631,"")</f>
        <v/>
      </c>
    </row>
    <row r="632" spans="1:25" ht="12" customHeight="1" x14ac:dyDescent="0.25">
      <c r="F632" s="90"/>
    </row>
    <row r="633" spans="1:25" ht="12" customHeight="1" x14ac:dyDescent="0.25">
      <c r="A633" s="23" t="s">
        <v>1630</v>
      </c>
      <c r="F633" s="90"/>
    </row>
    <row r="634" spans="1:25" ht="12" customHeight="1" x14ac:dyDescent="0.25">
      <c r="A634" s="96" t="s">
        <v>392</v>
      </c>
      <c r="C634" s="86" t="s">
        <v>376</v>
      </c>
      <c r="D634" s="86" t="s">
        <v>1163</v>
      </c>
      <c r="E634" s="86" t="s">
        <v>397</v>
      </c>
      <c r="F634" s="89">
        <f>VLOOKUP(C634,'WSS-29'!$C$1:$AU$617,34,)</f>
        <v>0</v>
      </c>
      <c r="G634" s="89">
        <f t="shared" ref="G634:V634" si="254">IF(VLOOKUP($E634,$D$5:$V$977,3,)=0,0,(VLOOKUP($E634,$D$5:$V$977,G$1,)/VLOOKUP($E634,$D$5:$V$977,3,))*$F634)</f>
        <v>0</v>
      </c>
      <c r="H634" s="89">
        <f t="shared" si="254"/>
        <v>0</v>
      </c>
      <c r="I634" s="89">
        <f t="shared" si="254"/>
        <v>0</v>
      </c>
      <c r="J634" s="89">
        <f t="shared" si="254"/>
        <v>0</v>
      </c>
      <c r="K634" s="89">
        <f t="shared" si="254"/>
        <v>0</v>
      </c>
      <c r="L634" s="89">
        <f t="shared" si="254"/>
        <v>0</v>
      </c>
      <c r="M634" s="89">
        <f t="shared" si="254"/>
        <v>0</v>
      </c>
      <c r="N634" s="89">
        <f t="shared" si="254"/>
        <v>0</v>
      </c>
      <c r="O634" s="89">
        <f t="shared" si="254"/>
        <v>0</v>
      </c>
      <c r="P634" s="89">
        <f t="shared" si="254"/>
        <v>0</v>
      </c>
      <c r="Q634" s="89">
        <f t="shared" si="254"/>
        <v>0</v>
      </c>
      <c r="R634" s="89">
        <f t="shared" si="254"/>
        <v>0</v>
      </c>
      <c r="S634" s="89">
        <f t="shared" si="254"/>
        <v>0</v>
      </c>
      <c r="T634" s="89">
        <f t="shared" si="254"/>
        <v>0</v>
      </c>
      <c r="U634" s="89">
        <f t="shared" si="254"/>
        <v>0</v>
      </c>
      <c r="V634" s="89">
        <f t="shared" si="254"/>
        <v>0</v>
      </c>
      <c r="W634" s="91">
        <f>SUM(G634:V634)</f>
        <v>0</v>
      </c>
      <c r="X634" s="87" t="str">
        <f>IF(ABS(F634-W634)&lt;0.01,"ok","err")</f>
        <v>ok</v>
      </c>
      <c r="Y634" s="203" t="str">
        <f>IF(X634="err",W634-F634,"")</f>
        <v/>
      </c>
    </row>
    <row r="635" spans="1:25" ht="12" customHeight="1" x14ac:dyDescent="0.25">
      <c r="F635" s="90"/>
    </row>
    <row r="636" spans="1:25" ht="12" customHeight="1" x14ac:dyDescent="0.25">
      <c r="A636" s="86" t="s">
        <v>62</v>
      </c>
      <c r="D636" s="86" t="s">
        <v>1164</v>
      </c>
      <c r="F636" s="89">
        <f>F591+F597+F600+F603+F611+F616+F619+F622+F625+F628+F631+F634</f>
        <v>109640428.99999999</v>
      </c>
      <c r="G636" s="89">
        <f t="shared" ref="G636:T636" si="255">G591+G597+G600+G603+G611+G616+G619+G622+G625+G628+G631+G634</f>
        <v>51506086.48387567</v>
      </c>
      <c r="H636" s="89">
        <f t="shared" si="255"/>
        <v>12824221.6399325</v>
      </c>
      <c r="I636" s="89">
        <f>I591+I597+I600+I603+I611+I616+I619+I622+I625+I628+I631+I634</f>
        <v>808535.96295202058</v>
      </c>
      <c r="J636" s="89">
        <f>J591+J597+J600+J603+J611+J616+J619+J622+J625+J628+J631+J634</f>
        <v>9811897.8114772867</v>
      </c>
      <c r="K636" s="89">
        <f>K591+K597+K600+K603+K611+K616+K619+K622+K625+K628+K631+K634</f>
        <v>423715.50933984795</v>
      </c>
      <c r="L636" s="89">
        <f t="shared" si="255"/>
        <v>9087019.8741917349</v>
      </c>
      <c r="M636" s="89">
        <f t="shared" si="255"/>
        <v>15858864.221028218</v>
      </c>
      <c r="N636" s="89">
        <f t="shared" si="255"/>
        <v>4839027.5429492528</v>
      </c>
      <c r="O636" s="89">
        <f>O591+O597+O600+O603+O611+O616+O619+O622+O625+O628+O631+O634</f>
        <v>2202117.6766835209</v>
      </c>
      <c r="P636" s="89">
        <f>P591+P597+P600+P603+P611+P616+P619+P622+P625+P628+P631+P634</f>
        <v>2255198.4882841939</v>
      </c>
      <c r="Q636" s="89">
        <f t="shared" si="255"/>
        <v>7268.6535465845691</v>
      </c>
      <c r="R636" s="89">
        <f t="shared" si="255"/>
        <v>12750.842353101945</v>
      </c>
      <c r="S636" s="89">
        <f t="shared" si="255"/>
        <v>3454.8850702944537</v>
      </c>
      <c r="T636" s="89">
        <f t="shared" si="255"/>
        <v>269.40831576726106</v>
      </c>
      <c r="U636" s="89">
        <f>U591+U597+U600+U603+U611+U616+U619+U622+U625+U628+U631+U634</f>
        <v>0</v>
      </c>
      <c r="V636" s="89">
        <f>V591+V597+V600+V603+V611+V616+V619+V622+V625+V628+V631+V634</f>
        <v>0</v>
      </c>
      <c r="W636" s="91">
        <f>SUM(G636:V636)</f>
        <v>109640429</v>
      </c>
      <c r="X636" s="87" t="str">
        <f>IF(ABS(F636-W636)&lt;0.01,"ok","err")</f>
        <v>ok</v>
      </c>
      <c r="Y636" s="203" t="str">
        <f>IF(X636="err",W636-F636,"")</f>
        <v/>
      </c>
    </row>
    <row r="637" spans="1:25" ht="12" customHeight="1" x14ac:dyDescent="0.25">
      <c r="F637" s="89"/>
      <c r="G637" s="89"/>
      <c r="H637" s="89"/>
      <c r="I637" s="89"/>
      <c r="J637" s="89"/>
      <c r="K637" s="89"/>
      <c r="L637" s="89"/>
      <c r="M637" s="89"/>
      <c r="N637" s="89"/>
      <c r="O637" s="89"/>
      <c r="P637" s="89"/>
      <c r="Q637" s="89"/>
      <c r="R637" s="89"/>
      <c r="S637" s="89"/>
      <c r="T637" s="89"/>
      <c r="U637" s="89"/>
      <c r="V637" s="89"/>
      <c r="W637" s="91"/>
      <c r="X637" s="87"/>
    </row>
    <row r="638" spans="1:25" ht="12" customHeight="1" x14ac:dyDescent="0.25">
      <c r="F638" s="89"/>
      <c r="G638" s="89"/>
      <c r="H638" s="89"/>
      <c r="I638" s="89"/>
      <c r="J638" s="89"/>
      <c r="K638" s="89"/>
      <c r="L638" s="89"/>
      <c r="M638" s="89"/>
      <c r="N638" s="89"/>
      <c r="O638" s="89"/>
      <c r="P638" s="89"/>
      <c r="Q638" s="89"/>
      <c r="R638" s="89"/>
      <c r="S638" s="89"/>
      <c r="T638" s="89"/>
      <c r="U638" s="89"/>
      <c r="V638" s="89"/>
      <c r="W638" s="91"/>
      <c r="X638" s="87"/>
    </row>
    <row r="639" spans="1:25" ht="12" customHeight="1" x14ac:dyDescent="0.25">
      <c r="F639" s="89"/>
      <c r="G639" s="89"/>
      <c r="H639" s="89"/>
      <c r="I639" s="89"/>
      <c r="J639" s="89"/>
      <c r="K639" s="89"/>
      <c r="L639" s="89"/>
      <c r="M639" s="89"/>
      <c r="N639" s="89"/>
      <c r="O639" s="89"/>
      <c r="P639" s="89"/>
      <c r="Q639" s="89"/>
      <c r="R639" s="89"/>
      <c r="S639" s="89"/>
      <c r="T639" s="89"/>
      <c r="U639" s="89"/>
      <c r="V639" s="89"/>
      <c r="W639" s="91"/>
      <c r="X639" s="87"/>
    </row>
    <row r="640" spans="1:25" ht="12" customHeight="1" x14ac:dyDescent="0.25">
      <c r="F640" s="89"/>
      <c r="G640" s="89"/>
      <c r="H640" s="89"/>
      <c r="I640" s="89"/>
      <c r="J640" s="89"/>
      <c r="K640" s="89"/>
      <c r="L640" s="89"/>
      <c r="M640" s="89"/>
      <c r="N640" s="89"/>
      <c r="O640" s="89"/>
      <c r="P640" s="89"/>
      <c r="Q640" s="89"/>
      <c r="R640" s="89"/>
      <c r="S640" s="89"/>
      <c r="T640" s="89"/>
      <c r="U640" s="89"/>
      <c r="V640" s="89"/>
      <c r="W640" s="91"/>
      <c r="X640" s="87"/>
    </row>
    <row r="641" spans="1:25" ht="12" customHeight="1" x14ac:dyDescent="0.25">
      <c r="F641" s="89"/>
      <c r="G641" s="89"/>
      <c r="H641" s="89"/>
      <c r="I641" s="89"/>
      <c r="J641" s="89"/>
      <c r="K641" s="89"/>
      <c r="L641" s="89"/>
      <c r="M641" s="89"/>
      <c r="N641" s="89"/>
      <c r="O641" s="89"/>
      <c r="P641" s="89"/>
      <c r="Q641" s="89"/>
      <c r="R641" s="89"/>
      <c r="S641" s="89"/>
      <c r="T641" s="89"/>
      <c r="U641" s="89"/>
      <c r="V641" s="89"/>
      <c r="W641" s="91"/>
      <c r="X641" s="87"/>
    </row>
    <row r="642" spans="1:25" ht="12" customHeight="1" x14ac:dyDescent="0.25">
      <c r="F642" s="89"/>
      <c r="G642" s="89"/>
      <c r="H642" s="89"/>
      <c r="I642" s="89"/>
      <c r="J642" s="89"/>
      <c r="K642" s="89"/>
      <c r="L642" s="89"/>
      <c r="M642" s="89"/>
      <c r="N642" s="89"/>
      <c r="O642" s="89"/>
      <c r="P642" s="89"/>
      <c r="Q642" s="89"/>
      <c r="R642" s="89"/>
      <c r="S642" s="89"/>
      <c r="T642" s="89"/>
      <c r="U642" s="89"/>
      <c r="V642" s="89"/>
      <c r="W642" s="91"/>
      <c r="X642" s="87"/>
    </row>
    <row r="643" spans="1:25" ht="12" customHeight="1" x14ac:dyDescent="0.25">
      <c r="F643" s="89"/>
      <c r="G643" s="89"/>
      <c r="H643" s="89"/>
      <c r="I643" s="89"/>
      <c r="J643" s="89"/>
      <c r="K643" s="89"/>
      <c r="L643" s="89"/>
      <c r="M643" s="89"/>
      <c r="N643" s="89"/>
      <c r="O643" s="89"/>
      <c r="P643" s="89"/>
      <c r="Q643" s="89"/>
      <c r="R643" s="89"/>
      <c r="S643" s="89"/>
      <c r="T643" s="89"/>
      <c r="U643" s="89"/>
      <c r="V643" s="89"/>
      <c r="W643" s="91"/>
      <c r="X643" s="87"/>
    </row>
    <row r="644" spans="1:25" ht="12" customHeight="1" x14ac:dyDescent="0.25">
      <c r="F644" s="89"/>
      <c r="G644" s="89"/>
      <c r="H644" s="89"/>
      <c r="I644" s="89"/>
      <c r="J644" s="89"/>
      <c r="K644" s="89"/>
      <c r="L644" s="89"/>
      <c r="M644" s="89"/>
      <c r="N644" s="89"/>
      <c r="O644" s="89"/>
      <c r="P644" s="89"/>
      <c r="Q644" s="89"/>
      <c r="R644" s="89"/>
      <c r="S644" s="89"/>
      <c r="T644" s="89"/>
      <c r="U644" s="89"/>
      <c r="V644" s="89"/>
      <c r="W644" s="91"/>
      <c r="X644" s="87"/>
    </row>
    <row r="645" spans="1:25" ht="12" customHeight="1" x14ac:dyDescent="0.25">
      <c r="F645" s="89"/>
      <c r="G645" s="89"/>
      <c r="H645" s="89"/>
      <c r="I645" s="89"/>
      <c r="J645" s="89"/>
      <c r="K645" s="89"/>
      <c r="L645" s="89"/>
      <c r="M645" s="89"/>
      <c r="N645" s="89"/>
      <c r="O645" s="89"/>
      <c r="P645" s="89"/>
      <c r="Q645" s="89"/>
      <c r="R645" s="89"/>
      <c r="S645" s="89"/>
      <c r="T645" s="89"/>
      <c r="U645" s="89"/>
      <c r="V645" s="89"/>
      <c r="W645" s="91"/>
      <c r="X645" s="87"/>
    </row>
    <row r="646" spans="1:25" ht="12" customHeight="1" x14ac:dyDescent="0.25">
      <c r="F646" s="89"/>
      <c r="G646" s="89"/>
      <c r="H646" s="89"/>
      <c r="I646" s="89"/>
      <c r="J646" s="89"/>
      <c r="K646" s="89"/>
      <c r="L646" s="89"/>
      <c r="M646" s="89"/>
      <c r="N646" s="89"/>
      <c r="O646" s="89"/>
      <c r="P646" s="89"/>
      <c r="Q646" s="89"/>
      <c r="R646" s="89"/>
      <c r="S646" s="89"/>
      <c r="T646" s="89"/>
      <c r="U646" s="89"/>
      <c r="V646" s="89"/>
      <c r="W646" s="91"/>
      <c r="X646" s="87"/>
    </row>
    <row r="647" spans="1:25" ht="12" customHeight="1" x14ac:dyDescent="0.25">
      <c r="F647" s="89"/>
      <c r="G647" s="89"/>
      <c r="H647" s="89"/>
      <c r="I647" s="89"/>
      <c r="J647" s="89"/>
      <c r="K647" s="89"/>
      <c r="L647" s="89"/>
      <c r="M647" s="89"/>
      <c r="N647" s="89"/>
      <c r="O647" s="89"/>
      <c r="P647" s="89"/>
      <c r="Q647" s="89"/>
      <c r="R647" s="89"/>
      <c r="S647" s="89"/>
      <c r="T647" s="89"/>
      <c r="U647" s="89"/>
      <c r="V647" s="89"/>
      <c r="W647" s="91"/>
      <c r="X647" s="87"/>
    </row>
    <row r="648" spans="1:25" ht="12" customHeight="1" x14ac:dyDescent="0.25">
      <c r="A648" s="22" t="s">
        <v>553</v>
      </c>
      <c r="F648" s="91"/>
    </row>
    <row r="649" spans="1:25" ht="12" customHeight="1" x14ac:dyDescent="0.25">
      <c r="F649" s="91"/>
      <c r="G649" s="91"/>
    </row>
    <row r="650" spans="1:25" ht="12" customHeight="1" x14ac:dyDescent="0.25">
      <c r="A650" s="288" t="s">
        <v>411</v>
      </c>
    </row>
    <row r="651" spans="1:25" ht="12" customHeight="1" x14ac:dyDescent="0.25">
      <c r="A651" s="96" t="s">
        <v>897</v>
      </c>
      <c r="D651" s="86" t="s">
        <v>412</v>
      </c>
      <c r="E651" s="86" t="s">
        <v>494</v>
      </c>
      <c r="F651" s="89">
        <f>F825</f>
        <v>1558608458.4696758</v>
      </c>
      <c r="G651" s="89">
        <f t="shared" ref="G651:V652" si="256">IF(VLOOKUP($E651,$D$5:$AJ$1059,3,)=0,0,(VLOOKUP($E651,$D$5:$AJ$1059,G$1,)/VLOOKUP($E651,$D$5:$AJ$1059,3,))*$F651)</f>
        <v>611492797.00999999</v>
      </c>
      <c r="H651" s="89">
        <f t="shared" si="256"/>
        <v>224799513.08000001</v>
      </c>
      <c r="I651" s="89">
        <f t="shared" si="256"/>
        <v>11901436</v>
      </c>
      <c r="J651" s="89">
        <f t="shared" si="256"/>
        <v>169760856.79999998</v>
      </c>
      <c r="K651" s="89">
        <f t="shared" si="256"/>
        <v>9429914.5700000003</v>
      </c>
      <c r="L651" s="89">
        <f t="shared" si="256"/>
        <v>134172118.09000002</v>
      </c>
      <c r="M651" s="89">
        <f t="shared" si="256"/>
        <v>250417885.84999999</v>
      </c>
      <c r="N651" s="89">
        <f t="shared" si="256"/>
        <v>82247980.760000005</v>
      </c>
      <c r="O651" s="89">
        <f t="shared" si="256"/>
        <v>32956814.48</v>
      </c>
      <c r="P651" s="89">
        <f t="shared" si="256"/>
        <v>30555893.249675885</v>
      </c>
      <c r="Q651" s="89">
        <f t="shared" si="256"/>
        <v>307245.55999999994</v>
      </c>
      <c r="R651" s="89">
        <f t="shared" si="256"/>
        <v>271290.95</v>
      </c>
      <c r="S651" s="89">
        <f t="shared" si="256"/>
        <v>92319.950000000012</v>
      </c>
      <c r="T651" s="89">
        <f t="shared" si="256"/>
        <v>1533.0000000000002</v>
      </c>
      <c r="U651" s="89">
        <f t="shared" si="256"/>
        <v>162504.0000000002</v>
      </c>
      <c r="V651" s="89">
        <f t="shared" si="256"/>
        <v>38355.120000000003</v>
      </c>
      <c r="W651" s="91">
        <f>SUM(G651:V651)</f>
        <v>1558608458.4696758</v>
      </c>
      <c r="X651" s="87" t="str">
        <f>IF(ABS(F651-W651)&lt;0.01,"ok","err")</f>
        <v>ok</v>
      </c>
      <c r="Y651" s="91" t="str">
        <f>IF(X651="err",W651-F651,"")</f>
        <v/>
      </c>
    </row>
    <row r="652" spans="1:25" ht="12" customHeight="1" x14ac:dyDescent="0.25">
      <c r="A652" s="86" t="s">
        <v>2349</v>
      </c>
      <c r="E652" s="86" t="s">
        <v>104</v>
      </c>
      <c r="F652" s="90">
        <f>9557872.60243877-694271.5</f>
        <v>8863601.1024387702</v>
      </c>
      <c r="G652" s="90">
        <f t="shared" si="256"/>
        <v>3060543.8926304728</v>
      </c>
      <c r="H652" s="90">
        <f t="shared" si="256"/>
        <v>864128.52119734825</v>
      </c>
      <c r="I652" s="90">
        <f t="shared" si="256"/>
        <v>66193.643769274699</v>
      </c>
      <c r="J652" s="90">
        <f t="shared" si="256"/>
        <v>874964.38868657814</v>
      </c>
      <c r="K652" s="90">
        <f t="shared" si="256"/>
        <v>39542.324591824668</v>
      </c>
      <c r="L652" s="90">
        <f t="shared" si="256"/>
        <v>918738.07330489147</v>
      </c>
      <c r="M652" s="90">
        <f t="shared" si="256"/>
        <v>1985075.4923949896</v>
      </c>
      <c r="N652" s="90">
        <f t="shared" si="256"/>
        <v>690878.16450370161</v>
      </c>
      <c r="O652" s="90">
        <f t="shared" si="256"/>
        <v>298011.92947084259</v>
      </c>
      <c r="P652" s="90">
        <f t="shared" si="256"/>
        <v>61867.963383552473</v>
      </c>
      <c r="Q652" s="90">
        <f t="shared" si="256"/>
        <v>2250.9469308068133</v>
      </c>
      <c r="R652" s="90">
        <f t="shared" si="256"/>
        <v>1232.0476065249654</v>
      </c>
      <c r="S652" s="90">
        <f t="shared" si="256"/>
        <v>168.07549232265984</v>
      </c>
      <c r="T652" s="90">
        <f t="shared" si="256"/>
        <v>5.6384756389550574</v>
      </c>
      <c r="U652" s="90">
        <f t="shared" si="256"/>
        <v>0</v>
      </c>
      <c r="V652" s="90">
        <f t="shared" si="256"/>
        <v>0</v>
      </c>
      <c r="W652" s="90">
        <f t="shared" ref="W652:W667" si="257">SUM(G652:V652)</f>
        <v>8863601.1024387684</v>
      </c>
      <c r="X652" s="87" t="str">
        <f t="shared" ref="X652:X667" si="258">IF(ABS(F652-W652)&lt;0.01,"ok","err")</f>
        <v>ok</v>
      </c>
      <c r="Y652" s="91" t="str">
        <f t="shared" ref="Y652:Y667" si="259">IF(X652="err",W652-F652,"")</f>
        <v/>
      </c>
    </row>
    <row r="653" spans="1:25" ht="12" customHeight="1" x14ac:dyDescent="0.25">
      <c r="A653" s="86" t="s">
        <v>2255</v>
      </c>
      <c r="F653" s="90">
        <v>-18634070.13000004</v>
      </c>
      <c r="G653" s="90"/>
      <c r="H653" s="90"/>
      <c r="I653" s="90"/>
      <c r="J653" s="90"/>
      <c r="K653" s="90"/>
      <c r="L653" s="90"/>
      <c r="M653" s="90">
        <f>-(18120.7358333333+67917.27)*12</f>
        <v>-1032456.0699999996</v>
      </c>
      <c r="N653" s="90">
        <f>(-282176.6825)*12</f>
        <v>-3386120.19</v>
      </c>
      <c r="O653" s="90">
        <f>-1184624.48916667*12</f>
        <v>-14215493.87000004</v>
      </c>
      <c r="P653" s="90"/>
      <c r="Q653" s="90"/>
      <c r="R653" s="90"/>
      <c r="S653" s="90"/>
      <c r="T653" s="90"/>
      <c r="U653" s="90"/>
      <c r="V653" s="90"/>
      <c r="W653" s="90">
        <f t="shared" si="257"/>
        <v>-18634070.13000004</v>
      </c>
      <c r="X653" s="87" t="str">
        <f t="shared" si="258"/>
        <v>ok</v>
      </c>
      <c r="Y653" s="91" t="str">
        <f t="shared" si="259"/>
        <v/>
      </c>
    </row>
    <row r="654" spans="1:25" ht="12" customHeight="1" x14ac:dyDescent="0.25">
      <c r="A654" s="86" t="s">
        <v>2078</v>
      </c>
      <c r="E654" s="86" t="s">
        <v>1839</v>
      </c>
      <c r="F654" s="90">
        <f>'Jurisdictional Study'!F952</f>
        <v>3870654</v>
      </c>
      <c r="G654" s="90">
        <f t="shared" ref="G654:V665" si="260">IF(VLOOKUP($E654,$D$5:$AJ$1059,3,)=0,0,(VLOOKUP($E654,$D$5:$AJ$1059,G$1,)/VLOOKUP($E654,$D$5:$AJ$1059,3,))*$F654)</f>
        <v>3005113.0175625384</v>
      </c>
      <c r="H654" s="90">
        <f t="shared" si="260"/>
        <v>603038.21722056426</v>
      </c>
      <c r="I654" s="90">
        <f t="shared" si="260"/>
        <v>17978.568167879603</v>
      </c>
      <c r="J654" s="90">
        <f t="shared" si="260"/>
        <v>188379.86751858002</v>
      </c>
      <c r="K654" s="90">
        <f t="shared" si="260"/>
        <v>8644.3939414093202</v>
      </c>
      <c r="L654" s="90">
        <f t="shared" si="260"/>
        <v>32506.724018507335</v>
      </c>
      <c r="M654" s="90">
        <f t="shared" si="260"/>
        <v>10840.184830315266</v>
      </c>
      <c r="N654" s="90">
        <f t="shared" si="260"/>
        <v>848.42393950211147</v>
      </c>
      <c r="O654" s="90">
        <f t="shared" si="260"/>
        <v>42.421196975105573</v>
      </c>
      <c r="P654" s="90">
        <f t="shared" si="260"/>
        <v>3262.1816037291887</v>
      </c>
      <c r="Q654" s="90">
        <f t="shared" si="260"/>
        <v>0</v>
      </c>
      <c r="R654" s="90">
        <f t="shared" si="260"/>
        <v>0</v>
      </c>
      <c r="S654" s="90">
        <f t="shared" si="260"/>
        <v>0</v>
      </c>
      <c r="T654" s="90">
        <f t="shared" si="260"/>
        <v>0</v>
      </c>
      <c r="U654" s="90">
        <f t="shared" si="260"/>
        <v>0</v>
      </c>
      <c r="V654" s="90">
        <f t="shared" si="260"/>
        <v>0</v>
      </c>
      <c r="W654" s="90">
        <f t="shared" si="257"/>
        <v>3870654.0000000014</v>
      </c>
      <c r="X654" s="87" t="str">
        <f t="shared" si="258"/>
        <v>ok</v>
      </c>
      <c r="Y654" s="91" t="str">
        <f t="shared" si="259"/>
        <v/>
      </c>
    </row>
    <row r="655" spans="1:25" ht="12" customHeight="1" x14ac:dyDescent="0.25">
      <c r="A655" s="86" t="s">
        <v>2079</v>
      </c>
      <c r="E655" s="86" t="s">
        <v>2351</v>
      </c>
      <c r="F655" s="90">
        <f>'Jurisdictional Study'!F953</f>
        <v>2104204</v>
      </c>
      <c r="G655" s="90">
        <f t="shared" si="260"/>
        <v>2004118.9292279412</v>
      </c>
      <c r="H655" s="90">
        <f t="shared" si="260"/>
        <v>96023.647610294109</v>
      </c>
      <c r="I655" s="90">
        <f t="shared" si="260"/>
        <v>268.25081663598098</v>
      </c>
      <c r="J655" s="90">
        <f t="shared" si="260"/>
        <v>2810.7384763776145</v>
      </c>
      <c r="K655" s="90">
        <f t="shared" si="260"/>
        <v>128.97944443924334</v>
      </c>
      <c r="L655" s="90">
        <f t="shared" si="260"/>
        <v>485.01945108754921</v>
      </c>
      <c r="M655" s="90">
        <f t="shared" si="260"/>
        <v>161.74193662497876</v>
      </c>
      <c r="N655" s="90">
        <f t="shared" si="260"/>
        <v>12.658984436345108</v>
      </c>
      <c r="O655" s="90">
        <f t="shared" si="260"/>
        <v>0.63294922181725555</v>
      </c>
      <c r="P655" s="90">
        <f t="shared" si="260"/>
        <v>193.40110294117648</v>
      </c>
      <c r="Q655" s="90">
        <f t="shared" si="260"/>
        <v>0</v>
      </c>
      <c r="R655" s="90">
        <f t="shared" si="260"/>
        <v>0</v>
      </c>
      <c r="S655" s="90">
        <f t="shared" si="260"/>
        <v>0</v>
      </c>
      <c r="T655" s="90">
        <f t="shared" si="260"/>
        <v>0</v>
      </c>
      <c r="U655" s="90">
        <f t="shared" si="260"/>
        <v>0</v>
      </c>
      <c r="V655" s="90">
        <f t="shared" si="260"/>
        <v>0</v>
      </c>
      <c r="W655" s="90">
        <f t="shared" si="257"/>
        <v>2104203.9999999991</v>
      </c>
      <c r="X655" s="87" t="str">
        <f t="shared" si="258"/>
        <v>ok</v>
      </c>
      <c r="Y655" s="91" t="str">
        <f t="shared" si="259"/>
        <v/>
      </c>
    </row>
    <row r="656" spans="1:25" ht="12" customHeight="1" x14ac:dyDescent="0.25">
      <c r="A656" s="86" t="s">
        <v>2080</v>
      </c>
      <c r="E656" s="86" t="s">
        <v>2108</v>
      </c>
      <c r="F656" s="90">
        <f>'Jurisdictional Study'!F954</f>
        <v>93979</v>
      </c>
      <c r="G656" s="90">
        <f t="shared" si="260"/>
        <v>9791.5193190229584</v>
      </c>
      <c r="H656" s="90">
        <f t="shared" si="260"/>
        <v>18330.567180402548</v>
      </c>
      <c r="I656" s="90">
        <f t="shared" si="260"/>
        <v>4534.3369452632514</v>
      </c>
      <c r="J656" s="90">
        <f t="shared" si="260"/>
        <v>47510.891026314479</v>
      </c>
      <c r="K656" s="90">
        <f t="shared" si="260"/>
        <v>2180.1844536190865</v>
      </c>
      <c r="L656" s="90">
        <f t="shared" si="260"/>
        <v>8198.4526415141154</v>
      </c>
      <c r="M656" s="90">
        <f t="shared" si="260"/>
        <v>2733.9802653137463</v>
      </c>
      <c r="N656" s="90">
        <f t="shared" si="260"/>
        <v>213.97922115974256</v>
      </c>
      <c r="O656" s="90">
        <f t="shared" si="260"/>
        <v>10.698961057987129</v>
      </c>
      <c r="P656" s="90">
        <f t="shared" si="260"/>
        <v>474.38998633208439</v>
      </c>
      <c r="Q656" s="90">
        <f t="shared" si="260"/>
        <v>0</v>
      </c>
      <c r="R656" s="90">
        <f t="shared" si="260"/>
        <v>0</v>
      </c>
      <c r="S656" s="90">
        <f t="shared" si="260"/>
        <v>0</v>
      </c>
      <c r="T656" s="90">
        <f t="shared" si="260"/>
        <v>0</v>
      </c>
      <c r="U656" s="90">
        <f t="shared" si="260"/>
        <v>0</v>
      </c>
      <c r="V656" s="90">
        <f t="shared" si="260"/>
        <v>0</v>
      </c>
      <c r="W656" s="90">
        <f t="shared" si="257"/>
        <v>93979</v>
      </c>
      <c r="X656" s="87" t="str">
        <f t="shared" si="258"/>
        <v>ok</v>
      </c>
      <c r="Y656" s="91" t="str">
        <f t="shared" si="259"/>
        <v/>
      </c>
    </row>
    <row r="657" spans="1:25" ht="12" customHeight="1" x14ac:dyDescent="0.25">
      <c r="A657" s="86" t="s">
        <v>2081</v>
      </c>
      <c r="E657" s="86" t="s">
        <v>2354</v>
      </c>
      <c r="F657" s="90">
        <f>'Jurisdictional Study'!F955</f>
        <v>2942175</v>
      </c>
      <c r="G657" s="90">
        <f t="shared" si="260"/>
        <v>1391702.4592617545</v>
      </c>
      <c r="H657" s="90">
        <f t="shared" si="260"/>
        <v>345603.1590380405</v>
      </c>
      <c r="I657" s="90">
        <f t="shared" si="260"/>
        <v>21943.773108996455</v>
      </c>
      <c r="J657" s="90">
        <f t="shared" si="260"/>
        <v>259913.92979970752</v>
      </c>
      <c r="K657" s="90">
        <f t="shared" si="260"/>
        <v>11264.660796647153</v>
      </c>
      <c r="L657" s="90">
        <f t="shared" si="260"/>
        <v>240634.36914482719</v>
      </c>
      <c r="M657" s="90">
        <f t="shared" si="260"/>
        <v>419404.68542284955</v>
      </c>
      <c r="N657" s="90">
        <f t="shared" si="260"/>
        <v>127744.4749563786</v>
      </c>
      <c r="O657" s="90">
        <f t="shared" si="260"/>
        <v>59096.52916470627</v>
      </c>
      <c r="P657" s="90">
        <f t="shared" si="260"/>
        <v>64193.670379705829</v>
      </c>
      <c r="Q657" s="90">
        <f t="shared" si="260"/>
        <v>225.85262164595198</v>
      </c>
      <c r="R657" s="90">
        <f t="shared" si="260"/>
        <v>348.50449769872461</v>
      </c>
      <c r="S657" s="90">
        <f t="shared" si="260"/>
        <v>98.931807042143731</v>
      </c>
      <c r="T657" s="90">
        <f t="shared" si="260"/>
        <v>0</v>
      </c>
      <c r="U657" s="90">
        <f t="shared" si="260"/>
        <v>0</v>
      </c>
      <c r="V657" s="90">
        <f t="shared" si="260"/>
        <v>0</v>
      </c>
      <c r="W657" s="90">
        <f t="shared" si="257"/>
        <v>2942175.0000000005</v>
      </c>
      <c r="X657" s="87" t="str">
        <f t="shared" si="258"/>
        <v>ok</v>
      </c>
      <c r="Y657" s="91" t="str">
        <f t="shared" si="259"/>
        <v/>
      </c>
    </row>
    <row r="658" spans="1:25" ht="12" customHeight="1" x14ac:dyDescent="0.25">
      <c r="A658" s="86" t="s">
        <v>2082</v>
      </c>
      <c r="E658" s="86" t="s">
        <v>136</v>
      </c>
      <c r="F658" s="90">
        <f>'Jurisdictional Study'!F958</f>
        <v>26560959</v>
      </c>
      <c r="G658" s="90">
        <f t="shared" si="260"/>
        <v>11743850.759971818</v>
      </c>
      <c r="H658" s="90">
        <f t="shared" si="260"/>
        <v>3014404.6473977012</v>
      </c>
      <c r="I658" s="90">
        <f t="shared" si="260"/>
        <v>308507.108557745</v>
      </c>
      <c r="J658" s="90">
        <f t="shared" si="260"/>
        <v>2689112.2941903835</v>
      </c>
      <c r="K658" s="90">
        <f t="shared" si="260"/>
        <v>115553.35017985525</v>
      </c>
      <c r="L658" s="90">
        <f t="shared" si="260"/>
        <v>2378963.1518565952</v>
      </c>
      <c r="M658" s="90">
        <f t="shared" si="260"/>
        <v>3874462.3106019977</v>
      </c>
      <c r="N658" s="90">
        <f t="shared" si="260"/>
        <v>1343579.7704234056</v>
      </c>
      <c r="O658" s="90">
        <f t="shared" si="260"/>
        <v>900301.50326903234</v>
      </c>
      <c r="P658" s="90">
        <f t="shared" si="260"/>
        <v>181330.62883546535</v>
      </c>
      <c r="Q658" s="90">
        <f t="shared" si="260"/>
        <v>6597.3664356145409</v>
      </c>
      <c r="R658" s="90">
        <f t="shared" si="260"/>
        <v>1777.4916574040117</v>
      </c>
      <c r="S658" s="90">
        <f t="shared" si="260"/>
        <v>2502.9979931887246</v>
      </c>
      <c r="T658" s="90">
        <f t="shared" si="260"/>
        <v>15.618629791789836</v>
      </c>
      <c r="U658" s="90">
        <f t="shared" si="260"/>
        <v>0</v>
      </c>
      <c r="V658" s="90">
        <f t="shared" si="260"/>
        <v>0</v>
      </c>
      <c r="W658" s="90">
        <f t="shared" si="257"/>
        <v>26560958.999999993</v>
      </c>
      <c r="X658" s="87" t="str">
        <f t="shared" si="258"/>
        <v>ok</v>
      </c>
      <c r="Y658" s="91" t="str">
        <f t="shared" si="259"/>
        <v/>
      </c>
    </row>
    <row r="659" spans="1:25" ht="12" customHeight="1" x14ac:dyDescent="0.25">
      <c r="A659" s="86" t="s">
        <v>2172</v>
      </c>
      <c r="E659" s="86" t="s">
        <v>2269</v>
      </c>
      <c r="F659" s="90">
        <f>'Jurisdictional Study'!F959</f>
        <v>1421404</v>
      </c>
      <c r="G659" s="90">
        <f t="shared" si="260"/>
        <v>583332.39956764632</v>
      </c>
      <c r="H659" s="90">
        <f t="shared" si="260"/>
        <v>157117.30970285178</v>
      </c>
      <c r="I659" s="90">
        <f t="shared" si="260"/>
        <v>10081.788578991023</v>
      </c>
      <c r="J659" s="90">
        <f t="shared" si="260"/>
        <v>146518.18044319775</v>
      </c>
      <c r="K659" s="90">
        <f t="shared" si="260"/>
        <v>6365.5089609577772</v>
      </c>
      <c r="L659" s="90">
        <f t="shared" si="260"/>
        <v>140910.41543755695</v>
      </c>
      <c r="M659" s="90">
        <f t="shared" si="260"/>
        <v>257952.11049729228</v>
      </c>
      <c r="N659" s="90">
        <f t="shared" si="260"/>
        <v>83967.295172399274</v>
      </c>
      <c r="O659" s="90">
        <f t="shared" si="260"/>
        <v>34770.741400915635</v>
      </c>
      <c r="P659" s="90">
        <f t="shared" si="260"/>
        <v>226.63770387277373</v>
      </c>
      <c r="Q659" s="90">
        <f t="shared" si="260"/>
        <v>8.2457772863717089</v>
      </c>
      <c r="R659" s="90">
        <f t="shared" si="260"/>
        <v>134.83726394779615</v>
      </c>
      <c r="S659" s="90">
        <f t="shared" si="260"/>
        <v>17.355864035349892</v>
      </c>
      <c r="T659" s="90">
        <f t="shared" si="260"/>
        <v>1.1736290488299814</v>
      </c>
      <c r="U659" s="90">
        <f t="shared" si="260"/>
        <v>0</v>
      </c>
      <c r="V659" s="90">
        <f t="shared" si="260"/>
        <v>0</v>
      </c>
      <c r="W659" s="90">
        <f t="shared" si="257"/>
        <v>1421404</v>
      </c>
      <c r="X659" s="87" t="str">
        <f t="shared" si="258"/>
        <v>ok</v>
      </c>
      <c r="Y659" s="91" t="str">
        <f t="shared" si="259"/>
        <v/>
      </c>
    </row>
    <row r="660" spans="1:25" ht="12" customHeight="1" x14ac:dyDescent="0.25">
      <c r="A660" s="86" t="s">
        <v>2083</v>
      </c>
      <c r="E660" s="86" t="s">
        <v>2108</v>
      </c>
      <c r="F660" s="90">
        <f>'Jurisdictional Study'!F960</f>
        <v>600</v>
      </c>
      <c r="G660" s="90">
        <f t="shared" si="260"/>
        <v>62.513025158958648</v>
      </c>
      <c r="H660" s="90">
        <f t="shared" si="260"/>
        <v>117.0297652479972</v>
      </c>
      <c r="I660" s="90">
        <f t="shared" si="260"/>
        <v>28.949043585885686</v>
      </c>
      <c r="J660" s="90">
        <f t="shared" si="260"/>
        <v>303.3287714892549</v>
      </c>
      <c r="K660" s="90">
        <f t="shared" si="260"/>
        <v>13.919180584720543</v>
      </c>
      <c r="L660" s="90">
        <f t="shared" si="260"/>
        <v>52.342242255274783</v>
      </c>
      <c r="M660" s="90">
        <f t="shared" si="260"/>
        <v>17.454837348644354</v>
      </c>
      <c r="N660" s="90">
        <f t="shared" si="260"/>
        <v>1.3661300151719591</v>
      </c>
      <c r="O660" s="90">
        <f t="shared" si="260"/>
        <v>6.8306500758597954E-2</v>
      </c>
      <c r="P660" s="90">
        <f t="shared" si="260"/>
        <v>3.0286978133333049</v>
      </c>
      <c r="Q660" s="90">
        <f t="shared" si="260"/>
        <v>0</v>
      </c>
      <c r="R660" s="90">
        <f t="shared" si="260"/>
        <v>0</v>
      </c>
      <c r="S660" s="90">
        <f t="shared" si="260"/>
        <v>0</v>
      </c>
      <c r="T660" s="90">
        <f t="shared" si="260"/>
        <v>0</v>
      </c>
      <c r="U660" s="90">
        <f t="shared" si="260"/>
        <v>0</v>
      </c>
      <c r="V660" s="90">
        <f t="shared" si="260"/>
        <v>0</v>
      </c>
      <c r="W660" s="90">
        <f t="shared" si="257"/>
        <v>599.99999999999989</v>
      </c>
      <c r="X660" s="87" t="str">
        <f t="shared" si="258"/>
        <v>ok</v>
      </c>
      <c r="Y660" s="91" t="str">
        <f t="shared" si="259"/>
        <v/>
      </c>
    </row>
    <row r="661" spans="1:25" ht="12" customHeight="1" x14ac:dyDescent="0.25">
      <c r="A661" s="86" t="s">
        <v>2519</v>
      </c>
      <c r="E661" s="86" t="s">
        <v>1378</v>
      </c>
      <c r="F661" s="90">
        <f>'Jurisdictional Study'!F961</f>
        <v>90486</v>
      </c>
      <c r="G661" s="90">
        <f t="shared" si="260"/>
        <v>31244.228104123893</v>
      </c>
      <c r="H661" s="90">
        <f t="shared" si="260"/>
        <v>8821.6439870640479</v>
      </c>
      <c r="I661" s="90">
        <f t="shared" si="260"/>
        <v>675.75221187002501</v>
      </c>
      <c r="J661" s="90">
        <f t="shared" si="260"/>
        <v>8932.264297511083</v>
      </c>
      <c r="K661" s="90">
        <f t="shared" si="260"/>
        <v>403.67642244542941</v>
      </c>
      <c r="L661" s="90">
        <f t="shared" si="260"/>
        <v>9379.1374792569186</v>
      </c>
      <c r="M661" s="90">
        <f t="shared" si="260"/>
        <v>20265.074988023905</v>
      </c>
      <c r="N661" s="90">
        <f t="shared" si="260"/>
        <v>7052.980032695893</v>
      </c>
      <c r="O661" s="90">
        <f t="shared" si="260"/>
        <v>3042.3196101051008</v>
      </c>
      <c r="P661" s="90">
        <f t="shared" si="260"/>
        <v>631.59256266438035</v>
      </c>
      <c r="Q661" s="90">
        <f t="shared" si="260"/>
        <v>22.979281403462991</v>
      </c>
      <c r="R661" s="90">
        <f t="shared" si="260"/>
        <v>12.577626005004229</v>
      </c>
      <c r="S661" s="90">
        <f t="shared" si="260"/>
        <v>1.7158352257214813</v>
      </c>
      <c r="T661" s="90">
        <f t="shared" si="260"/>
        <v>5.7561605127526304E-2</v>
      </c>
      <c r="U661" s="90">
        <f t="shared" si="260"/>
        <v>0</v>
      </c>
      <c r="V661" s="90">
        <f t="shared" si="260"/>
        <v>0</v>
      </c>
      <c r="W661" s="90">
        <f>SUM(G661:V661)</f>
        <v>90485.999999999985</v>
      </c>
      <c r="X661" s="87" t="str">
        <f>IF(ABS(F661-W661)&lt;0.01,"ok","err")</f>
        <v>ok</v>
      </c>
      <c r="Y661" s="91" t="str">
        <f>IF(X661="err",W661-F661,"")</f>
        <v/>
      </c>
    </row>
    <row r="662" spans="1:25" ht="12" customHeight="1" x14ac:dyDescent="0.25">
      <c r="A662" s="86" t="s">
        <v>2084</v>
      </c>
      <c r="E662" s="86" t="s">
        <v>1053</v>
      </c>
      <c r="F662" s="90">
        <f>'Jurisdictional Study'!F962</f>
        <v>61024</v>
      </c>
      <c r="G662" s="90">
        <f t="shared" si="260"/>
        <v>56873.318402354627</v>
      </c>
      <c r="H662" s="90">
        <f t="shared" si="260"/>
        <v>3525.5535882636991</v>
      </c>
      <c r="I662" s="90">
        <f t="shared" si="260"/>
        <v>42.136771476892299</v>
      </c>
      <c r="J662" s="90">
        <f t="shared" si="260"/>
        <v>441.51009993438367</v>
      </c>
      <c r="K662" s="90">
        <f t="shared" si="260"/>
        <v>20.26005901382948</v>
      </c>
      <c r="L662" s="90">
        <f t="shared" si="260"/>
        <v>76.186734596440118</v>
      </c>
      <c r="M662" s="90">
        <f t="shared" si="260"/>
        <v>25.406383127791674</v>
      </c>
      <c r="N662" s="90">
        <f t="shared" si="260"/>
        <v>1.9884701228986421</v>
      </c>
      <c r="O662" s="90">
        <f t="shared" si="260"/>
        <v>9.9423506144932089E-2</v>
      </c>
      <c r="P662" s="90">
        <f t="shared" si="260"/>
        <v>17.540067603301988</v>
      </c>
      <c r="Q662" s="90">
        <f t="shared" si="260"/>
        <v>0</v>
      </c>
      <c r="R662" s="90">
        <f t="shared" si="260"/>
        <v>0</v>
      </c>
      <c r="S662" s="90">
        <f t="shared" si="260"/>
        <v>0</v>
      </c>
      <c r="T662" s="90">
        <f t="shared" si="260"/>
        <v>0</v>
      </c>
      <c r="U662" s="90">
        <f t="shared" si="260"/>
        <v>0</v>
      </c>
      <c r="V662" s="90">
        <f t="shared" si="260"/>
        <v>0</v>
      </c>
      <c r="W662" s="90">
        <f t="shared" si="257"/>
        <v>61024.000000000015</v>
      </c>
      <c r="X662" s="87" t="str">
        <f t="shared" si="258"/>
        <v>ok</v>
      </c>
      <c r="Y662" s="91" t="str">
        <f t="shared" si="259"/>
        <v/>
      </c>
    </row>
    <row r="663" spans="1:25" ht="12" customHeight="1" x14ac:dyDescent="0.25">
      <c r="A663" s="86" t="s">
        <v>2085</v>
      </c>
      <c r="E663" s="86" t="s">
        <v>2108</v>
      </c>
      <c r="F663" s="90">
        <f>'Jurisdictional Study'!F963</f>
        <v>166699</v>
      </c>
      <c r="G663" s="90">
        <f t="shared" si="260"/>
        <v>17368.097968288745</v>
      </c>
      <c r="H663" s="90">
        <f t="shared" si="260"/>
        <v>32514.574728459807</v>
      </c>
      <c r="I663" s="90">
        <f t="shared" si="260"/>
        <v>8042.9610278725968</v>
      </c>
      <c r="J663" s="90">
        <f t="shared" si="260"/>
        <v>84274.338130812175</v>
      </c>
      <c r="K663" s="90">
        <f t="shared" si="260"/>
        <v>3867.1891404872163</v>
      </c>
      <c r="L663" s="90">
        <f t="shared" si="260"/>
        <v>14542.332402853419</v>
      </c>
      <c r="M663" s="90">
        <f t="shared" si="260"/>
        <v>4849.5065519694417</v>
      </c>
      <c r="N663" s="90">
        <f t="shared" si="260"/>
        <v>379.55417899858401</v>
      </c>
      <c r="O663" s="90">
        <f t="shared" si="260"/>
        <v>18.977708949929202</v>
      </c>
      <c r="P663" s="90">
        <f t="shared" si="260"/>
        <v>841.46816130808088</v>
      </c>
      <c r="Q663" s="90">
        <f t="shared" si="260"/>
        <v>0</v>
      </c>
      <c r="R663" s="90">
        <f t="shared" si="260"/>
        <v>0</v>
      </c>
      <c r="S663" s="90">
        <f t="shared" si="260"/>
        <v>0</v>
      </c>
      <c r="T663" s="90">
        <f t="shared" si="260"/>
        <v>0</v>
      </c>
      <c r="U663" s="90">
        <f t="shared" si="260"/>
        <v>0</v>
      </c>
      <c r="V663" s="90">
        <f t="shared" si="260"/>
        <v>0</v>
      </c>
      <c r="W663" s="90">
        <f t="shared" si="257"/>
        <v>166699</v>
      </c>
      <c r="X663" s="87" t="str">
        <f t="shared" si="258"/>
        <v>ok</v>
      </c>
      <c r="Y663" s="91" t="str">
        <f t="shared" si="259"/>
        <v/>
      </c>
    </row>
    <row r="664" spans="1:25" ht="12" customHeight="1" x14ac:dyDescent="0.25">
      <c r="A664" s="86" t="s">
        <v>2086</v>
      </c>
      <c r="E664" s="86" t="s">
        <v>2108</v>
      </c>
      <c r="F664" s="90">
        <f>'Jurisdictional Study'!F964</f>
        <v>30874</v>
      </c>
      <c r="G664" s="90">
        <f t="shared" si="260"/>
        <v>3216.7118979294819</v>
      </c>
      <c r="H664" s="90">
        <f t="shared" si="260"/>
        <v>6021.9616204444428</v>
      </c>
      <c r="I664" s="90">
        <f t="shared" si="260"/>
        <v>1489.6212861177244</v>
      </c>
      <c r="J664" s="90">
        <f t="shared" si="260"/>
        <v>15608.287484932092</v>
      </c>
      <c r="K664" s="90">
        <f t="shared" si="260"/>
        <v>716.23463562110339</v>
      </c>
      <c r="L664" s="90">
        <f t="shared" si="260"/>
        <v>2693.3573123155893</v>
      </c>
      <c r="M664" s="90">
        <f t="shared" si="260"/>
        <v>898.16774717007638</v>
      </c>
      <c r="N664" s="90">
        <f t="shared" si="260"/>
        <v>70.296496814031784</v>
      </c>
      <c r="O664" s="90">
        <f t="shared" si="260"/>
        <v>3.5148248407015892</v>
      </c>
      <c r="P664" s="90">
        <f t="shared" si="260"/>
        <v>155.84669381475408</v>
      </c>
      <c r="Q664" s="90">
        <f t="shared" si="260"/>
        <v>0</v>
      </c>
      <c r="R664" s="90">
        <f t="shared" si="260"/>
        <v>0</v>
      </c>
      <c r="S664" s="90">
        <f t="shared" si="260"/>
        <v>0</v>
      </c>
      <c r="T664" s="90">
        <f t="shared" si="260"/>
        <v>0</v>
      </c>
      <c r="U664" s="90">
        <f t="shared" si="260"/>
        <v>0</v>
      </c>
      <c r="V664" s="90">
        <f t="shared" si="260"/>
        <v>0</v>
      </c>
      <c r="W664" s="90">
        <f t="shared" si="257"/>
        <v>30874</v>
      </c>
      <c r="X664" s="87" t="str">
        <f t="shared" si="258"/>
        <v>ok</v>
      </c>
      <c r="Y664" s="91" t="str">
        <f t="shared" si="259"/>
        <v/>
      </c>
    </row>
    <row r="665" spans="1:25" ht="12" customHeight="1" x14ac:dyDescent="0.25">
      <c r="A665" s="86" t="s">
        <v>2474</v>
      </c>
      <c r="E665" s="86" t="s">
        <v>2269</v>
      </c>
      <c r="F665" s="90">
        <f>'Jurisdictional Study'!F957+'Jurisdictional Study'!F965</f>
        <v>0</v>
      </c>
      <c r="G665" s="90">
        <f t="shared" si="260"/>
        <v>0</v>
      </c>
      <c r="H665" s="90">
        <f t="shared" si="260"/>
        <v>0</v>
      </c>
      <c r="I665" s="90">
        <f t="shared" si="260"/>
        <v>0</v>
      </c>
      <c r="J665" s="90">
        <f t="shared" si="260"/>
        <v>0</v>
      </c>
      <c r="K665" s="90">
        <f t="shared" si="260"/>
        <v>0</v>
      </c>
      <c r="L665" s="90">
        <f t="shared" si="260"/>
        <v>0</v>
      </c>
      <c r="M665" s="90">
        <f t="shared" si="260"/>
        <v>0</v>
      </c>
      <c r="N665" s="90">
        <f t="shared" si="260"/>
        <v>0</v>
      </c>
      <c r="O665" s="90">
        <f t="shared" si="260"/>
        <v>0</v>
      </c>
      <c r="P665" s="90">
        <f t="shared" si="260"/>
        <v>0</v>
      </c>
      <c r="Q665" s="90">
        <f t="shared" si="260"/>
        <v>0</v>
      </c>
      <c r="R665" s="90">
        <f t="shared" si="260"/>
        <v>0</v>
      </c>
      <c r="S665" s="90">
        <f t="shared" si="260"/>
        <v>0</v>
      </c>
      <c r="T665" s="90">
        <f t="shared" si="260"/>
        <v>0</v>
      </c>
      <c r="U665" s="90">
        <f t="shared" si="260"/>
        <v>0</v>
      </c>
      <c r="V665" s="90">
        <f t="shared" si="260"/>
        <v>0</v>
      </c>
      <c r="W665" s="90">
        <f t="shared" si="257"/>
        <v>0</v>
      </c>
      <c r="X665" s="87" t="str">
        <f t="shared" si="258"/>
        <v>ok</v>
      </c>
      <c r="Y665" s="91" t="str">
        <f t="shared" si="259"/>
        <v/>
      </c>
    </row>
    <row r="666" spans="1:25" ht="12" customHeight="1" x14ac:dyDescent="0.25">
      <c r="A666" s="86" t="s">
        <v>2348</v>
      </c>
      <c r="F666" s="90">
        <f>'Jurisdictional Study'!D956</f>
        <v>5191</v>
      </c>
      <c r="G666" s="90"/>
      <c r="H666" s="90"/>
      <c r="I666" s="90"/>
      <c r="J666" s="90"/>
      <c r="K666" s="90"/>
      <c r="L666" s="90"/>
      <c r="M666" s="90"/>
      <c r="N666" s="90"/>
      <c r="O666" s="90"/>
      <c r="P666" s="90"/>
      <c r="Q666" s="90"/>
      <c r="R666" s="90"/>
      <c r="S666" s="90"/>
      <c r="T666" s="90">
        <f>F666</f>
        <v>5191</v>
      </c>
      <c r="U666" s="90"/>
      <c r="V666" s="90"/>
      <c r="W666" s="90"/>
      <c r="X666" s="87"/>
      <c r="Y666" s="91"/>
    </row>
    <row r="667" spans="1:25" ht="12" hidden="1" customHeight="1" x14ac:dyDescent="0.25">
      <c r="A667" s="96" t="s">
        <v>797</v>
      </c>
      <c r="D667" s="86" t="s">
        <v>798</v>
      </c>
      <c r="E667" s="86" t="s">
        <v>494</v>
      </c>
      <c r="F667" s="90">
        <v>0</v>
      </c>
      <c r="G667" s="90">
        <f t="shared" ref="G667:T667" si="261">IF(VLOOKUP($E667,$D$5:$AJ$1059,3,)=0,0,(VLOOKUP($E667,$D$5:$AJ$1059,G$1,)/VLOOKUP($E667,$D$5:$AJ$1059,3,))*$F667)</f>
        <v>0</v>
      </c>
      <c r="H667" s="90">
        <f t="shared" si="261"/>
        <v>0</v>
      </c>
      <c r="I667" s="90">
        <f t="shared" si="261"/>
        <v>0</v>
      </c>
      <c r="J667" s="90">
        <f t="shared" si="261"/>
        <v>0</v>
      </c>
      <c r="K667" s="90">
        <f t="shared" si="261"/>
        <v>0</v>
      </c>
      <c r="L667" s="90">
        <f t="shared" si="261"/>
        <v>0</v>
      </c>
      <c r="M667" s="90">
        <f t="shared" si="261"/>
        <v>0</v>
      </c>
      <c r="N667" s="90">
        <f t="shared" si="261"/>
        <v>0</v>
      </c>
      <c r="O667" s="90">
        <f t="shared" si="261"/>
        <v>0</v>
      </c>
      <c r="P667" s="90">
        <f t="shared" si="261"/>
        <v>0</v>
      </c>
      <c r="Q667" s="90">
        <f t="shared" si="261"/>
        <v>0</v>
      </c>
      <c r="R667" s="90">
        <f t="shared" si="261"/>
        <v>0</v>
      </c>
      <c r="S667" s="90">
        <f t="shared" si="261"/>
        <v>0</v>
      </c>
      <c r="T667" s="90">
        <f t="shared" si="261"/>
        <v>0</v>
      </c>
      <c r="U667" s="90"/>
      <c r="V667" s="90">
        <f>SUM(G667:U667)</f>
        <v>0</v>
      </c>
      <c r="W667" s="90">
        <f t="shared" si="257"/>
        <v>0</v>
      </c>
      <c r="X667" s="87" t="str">
        <f t="shared" si="258"/>
        <v>ok</v>
      </c>
      <c r="Y667" s="91" t="str">
        <f t="shared" si="259"/>
        <v/>
      </c>
    </row>
    <row r="668" spans="1:25" ht="12" customHeight="1" x14ac:dyDescent="0.25">
      <c r="E668" s="94"/>
      <c r="V668" s="91"/>
    </row>
    <row r="669" spans="1:25" ht="12" customHeight="1" x14ac:dyDescent="0.25">
      <c r="A669" s="86" t="s">
        <v>413</v>
      </c>
      <c r="D669" s="86" t="s">
        <v>414</v>
      </c>
      <c r="E669" s="91"/>
      <c r="F669" s="91">
        <f>SUM(F651:F667)</f>
        <v>1586186238.4421144</v>
      </c>
      <c r="G669" s="91">
        <f t="shared" ref="G669:V669" si="262">SUM(G651:G668)</f>
        <v>633400014.8569392</v>
      </c>
      <c r="H669" s="91">
        <f t="shared" si="262"/>
        <v>229949159.9130367</v>
      </c>
      <c r="I669" s="91">
        <f t="shared" si="262"/>
        <v>12341222.890285712</v>
      </c>
      <c r="J669" s="91">
        <f t="shared" si="262"/>
        <v>174079626.8189258</v>
      </c>
      <c r="K669" s="91">
        <f t="shared" si="262"/>
        <v>9618615.2518069074</v>
      </c>
      <c r="L669" s="91">
        <f t="shared" si="262"/>
        <v>137919297.65202624</v>
      </c>
      <c r="M669" s="91">
        <f t="shared" si="262"/>
        <v>255962115.89645705</v>
      </c>
      <c r="N669" s="91">
        <f t="shared" si="262"/>
        <v>81116611.522509634</v>
      </c>
      <c r="O669" s="91">
        <f t="shared" si="262"/>
        <v>20036620.046286609</v>
      </c>
      <c r="P669" s="91">
        <f t="shared" si="262"/>
        <v>30869091.598854687</v>
      </c>
      <c r="Q669" s="91">
        <f t="shared" si="262"/>
        <v>316350.95104675705</v>
      </c>
      <c r="R669" s="91">
        <f t="shared" si="262"/>
        <v>274796.40865158051</v>
      </c>
      <c r="S669" s="91">
        <f t="shared" si="262"/>
        <v>95109.026991814608</v>
      </c>
      <c r="T669" s="91">
        <f t="shared" si="262"/>
        <v>6746.4882960847026</v>
      </c>
      <c r="U669" s="91">
        <f t="shared" si="262"/>
        <v>162504.0000000002</v>
      </c>
      <c r="V669" s="91">
        <f t="shared" si="262"/>
        <v>38355.120000000003</v>
      </c>
      <c r="W669" s="91">
        <f>SUM(G669:V669)</f>
        <v>1586186238.4421146</v>
      </c>
      <c r="X669" s="87" t="str">
        <f>IF(ABS(F669-W669)&lt;0.01,"ok","err")</f>
        <v>ok</v>
      </c>
      <c r="Y669" s="91" t="str">
        <f>IF(X669="err",W669-F669,"")</f>
        <v/>
      </c>
    </row>
    <row r="670" spans="1:25" ht="12" customHeight="1" x14ac:dyDescent="0.25">
      <c r="E670" s="91"/>
      <c r="F670" s="91"/>
      <c r="G670" s="91"/>
      <c r="H670" s="91"/>
      <c r="I670" s="91"/>
      <c r="J670" s="91"/>
      <c r="K670" s="91"/>
      <c r="L670" s="91"/>
      <c r="M670" s="91"/>
      <c r="N670" s="91"/>
      <c r="O670" s="91"/>
      <c r="P670" s="91"/>
      <c r="Q670" s="91"/>
      <c r="R670" s="91"/>
      <c r="S670" s="91"/>
      <c r="T670" s="91"/>
      <c r="U670" s="91"/>
      <c r="V670" s="91"/>
      <c r="W670" s="91"/>
      <c r="X670" s="87"/>
      <c r="Y670" s="91"/>
    </row>
    <row r="671" spans="1:25" ht="12" customHeight="1" x14ac:dyDescent="0.25">
      <c r="E671" s="91"/>
      <c r="F671" s="91"/>
      <c r="G671" s="91"/>
      <c r="H671" s="91"/>
      <c r="I671" s="91"/>
      <c r="J671" s="91"/>
      <c r="K671" s="91"/>
      <c r="L671" s="91"/>
      <c r="M671" s="91"/>
      <c r="N671" s="91"/>
      <c r="O671" s="91"/>
      <c r="P671" s="91"/>
      <c r="Q671" s="91"/>
      <c r="R671" s="91"/>
      <c r="S671" s="91"/>
      <c r="T671" s="91"/>
      <c r="U671" s="91"/>
      <c r="V671" s="91"/>
      <c r="W671" s="91"/>
      <c r="X671" s="87"/>
      <c r="Y671" s="91"/>
    </row>
    <row r="672" spans="1:25" ht="12" customHeight="1" x14ac:dyDescent="0.25">
      <c r="E672" s="91"/>
      <c r="F672" s="89"/>
      <c r="G672" s="91"/>
    </row>
    <row r="673" spans="1:25" ht="12" customHeight="1" x14ac:dyDescent="0.25">
      <c r="A673" s="288" t="s">
        <v>415</v>
      </c>
      <c r="E673" s="91"/>
      <c r="F673" s="91"/>
    </row>
    <row r="674" spans="1:25" ht="12" customHeight="1" x14ac:dyDescent="0.25">
      <c r="A674" s="96" t="s">
        <v>416</v>
      </c>
      <c r="E674" s="203"/>
      <c r="F674" s="91">
        <f t="shared" ref="F674:V674" si="263">F231</f>
        <v>892295073</v>
      </c>
      <c r="G674" s="91">
        <f t="shared" si="263"/>
        <v>369164546.92586994</v>
      </c>
      <c r="H674" s="91">
        <f t="shared" si="263"/>
        <v>102781777.22337073</v>
      </c>
      <c r="I674" s="91">
        <f t="shared" si="263"/>
        <v>6577502.7185469875</v>
      </c>
      <c r="J674" s="91">
        <f t="shared" si="263"/>
        <v>80222463.340453222</v>
      </c>
      <c r="K674" s="91">
        <f t="shared" si="263"/>
        <v>3699084.3300284715</v>
      </c>
      <c r="L674" s="91">
        <f t="shared" si="263"/>
        <v>80149960.788502932</v>
      </c>
      <c r="M674" s="91">
        <f t="shared" si="263"/>
        <v>161373637.99331099</v>
      </c>
      <c r="N674" s="91">
        <f t="shared" si="263"/>
        <v>54272684.636613227</v>
      </c>
      <c r="O674" s="91">
        <f t="shared" si="263"/>
        <v>23902778.241301723</v>
      </c>
      <c r="P674" s="91">
        <f t="shared" si="263"/>
        <v>9699479.5612257775</v>
      </c>
      <c r="Q674" s="91">
        <f t="shared" si="263"/>
        <v>167481.78190691656</v>
      </c>
      <c r="R674" s="91">
        <f t="shared" si="263"/>
        <v>140706.62510238052</v>
      </c>
      <c r="S674" s="91">
        <f t="shared" si="263"/>
        <v>22990.74337246405</v>
      </c>
      <c r="T674" s="91">
        <f t="shared" si="263"/>
        <v>21464.090394333354</v>
      </c>
      <c r="U674" s="91">
        <f t="shared" si="263"/>
        <v>91514</v>
      </c>
      <c r="V674" s="91">
        <f t="shared" si="263"/>
        <v>7000</v>
      </c>
      <c r="W674" s="91">
        <f t="shared" ref="W674:W680" si="264">SUM(G674:V674)</f>
        <v>892295073.00000012</v>
      </c>
      <c r="X674" s="87" t="str">
        <f t="shared" ref="X674:X680" si="265">IF(ABS(F674-W674)&lt;0.01,"ok","err")</f>
        <v>ok</v>
      </c>
      <c r="Y674" s="91" t="str">
        <f t="shared" ref="Y674:Y680" si="266">IF(X674="err",W674-F674,"")</f>
        <v/>
      </c>
    </row>
    <row r="675" spans="1:25" ht="12" customHeight="1" x14ac:dyDescent="0.25">
      <c r="A675" s="96" t="s">
        <v>417</v>
      </c>
      <c r="F675" s="90">
        <f t="shared" ref="F675:V675" si="267">F345</f>
        <v>370531144.99999994</v>
      </c>
      <c r="G675" s="90">
        <f t="shared" si="267"/>
        <v>164107492.39296746</v>
      </c>
      <c r="H675" s="90">
        <f t="shared" si="267"/>
        <v>42247416.737436824</v>
      </c>
      <c r="I675" s="90">
        <f t="shared" si="267"/>
        <v>2713112.7358965459</v>
      </c>
      <c r="J675" s="90">
        <f t="shared" si="267"/>
        <v>35446327.530531526</v>
      </c>
      <c r="K675" s="90">
        <f t="shared" si="267"/>
        <v>1534788.6010337744</v>
      </c>
      <c r="L675" s="90">
        <f t="shared" si="267"/>
        <v>33401355.649647601</v>
      </c>
      <c r="M675" s="90">
        <f t="shared" si="267"/>
        <v>59608942.280417196</v>
      </c>
      <c r="N675" s="90">
        <f t="shared" si="267"/>
        <v>18833076.783056621</v>
      </c>
      <c r="O675" s="90">
        <f t="shared" si="267"/>
        <v>8245657.7878760733</v>
      </c>
      <c r="P675" s="90">
        <f t="shared" si="267"/>
        <v>4191494.810961517</v>
      </c>
      <c r="Q675" s="90">
        <f t="shared" si="267"/>
        <v>15849.404504346336</v>
      </c>
      <c r="R675" s="90">
        <f t="shared" si="267"/>
        <v>39220.868739987833</v>
      </c>
      <c r="S675" s="90">
        <f t="shared" si="267"/>
        <v>8923.8905149718503</v>
      </c>
      <c r="T675" s="90">
        <f t="shared" si="267"/>
        <v>16554.533612224968</v>
      </c>
      <c r="U675" s="90">
        <f t="shared" si="267"/>
        <v>106487.13</v>
      </c>
      <c r="V675" s="90">
        <f t="shared" si="267"/>
        <v>14443.86</v>
      </c>
      <c r="W675" s="90">
        <f t="shared" si="264"/>
        <v>370531144.99719673</v>
      </c>
      <c r="X675" s="87" t="str">
        <f t="shared" si="265"/>
        <v>ok</v>
      </c>
      <c r="Y675" s="91" t="str">
        <f t="shared" si="266"/>
        <v/>
      </c>
    </row>
    <row r="676" spans="1:25" ht="12" customHeight="1" x14ac:dyDescent="0.25">
      <c r="A676" s="96" t="s">
        <v>261</v>
      </c>
      <c r="F676" s="90">
        <f t="shared" ref="F676:V676" si="268">F402</f>
        <v>0</v>
      </c>
      <c r="G676" s="90">
        <f t="shared" si="268"/>
        <v>0</v>
      </c>
      <c r="H676" s="90">
        <f t="shared" si="268"/>
        <v>0</v>
      </c>
      <c r="I676" s="90">
        <f t="shared" si="268"/>
        <v>0</v>
      </c>
      <c r="J676" s="90">
        <f t="shared" si="268"/>
        <v>0</v>
      </c>
      <c r="K676" s="90">
        <f t="shared" si="268"/>
        <v>0</v>
      </c>
      <c r="L676" s="90">
        <f t="shared" si="268"/>
        <v>0</v>
      </c>
      <c r="M676" s="90">
        <f t="shared" si="268"/>
        <v>0</v>
      </c>
      <c r="N676" s="90">
        <f t="shared" si="268"/>
        <v>0</v>
      </c>
      <c r="O676" s="90">
        <f t="shared" si="268"/>
        <v>0</v>
      </c>
      <c r="P676" s="90">
        <f t="shared" si="268"/>
        <v>0</v>
      </c>
      <c r="Q676" s="90">
        <f t="shared" si="268"/>
        <v>0</v>
      </c>
      <c r="R676" s="90">
        <f t="shared" si="268"/>
        <v>0</v>
      </c>
      <c r="S676" s="90">
        <f t="shared" si="268"/>
        <v>0</v>
      </c>
      <c r="T676" s="90">
        <f t="shared" si="268"/>
        <v>0</v>
      </c>
      <c r="U676" s="90">
        <f t="shared" si="268"/>
        <v>0</v>
      </c>
      <c r="V676" s="90">
        <f t="shared" si="268"/>
        <v>0</v>
      </c>
      <c r="W676" s="90">
        <f t="shared" si="264"/>
        <v>0</v>
      </c>
      <c r="X676" s="87" t="str">
        <f t="shared" si="265"/>
        <v>ok</v>
      </c>
      <c r="Y676" s="91" t="str">
        <f t="shared" si="266"/>
        <v/>
      </c>
    </row>
    <row r="677" spans="1:25" ht="12" customHeight="1" x14ac:dyDescent="0.25">
      <c r="A677" s="96" t="s">
        <v>418</v>
      </c>
      <c r="E677" s="86" t="s">
        <v>399</v>
      </c>
      <c r="F677" s="90">
        <f t="shared" ref="F677:V677" si="269">F459</f>
        <v>35914758</v>
      </c>
      <c r="G677" s="90">
        <f t="shared" si="269"/>
        <v>16868682.952915583</v>
      </c>
      <c r="H677" s="90">
        <f t="shared" si="269"/>
        <v>4199817.9859498963</v>
      </c>
      <c r="I677" s="90">
        <f t="shared" si="269"/>
        <v>264808.38924871455</v>
      </c>
      <c r="J677" s="90">
        <f t="shared" si="269"/>
        <v>3213442.7734203432</v>
      </c>
      <c r="K677" s="90">
        <f t="shared" si="269"/>
        <v>138745.61892971979</v>
      </c>
      <c r="L677" s="90">
        <f t="shared" si="269"/>
        <v>2976138.1198612959</v>
      </c>
      <c r="M677" s="90">
        <f t="shared" si="269"/>
        <v>5193976.6099409787</v>
      </c>
      <c r="N677" s="90">
        <f t="shared" si="269"/>
        <v>1584815.0590666351</v>
      </c>
      <c r="O677" s="90">
        <f t="shared" si="269"/>
        <v>721230.19103821798</v>
      </c>
      <c r="P677" s="90">
        <f t="shared" si="269"/>
        <v>738731.39794844552</v>
      </c>
      <c r="Q677" s="90">
        <f t="shared" si="269"/>
        <v>2380.6625300678843</v>
      </c>
      <c r="R677" s="90">
        <f t="shared" si="269"/>
        <v>4172.7251935764798</v>
      </c>
      <c r="S677" s="90">
        <f t="shared" si="269"/>
        <v>1131.5190227565738</v>
      </c>
      <c r="T677" s="90">
        <f t="shared" si="269"/>
        <v>2075.659267581515</v>
      </c>
      <c r="U677" s="90">
        <f t="shared" si="269"/>
        <v>4038.9486899610001</v>
      </c>
      <c r="V677" s="90">
        <f t="shared" si="269"/>
        <v>569.38697621906249</v>
      </c>
      <c r="W677" s="90">
        <f t="shared" si="264"/>
        <v>35914757.999999993</v>
      </c>
      <c r="X677" s="87" t="str">
        <f t="shared" si="265"/>
        <v>ok</v>
      </c>
      <c r="Y677" s="91" t="str">
        <f t="shared" si="266"/>
        <v/>
      </c>
    </row>
    <row r="678" spans="1:25" ht="12" customHeight="1" x14ac:dyDescent="0.25">
      <c r="A678" s="96" t="s">
        <v>419</v>
      </c>
      <c r="F678" s="90">
        <f t="shared" ref="F678:V678" si="270">F516</f>
        <v>13649179.000000002</v>
      </c>
      <c r="G678" s="90">
        <f t="shared" si="270"/>
        <v>6412012.4339161385</v>
      </c>
      <c r="H678" s="90">
        <f t="shared" si="270"/>
        <v>1596492.2638081999</v>
      </c>
      <c r="I678" s="90">
        <f t="shared" si="270"/>
        <v>100654.9517082745</v>
      </c>
      <c r="J678" s="90">
        <f t="shared" si="270"/>
        <v>1221486.916642416</v>
      </c>
      <c r="K678" s="90">
        <f t="shared" si="270"/>
        <v>52748.506046576644</v>
      </c>
      <c r="L678" s="90">
        <f t="shared" si="270"/>
        <v>1131246.5845915331</v>
      </c>
      <c r="M678" s="90">
        <f t="shared" si="270"/>
        <v>1974276.0810385898</v>
      </c>
      <c r="N678" s="90">
        <f t="shared" si="270"/>
        <v>602412.39223575592</v>
      </c>
      <c r="O678" s="90">
        <f t="shared" si="270"/>
        <v>274142.47301164339</v>
      </c>
      <c r="P678" s="90">
        <f t="shared" si="270"/>
        <v>280750.52357849095</v>
      </c>
      <c r="Q678" s="90">
        <f t="shared" si="270"/>
        <v>904.87746400844173</v>
      </c>
      <c r="R678" s="90">
        <f t="shared" si="270"/>
        <v>1587.3572482853897</v>
      </c>
      <c r="S678" s="90">
        <f t="shared" si="270"/>
        <v>430.0999656693844</v>
      </c>
      <c r="T678" s="90">
        <f t="shared" si="270"/>
        <v>33.538744416951054</v>
      </c>
      <c r="U678" s="90">
        <f t="shared" si="270"/>
        <v>0</v>
      </c>
      <c r="V678" s="90">
        <f t="shared" si="270"/>
        <v>0</v>
      </c>
      <c r="W678" s="90">
        <f t="shared" si="264"/>
        <v>13649178.999999998</v>
      </c>
      <c r="X678" s="87" t="str">
        <f t="shared" si="265"/>
        <v>ok</v>
      </c>
      <c r="Y678" s="91" t="str">
        <f t="shared" si="266"/>
        <v/>
      </c>
    </row>
    <row r="679" spans="1:25" ht="12" customHeight="1" x14ac:dyDescent="0.25">
      <c r="A679" s="86" t="s">
        <v>899</v>
      </c>
      <c r="F679" s="90">
        <f t="shared" ref="F679:V679" si="271">F574</f>
        <v>0</v>
      </c>
      <c r="G679" s="90">
        <f t="shared" si="271"/>
        <v>0</v>
      </c>
      <c r="H679" s="90">
        <f t="shared" si="271"/>
        <v>0</v>
      </c>
      <c r="I679" s="90">
        <f t="shared" si="271"/>
        <v>0</v>
      </c>
      <c r="J679" s="90">
        <f t="shared" si="271"/>
        <v>0</v>
      </c>
      <c r="K679" s="90">
        <f t="shared" si="271"/>
        <v>0</v>
      </c>
      <c r="L679" s="90">
        <f t="shared" si="271"/>
        <v>0</v>
      </c>
      <c r="M679" s="90">
        <f t="shared" si="271"/>
        <v>0</v>
      </c>
      <c r="N679" s="90">
        <f t="shared" si="271"/>
        <v>0</v>
      </c>
      <c r="O679" s="90">
        <f t="shared" si="271"/>
        <v>0</v>
      </c>
      <c r="P679" s="90">
        <f t="shared" si="271"/>
        <v>0</v>
      </c>
      <c r="Q679" s="90">
        <f t="shared" si="271"/>
        <v>0</v>
      </c>
      <c r="R679" s="90">
        <f t="shared" si="271"/>
        <v>0</v>
      </c>
      <c r="S679" s="90">
        <f t="shared" si="271"/>
        <v>0</v>
      </c>
      <c r="T679" s="90">
        <f t="shared" si="271"/>
        <v>0</v>
      </c>
      <c r="U679" s="90">
        <f t="shared" si="271"/>
        <v>0</v>
      </c>
      <c r="V679" s="90">
        <f t="shared" si="271"/>
        <v>0</v>
      </c>
      <c r="W679" s="90">
        <f t="shared" si="264"/>
        <v>0</v>
      </c>
      <c r="X679" s="87" t="str">
        <f t="shared" si="265"/>
        <v>ok</v>
      </c>
      <c r="Y679" s="91" t="str">
        <f t="shared" si="266"/>
        <v/>
      </c>
    </row>
    <row r="680" spans="1:25" ht="12" customHeight="1" x14ac:dyDescent="0.25">
      <c r="A680" s="96" t="s">
        <v>1485</v>
      </c>
      <c r="E680" s="86" t="s">
        <v>1134</v>
      </c>
      <c r="F680" s="90">
        <v>23821552.705033928</v>
      </c>
      <c r="G680" s="89">
        <f t="shared" ref="G680:V680" si="272">IF(VLOOKUP($E680,$D$5:$AJ$997,3,)=0,0,(VLOOKUP($E680,$D$5:$AJ$997,G$1,)/VLOOKUP($E680,$D$5:$AJ$997,3,))*$F680)</f>
        <v>3677403.5144136846</v>
      </c>
      <c r="H680" s="89">
        <f t="shared" si="272"/>
        <v>9621084.7454639859</v>
      </c>
      <c r="I680" s="89">
        <f t="shared" si="272"/>
        <v>272325.18839188083</v>
      </c>
      <c r="J680" s="89">
        <f t="shared" si="272"/>
        <v>6408888.3105911389</v>
      </c>
      <c r="K680" s="89">
        <f t="shared" si="272"/>
        <v>547018.14487157715</v>
      </c>
      <c r="L680" s="89">
        <f t="shared" si="272"/>
        <v>1621460.7143718817</v>
      </c>
      <c r="M680" s="89">
        <f t="shared" si="272"/>
        <v>1734482.8799088199</v>
      </c>
      <c r="N680" s="89">
        <f t="shared" si="272"/>
        <v>142880.14843023021</v>
      </c>
      <c r="O680" s="89">
        <f t="shared" si="272"/>
        <v>-2221619.7712173951</v>
      </c>
      <c r="P680" s="89">
        <f t="shared" si="272"/>
        <v>1988582.9914433693</v>
      </c>
      <c r="Q680" s="89">
        <f t="shared" si="272"/>
        <v>17771.669616268839</v>
      </c>
      <c r="R680" s="89">
        <f t="shared" si="272"/>
        <v>11080.738520745181</v>
      </c>
      <c r="S680" s="89">
        <f t="shared" si="272"/>
        <v>8442.5215499199621</v>
      </c>
      <c r="T680" s="89">
        <f t="shared" si="272"/>
        <v>-4883.2489368198367</v>
      </c>
      <c r="U680" s="89">
        <f t="shared" si="272"/>
        <v>-5737.3033263095867</v>
      </c>
      <c r="V680" s="89">
        <f t="shared" si="272"/>
        <v>2371.4613478163396</v>
      </c>
      <c r="W680" s="90">
        <f t="shared" si="264"/>
        <v>23821552.705440797</v>
      </c>
      <c r="X680" s="87" t="str">
        <f t="shared" si="265"/>
        <v>ok</v>
      </c>
      <c r="Y680" s="91" t="str">
        <f t="shared" si="266"/>
        <v/>
      </c>
    </row>
    <row r="681" spans="1:25" ht="12" hidden="1" customHeight="1" x14ac:dyDescent="0.25">
      <c r="A681" s="96" t="s">
        <v>508</v>
      </c>
      <c r="F681" s="90"/>
      <c r="G681" s="90">
        <f t="shared" ref="G681:T681" si="273">-G982</f>
        <v>0</v>
      </c>
      <c r="H681" s="90">
        <f t="shared" si="273"/>
        <v>0</v>
      </c>
      <c r="I681" s="90">
        <f t="shared" si="273"/>
        <v>0</v>
      </c>
      <c r="J681" s="90">
        <f t="shared" si="273"/>
        <v>0</v>
      </c>
      <c r="K681" s="90">
        <f t="shared" si="273"/>
        <v>0</v>
      </c>
      <c r="L681" s="90">
        <f t="shared" si="273"/>
        <v>0</v>
      </c>
      <c r="M681" s="90">
        <f t="shared" si="273"/>
        <v>0</v>
      </c>
      <c r="N681" s="90">
        <f t="shared" si="273"/>
        <v>0</v>
      </c>
      <c r="O681" s="90">
        <f t="shared" si="273"/>
        <v>0</v>
      </c>
      <c r="P681" s="90">
        <f t="shared" si="273"/>
        <v>0</v>
      </c>
      <c r="Q681" s="90">
        <f t="shared" si="273"/>
        <v>0</v>
      </c>
      <c r="R681" s="90">
        <f t="shared" si="273"/>
        <v>0</v>
      </c>
      <c r="S681" s="90">
        <f t="shared" si="273"/>
        <v>0</v>
      </c>
      <c r="T681" s="90">
        <f t="shared" si="273"/>
        <v>0</v>
      </c>
      <c r="U681" s="90">
        <f>-U982</f>
        <v>0</v>
      </c>
      <c r="V681" s="90">
        <f>-V982</f>
        <v>0</v>
      </c>
      <c r="X681" s="87" t="str">
        <f>IF(ABS(F681-V681)&lt;0.01,"ok","err")</f>
        <v>ok</v>
      </c>
      <c r="Y681" s="91" t="str">
        <f>IF(X681="err",V681-F681,"")</f>
        <v/>
      </c>
    </row>
    <row r="682" spans="1:25" ht="12" hidden="1" customHeight="1" x14ac:dyDescent="0.25">
      <c r="A682" s="96" t="s">
        <v>554</v>
      </c>
      <c r="E682" s="86" t="s">
        <v>556</v>
      </c>
      <c r="F682" s="90"/>
      <c r="G682" s="89">
        <f t="shared" ref="G682:V682" si="274">IF(VLOOKUP($E682,$D$5:$AJ$1059,3,)=0,0,(VLOOKUP($E682,$D$5:$AJ$1059,G$1,)/VLOOKUP($E682,$D$5:$AJ$1059,3,))*$F682)</f>
        <v>0</v>
      </c>
      <c r="H682" s="89">
        <f t="shared" si="274"/>
        <v>0</v>
      </c>
      <c r="I682" s="89">
        <f t="shared" si="274"/>
        <v>0</v>
      </c>
      <c r="J682" s="89">
        <f t="shared" si="274"/>
        <v>0</v>
      </c>
      <c r="K682" s="89">
        <f t="shared" si="274"/>
        <v>0</v>
      </c>
      <c r="L682" s="89">
        <f t="shared" si="274"/>
        <v>0</v>
      </c>
      <c r="M682" s="89">
        <f t="shared" si="274"/>
        <v>0</v>
      </c>
      <c r="N682" s="89">
        <f t="shared" si="274"/>
        <v>0</v>
      </c>
      <c r="O682" s="89">
        <f t="shared" si="274"/>
        <v>0</v>
      </c>
      <c r="P682" s="89">
        <f t="shared" si="274"/>
        <v>0</v>
      </c>
      <c r="Q682" s="89">
        <f t="shared" si="274"/>
        <v>0</v>
      </c>
      <c r="R682" s="89">
        <f t="shared" si="274"/>
        <v>0</v>
      </c>
      <c r="S682" s="89">
        <f t="shared" si="274"/>
        <v>0</v>
      </c>
      <c r="T682" s="89">
        <f t="shared" si="274"/>
        <v>0</v>
      </c>
      <c r="U682" s="89">
        <f t="shared" si="274"/>
        <v>0</v>
      </c>
      <c r="V682" s="89">
        <f t="shared" si="274"/>
        <v>0</v>
      </c>
      <c r="X682" s="87" t="str">
        <f>IF(ABS(F682-V682)&lt;0.01,"ok","err")</f>
        <v>ok</v>
      </c>
      <c r="Y682" s="91" t="str">
        <f>IF(X682="err",V682-F682,"")</f>
        <v/>
      </c>
    </row>
    <row r="683" spans="1:25" ht="12" customHeight="1" x14ac:dyDescent="0.25">
      <c r="A683" s="96"/>
      <c r="X683" s="87"/>
    </row>
    <row r="684" spans="1:25" ht="12" customHeight="1" x14ac:dyDescent="0.25">
      <c r="A684" s="86" t="s">
        <v>420</v>
      </c>
      <c r="D684" s="86" t="s">
        <v>378</v>
      </c>
      <c r="F684" s="91">
        <f t="shared" ref="F684:T684" si="275">SUM(F674:F683)</f>
        <v>1336211707.705034</v>
      </c>
      <c r="G684" s="91">
        <f t="shared" si="275"/>
        <v>560230138.22008276</v>
      </c>
      <c r="H684" s="91">
        <f t="shared" si="275"/>
        <v>160446588.95602965</v>
      </c>
      <c r="I684" s="91">
        <f t="shared" si="275"/>
        <v>9928403.9837924019</v>
      </c>
      <c r="J684" s="91">
        <f t="shared" si="275"/>
        <v>126512608.87163866</v>
      </c>
      <c r="K684" s="91">
        <f t="shared" si="275"/>
        <v>5972385.2009101193</v>
      </c>
      <c r="L684" s="91">
        <f t="shared" si="275"/>
        <v>119280161.85697523</v>
      </c>
      <c r="M684" s="91">
        <f t="shared" si="275"/>
        <v>229885315.84461659</v>
      </c>
      <c r="N684" s="91">
        <f t="shared" si="275"/>
        <v>75435869.019402474</v>
      </c>
      <c r="O684" s="91">
        <f t="shared" si="275"/>
        <v>30922188.922010262</v>
      </c>
      <c r="P684" s="91">
        <f t="shared" si="275"/>
        <v>16899039.285157599</v>
      </c>
      <c r="Q684" s="91">
        <f t="shared" si="275"/>
        <v>204388.39602160803</v>
      </c>
      <c r="R684" s="91">
        <f t="shared" si="275"/>
        <v>196768.31480497541</v>
      </c>
      <c r="S684" s="91">
        <f t="shared" si="275"/>
        <v>41918.774425781819</v>
      </c>
      <c r="T684" s="91">
        <f t="shared" si="275"/>
        <v>35244.573081736955</v>
      </c>
      <c r="U684" s="91">
        <f>SUM(U674:U683)</f>
        <v>196302.7753636514</v>
      </c>
      <c r="V684" s="91">
        <f>SUM(V674:V683)</f>
        <v>24384.708324035404</v>
      </c>
      <c r="W684" s="91">
        <f>SUM(G684:V684)</f>
        <v>1336211707.7026374</v>
      </c>
      <c r="X684" s="87" t="str">
        <f>IF(ABS(F684-W684)&lt;0.01,"ok","err")</f>
        <v>ok</v>
      </c>
      <c r="Y684" s="91" t="str">
        <f>IF(X684="err",W684-F684,"")</f>
        <v/>
      </c>
    </row>
    <row r="685" spans="1:25" ht="12" customHeight="1" x14ac:dyDescent="0.25">
      <c r="A685" s="96"/>
    </row>
    <row r="686" spans="1:25" ht="12" customHeight="1" x14ac:dyDescent="0.25">
      <c r="A686" s="86" t="s">
        <v>902</v>
      </c>
      <c r="D686" s="86" t="s">
        <v>810</v>
      </c>
      <c r="F686" s="91">
        <f t="shared" ref="F686:T686" si="276">F669-F684</f>
        <v>249974530.73708034</v>
      </c>
      <c r="G686" s="91">
        <f t="shared" si="276"/>
        <v>73169876.636856437</v>
      </c>
      <c r="H686" s="91">
        <f t="shared" si="276"/>
        <v>69502570.957007051</v>
      </c>
      <c r="I686" s="91">
        <f t="shared" si="276"/>
        <v>2412818.9064933099</v>
      </c>
      <c r="J686" s="91">
        <f t="shared" si="276"/>
        <v>47567017.947287142</v>
      </c>
      <c r="K686" s="91">
        <f t="shared" si="276"/>
        <v>3646230.050896788</v>
      </c>
      <c r="L686" s="91">
        <f t="shared" si="276"/>
        <v>18639135.795051008</v>
      </c>
      <c r="M686" s="91">
        <f t="shared" si="276"/>
        <v>26076800.051840454</v>
      </c>
      <c r="N686" s="91">
        <f t="shared" si="276"/>
        <v>5680742.5031071603</v>
      </c>
      <c r="O686" s="91">
        <f t="shared" si="276"/>
        <v>-10885568.875723653</v>
      </c>
      <c r="P686" s="91">
        <f t="shared" si="276"/>
        <v>13970052.313697089</v>
      </c>
      <c r="Q686" s="91">
        <f t="shared" si="276"/>
        <v>111962.55502514902</v>
      </c>
      <c r="R686" s="91">
        <f t="shared" si="276"/>
        <v>78028.093846605101</v>
      </c>
      <c r="S686" s="91">
        <f t="shared" si="276"/>
        <v>53190.252566032788</v>
      </c>
      <c r="T686" s="91">
        <f t="shared" si="276"/>
        <v>-28498.084785652252</v>
      </c>
      <c r="U686" s="91">
        <f>U669-U684</f>
        <v>-33798.775363651192</v>
      </c>
      <c r="V686" s="91">
        <f>V669-V684</f>
        <v>13970.411675964599</v>
      </c>
      <c r="W686" s="91">
        <f>SUM(G686:V686)</f>
        <v>249974530.73947728</v>
      </c>
      <c r="X686" s="87" t="str">
        <f>IF(ABS(F686-W686)&lt;0.01,"ok","err")</f>
        <v>ok</v>
      </c>
      <c r="Y686" s="91" t="str">
        <f>IF(X686="err",W686-F686,"")</f>
        <v/>
      </c>
    </row>
    <row r="688" spans="1:25" ht="12" customHeight="1" x14ac:dyDescent="0.25">
      <c r="A688" s="86" t="s">
        <v>400</v>
      </c>
      <c r="F688" s="91">
        <f t="shared" ref="F688:V688" si="277">F174</f>
        <v>5197832023.3399992</v>
      </c>
      <c r="G688" s="91">
        <f t="shared" si="277"/>
        <v>2457262896.4775939</v>
      </c>
      <c r="H688" s="91">
        <f t="shared" si="277"/>
        <v>610215074.31991637</v>
      </c>
      <c r="I688" s="91">
        <f t="shared" si="277"/>
        <v>38745077.376713946</v>
      </c>
      <c r="J688" s="91">
        <f t="shared" si="277"/>
        <v>458917674.33772969</v>
      </c>
      <c r="K688" s="91">
        <f t="shared" si="277"/>
        <v>19889476.254637145</v>
      </c>
      <c r="L688" s="91">
        <f t="shared" si="277"/>
        <v>424876670.28377599</v>
      </c>
      <c r="M688" s="91">
        <f t="shared" si="277"/>
        <v>740522922.29555535</v>
      </c>
      <c r="N688" s="91">
        <f t="shared" si="277"/>
        <v>225552348.81659499</v>
      </c>
      <c r="O688" s="91">
        <f t="shared" si="277"/>
        <v>104343933.18818319</v>
      </c>
      <c r="P688" s="91">
        <f t="shared" si="277"/>
        <v>113343713.20751949</v>
      </c>
      <c r="Q688" s="91">
        <f t="shared" si="277"/>
        <v>398777.2411763831</v>
      </c>
      <c r="R688" s="91">
        <f t="shared" si="277"/>
        <v>615337.83011701179</v>
      </c>
      <c r="S688" s="91">
        <f t="shared" si="277"/>
        <v>174679.19030271503</v>
      </c>
      <c r="T688" s="91">
        <f t="shared" si="277"/>
        <v>105538.72018323612</v>
      </c>
      <c r="U688" s="91">
        <f t="shared" si="277"/>
        <v>2576969.3631635425</v>
      </c>
      <c r="V688" s="91">
        <f t="shared" si="277"/>
        <v>290934.43683645804</v>
      </c>
      <c r="W688" s="91">
        <f>SUM(G688:V688)</f>
        <v>5197832023.3399992</v>
      </c>
      <c r="X688" s="87" t="str">
        <f>IF(ABS(F688-W688)&lt;0.01,"ok","err")</f>
        <v>ok</v>
      </c>
      <c r="Y688" s="91" t="str">
        <f>IF(X688="err",W688-F688,"")</f>
        <v/>
      </c>
    </row>
    <row r="689" spans="1:25" ht="12" customHeight="1" x14ac:dyDescent="0.25">
      <c r="B689" s="91"/>
      <c r="F689" s="91"/>
      <c r="Y689" s="203"/>
    </row>
    <row r="690" spans="1:25" s="288" customFormat="1" ht="12" hidden="1" customHeight="1" x14ac:dyDescent="0.25">
      <c r="A690" s="387"/>
      <c r="B690" s="387"/>
      <c r="C690" s="387"/>
      <c r="D690" s="387"/>
      <c r="E690" s="387"/>
      <c r="F690" s="297"/>
      <c r="G690" s="388"/>
      <c r="H690" s="388"/>
      <c r="I690" s="388"/>
      <c r="J690" s="388"/>
      <c r="K690" s="388"/>
      <c r="L690" s="388"/>
      <c r="M690" s="388"/>
      <c r="N690" s="388"/>
      <c r="O690" s="388"/>
      <c r="P690" s="388"/>
      <c r="Q690" s="388"/>
      <c r="R690" s="388"/>
      <c r="S690" s="388"/>
      <c r="T690" s="388"/>
      <c r="U690" s="388"/>
      <c r="V690" s="388"/>
      <c r="X690" s="207"/>
    </row>
    <row r="691" spans="1:25" ht="12" hidden="1" customHeight="1" x14ac:dyDescent="0.25"/>
    <row r="692" spans="1:25" ht="12" hidden="1" customHeight="1" x14ac:dyDescent="0.25">
      <c r="F692" s="90"/>
      <c r="G692" s="208"/>
      <c r="H692" s="208"/>
      <c r="I692" s="208"/>
      <c r="J692" s="208"/>
      <c r="K692" s="208"/>
      <c r="L692" s="208"/>
      <c r="M692" s="208"/>
      <c r="N692" s="208"/>
      <c r="O692" s="208"/>
      <c r="P692" s="208"/>
      <c r="Q692" s="208"/>
      <c r="R692" s="208"/>
      <c r="S692" s="208"/>
      <c r="T692" s="208"/>
      <c r="U692" s="208"/>
      <c r="V692" s="208"/>
    </row>
    <row r="693" spans="1:25" ht="12" hidden="1" customHeight="1" x14ac:dyDescent="0.25"/>
    <row r="694" spans="1:25" ht="12" hidden="1" customHeight="1" x14ac:dyDescent="0.25">
      <c r="F694" s="90"/>
      <c r="G694" s="90"/>
      <c r="H694" s="90"/>
      <c r="I694" s="90"/>
      <c r="J694" s="90"/>
      <c r="K694" s="90"/>
      <c r="L694" s="90"/>
      <c r="M694" s="90"/>
      <c r="N694" s="90"/>
      <c r="O694" s="90"/>
      <c r="P694" s="90"/>
      <c r="Q694" s="90"/>
      <c r="R694" s="90"/>
      <c r="S694" s="90"/>
      <c r="T694" s="90"/>
      <c r="U694" s="90"/>
      <c r="V694" s="90"/>
    </row>
    <row r="695" spans="1:25" ht="12" hidden="1" customHeight="1" x14ac:dyDescent="0.25">
      <c r="G695" s="98"/>
      <c r="H695" s="98"/>
      <c r="I695" s="98"/>
      <c r="J695" s="98"/>
      <c r="K695" s="98"/>
      <c r="L695" s="98"/>
      <c r="M695" s="209"/>
      <c r="N695" s="98"/>
      <c r="O695" s="209"/>
      <c r="P695" s="98"/>
      <c r="Q695" s="98"/>
      <c r="R695" s="98"/>
      <c r="S695" s="98"/>
      <c r="T695" s="98"/>
      <c r="U695" s="98"/>
      <c r="V695" s="98"/>
    </row>
    <row r="696" spans="1:25" ht="12" hidden="1" customHeight="1" x14ac:dyDescent="0.25">
      <c r="G696" s="98"/>
      <c r="H696" s="98"/>
      <c r="I696" s="98"/>
      <c r="J696" s="98"/>
      <c r="K696" s="98"/>
      <c r="L696" s="98"/>
      <c r="M696" s="98"/>
      <c r="N696" s="98"/>
      <c r="O696" s="98"/>
      <c r="P696" s="209"/>
      <c r="Q696" s="98"/>
      <c r="R696" s="98"/>
      <c r="S696" s="98"/>
      <c r="T696" s="98"/>
      <c r="U696" s="98"/>
      <c r="V696" s="98"/>
    </row>
    <row r="697" spans="1:25" ht="12" hidden="1" customHeight="1" x14ac:dyDescent="0.25"/>
    <row r="698" spans="1:25" ht="12" hidden="1" customHeight="1" x14ac:dyDescent="0.25">
      <c r="F698" s="210"/>
      <c r="G698" s="210"/>
      <c r="H698" s="210"/>
      <c r="I698" s="210"/>
      <c r="J698" s="210"/>
      <c r="K698" s="210"/>
      <c r="L698" s="210"/>
      <c r="M698" s="210"/>
      <c r="N698" s="210"/>
      <c r="O698" s="210"/>
      <c r="P698" s="210"/>
    </row>
    <row r="699" spans="1:25" ht="12" hidden="1" customHeight="1" x14ac:dyDescent="0.25"/>
    <row r="700" spans="1:25" ht="12" hidden="1" customHeight="1" x14ac:dyDescent="0.25"/>
    <row r="702" spans="1:25" ht="12" customHeight="1" x14ac:dyDescent="0.25">
      <c r="A702" s="22" t="s">
        <v>1129</v>
      </c>
    </row>
    <row r="704" spans="1:25" ht="12" customHeight="1" x14ac:dyDescent="0.25">
      <c r="A704" s="86" t="s">
        <v>1130</v>
      </c>
      <c r="F704" s="91">
        <f t="shared" ref="F704:V704" si="278">F669</f>
        <v>1586186238.4421144</v>
      </c>
      <c r="G704" s="91">
        <f t="shared" si="278"/>
        <v>633400014.8569392</v>
      </c>
      <c r="H704" s="91">
        <f t="shared" si="278"/>
        <v>229949159.9130367</v>
      </c>
      <c r="I704" s="91">
        <f t="shared" si="278"/>
        <v>12341222.890285712</v>
      </c>
      <c r="J704" s="91">
        <f t="shared" si="278"/>
        <v>174079626.8189258</v>
      </c>
      <c r="K704" s="91">
        <f t="shared" si="278"/>
        <v>9618615.2518069074</v>
      </c>
      <c r="L704" s="91">
        <f t="shared" si="278"/>
        <v>137919297.65202624</v>
      </c>
      <c r="M704" s="91">
        <f t="shared" si="278"/>
        <v>255962115.89645705</v>
      </c>
      <c r="N704" s="91">
        <f t="shared" si="278"/>
        <v>81116611.522509634</v>
      </c>
      <c r="O704" s="91">
        <f t="shared" si="278"/>
        <v>20036620.046286609</v>
      </c>
      <c r="P704" s="91">
        <f t="shared" si="278"/>
        <v>30869091.598854687</v>
      </c>
      <c r="Q704" s="91">
        <f t="shared" si="278"/>
        <v>316350.95104675705</v>
      </c>
      <c r="R704" s="91">
        <f t="shared" si="278"/>
        <v>274796.40865158051</v>
      </c>
      <c r="S704" s="91">
        <f t="shared" si="278"/>
        <v>95109.026991814608</v>
      </c>
      <c r="T704" s="91">
        <f t="shared" si="278"/>
        <v>6746.4882960847026</v>
      </c>
      <c r="U704" s="91">
        <f t="shared" si="278"/>
        <v>162504.0000000002</v>
      </c>
      <c r="V704" s="91">
        <f t="shared" si="278"/>
        <v>38355.120000000003</v>
      </c>
      <c r="W704" s="91">
        <f>SUM(G704:V704)</f>
        <v>1586186238.4421146</v>
      </c>
      <c r="X704" s="87" t="str">
        <f>IF(ABS(F704-W704)&lt;0.01,"ok","err")</f>
        <v>ok</v>
      </c>
      <c r="Y704" s="91" t="str">
        <f>IF(X704="err",W704-F704,"")</f>
        <v/>
      </c>
    </row>
    <row r="706" spans="1:25" ht="12" customHeight="1" x14ac:dyDescent="0.25">
      <c r="A706" s="86" t="s">
        <v>415</v>
      </c>
      <c r="F706" s="91">
        <f t="shared" ref="F706:V706" si="279">F674+F675+F676+F677+F678+F679+F681+F682</f>
        <v>1312390155</v>
      </c>
      <c r="G706" s="91">
        <f t="shared" si="279"/>
        <v>556552734.70566905</v>
      </c>
      <c r="H706" s="91">
        <f t="shared" si="279"/>
        <v>150825504.21056566</v>
      </c>
      <c r="I706" s="91">
        <f t="shared" si="279"/>
        <v>9656078.7954005208</v>
      </c>
      <c r="J706" s="91">
        <f t="shared" si="279"/>
        <v>120103720.56104751</v>
      </c>
      <c r="K706" s="91">
        <f t="shared" si="279"/>
        <v>5425367.0560385417</v>
      </c>
      <c r="L706" s="91">
        <f t="shared" si="279"/>
        <v>117658701.14260335</v>
      </c>
      <c r="M706" s="91">
        <f t="shared" si="279"/>
        <v>228150832.96470776</v>
      </c>
      <c r="N706" s="91">
        <f t="shared" si="279"/>
        <v>75292988.870972246</v>
      </c>
      <c r="O706" s="91">
        <f t="shared" si="279"/>
        <v>33143808.693227656</v>
      </c>
      <c r="P706" s="91">
        <f t="shared" si="279"/>
        <v>14910456.293714231</v>
      </c>
      <c r="Q706" s="91">
        <f t="shared" si="279"/>
        <v>186616.7264053392</v>
      </c>
      <c r="R706" s="91">
        <f t="shared" si="279"/>
        <v>185687.57628423022</v>
      </c>
      <c r="S706" s="91">
        <f t="shared" si="279"/>
        <v>33476.252875861857</v>
      </c>
      <c r="T706" s="91">
        <f t="shared" si="279"/>
        <v>40127.822018556792</v>
      </c>
      <c r="U706" s="91">
        <f t="shared" si="279"/>
        <v>202040.078689961</v>
      </c>
      <c r="V706" s="91">
        <f t="shared" si="279"/>
        <v>22013.246976219063</v>
      </c>
      <c r="W706" s="91">
        <f>SUM(G706:V706)</f>
        <v>1312390154.9971969</v>
      </c>
      <c r="X706" s="87" t="str">
        <f>IF(ABS(F706-W706)&lt;0.01,"ok","err")</f>
        <v>ok</v>
      </c>
      <c r="Y706" s="91" t="str">
        <f>IF(X706="err",W706-F706,"")</f>
        <v/>
      </c>
    </row>
    <row r="708" spans="1:25" ht="12" customHeight="1" x14ac:dyDescent="0.25">
      <c r="A708" s="86" t="s">
        <v>1131</v>
      </c>
      <c r="D708" s="86" t="s">
        <v>1132</v>
      </c>
      <c r="F708" s="211">
        <f t="shared" ref="F708:V708" si="280">F636</f>
        <v>109640428.99999999</v>
      </c>
      <c r="G708" s="211">
        <f t="shared" si="280"/>
        <v>51506086.48387567</v>
      </c>
      <c r="H708" s="211">
        <f t="shared" si="280"/>
        <v>12824221.6399325</v>
      </c>
      <c r="I708" s="211">
        <f t="shared" si="280"/>
        <v>808535.96295202058</v>
      </c>
      <c r="J708" s="211">
        <f t="shared" si="280"/>
        <v>9811897.8114772867</v>
      </c>
      <c r="K708" s="211">
        <f t="shared" si="280"/>
        <v>423715.50933984795</v>
      </c>
      <c r="L708" s="211">
        <f t="shared" si="280"/>
        <v>9087019.8741917349</v>
      </c>
      <c r="M708" s="211">
        <f t="shared" si="280"/>
        <v>15858864.221028218</v>
      </c>
      <c r="N708" s="211">
        <f t="shared" si="280"/>
        <v>4839027.5429492528</v>
      </c>
      <c r="O708" s="211">
        <f t="shared" si="280"/>
        <v>2202117.6766835209</v>
      </c>
      <c r="P708" s="211">
        <f t="shared" si="280"/>
        <v>2255198.4882841939</v>
      </c>
      <c r="Q708" s="211">
        <f t="shared" si="280"/>
        <v>7268.6535465845691</v>
      </c>
      <c r="R708" s="211">
        <f t="shared" si="280"/>
        <v>12750.842353101945</v>
      </c>
      <c r="S708" s="211">
        <f t="shared" si="280"/>
        <v>3454.8850702944537</v>
      </c>
      <c r="T708" s="211">
        <f t="shared" si="280"/>
        <v>269.40831576726106</v>
      </c>
      <c r="U708" s="211">
        <f t="shared" si="280"/>
        <v>0</v>
      </c>
      <c r="V708" s="211">
        <f t="shared" si="280"/>
        <v>0</v>
      </c>
      <c r="W708" s="91">
        <f>SUM(G708:V708)</f>
        <v>109640429</v>
      </c>
      <c r="X708" s="87" t="str">
        <f>IF(ABS(F708-W708)&lt;0.01,"ok","err")</f>
        <v>ok</v>
      </c>
      <c r="Y708" s="91" t="str">
        <f>IF(X708="err",W708-F708,"")</f>
        <v/>
      </c>
    </row>
    <row r="710" spans="1:25" ht="12" customHeight="1" x14ac:dyDescent="0.25">
      <c r="A710" s="86" t="s">
        <v>1133</v>
      </c>
      <c r="D710" s="86" t="s">
        <v>1134</v>
      </c>
      <c r="F710" s="91">
        <f>F704-F706-F708</f>
        <v>164155654.44211435</v>
      </c>
      <c r="G710" s="91">
        <f t="shared" ref="G710:V710" si="281">G704-G706-G708</f>
        <v>25341193.667394482</v>
      </c>
      <c r="H710" s="91">
        <f t="shared" si="281"/>
        <v>66299434.062538549</v>
      </c>
      <c r="I710" s="91">
        <f>I704-I706-I708</f>
        <v>1876608.1319331704</v>
      </c>
      <c r="J710" s="91">
        <f>J704-J706-J708</f>
        <v>44164008.446401</v>
      </c>
      <c r="K710" s="91">
        <f>K704-K706-K708</f>
        <v>3769532.6864285176</v>
      </c>
      <c r="L710" s="91">
        <f t="shared" si="281"/>
        <v>11173576.635231148</v>
      </c>
      <c r="M710" s="91">
        <f t="shared" si="281"/>
        <v>11952418.710721066</v>
      </c>
      <c r="N710" s="91">
        <f t="shared" si="281"/>
        <v>984595.1085881358</v>
      </c>
      <c r="O710" s="91">
        <f>O704-O706-O708</f>
        <v>-15309306.323624568</v>
      </c>
      <c r="P710" s="91">
        <f>P704-P706-P708</f>
        <v>13703436.816856261</v>
      </c>
      <c r="Q710" s="91">
        <f t="shared" si="281"/>
        <v>122465.57109483329</v>
      </c>
      <c r="R710" s="91">
        <f t="shared" si="281"/>
        <v>76357.990014248338</v>
      </c>
      <c r="S710" s="91">
        <f t="shared" si="281"/>
        <v>58177.889045658296</v>
      </c>
      <c r="T710" s="91">
        <f t="shared" si="281"/>
        <v>-33650.742038239347</v>
      </c>
      <c r="U710" s="91">
        <f t="shared" si="281"/>
        <v>-39536.078689960792</v>
      </c>
      <c r="V710" s="91">
        <f t="shared" si="281"/>
        <v>16341.87302378094</v>
      </c>
      <c r="W710" s="91">
        <f>SUM(G710:V710)</f>
        <v>164155654.44491804</v>
      </c>
      <c r="X710" s="87" t="str">
        <f>IF(ABS(F710-W710)&lt;0.01,"ok","err")</f>
        <v>ok</v>
      </c>
      <c r="Y710" s="91" t="str">
        <f>IF(X710="err",W710-F710,"")</f>
        <v/>
      </c>
    </row>
    <row r="711" spans="1:25" ht="13.5" customHeight="1" x14ac:dyDescent="0.25"/>
    <row r="713" spans="1:25" ht="12" customHeight="1" x14ac:dyDescent="0.25">
      <c r="A713" s="288" t="s">
        <v>1487</v>
      </c>
    </row>
    <row r="715" spans="1:25" ht="12" customHeight="1" x14ac:dyDescent="0.25">
      <c r="A715" s="288" t="s">
        <v>411</v>
      </c>
    </row>
    <row r="716" spans="1:25" ht="12" hidden="1" customHeight="1" x14ac:dyDescent="0.25"/>
    <row r="717" spans="1:25" ht="12" hidden="1" customHeight="1" x14ac:dyDescent="0.25">
      <c r="A717" s="86" t="s">
        <v>498</v>
      </c>
      <c r="F717" s="91">
        <f t="shared" ref="F717:V717" si="282">F669</f>
        <v>1586186238.4421144</v>
      </c>
      <c r="G717" s="91">
        <f t="shared" si="282"/>
        <v>633400014.8569392</v>
      </c>
      <c r="H717" s="91">
        <f t="shared" si="282"/>
        <v>229949159.9130367</v>
      </c>
      <c r="I717" s="91">
        <f t="shared" si="282"/>
        <v>12341222.890285712</v>
      </c>
      <c r="J717" s="91">
        <f t="shared" si="282"/>
        <v>174079626.8189258</v>
      </c>
      <c r="K717" s="91">
        <f t="shared" si="282"/>
        <v>9618615.2518069074</v>
      </c>
      <c r="L717" s="91">
        <f t="shared" si="282"/>
        <v>137919297.65202624</v>
      </c>
      <c r="M717" s="91">
        <f t="shared" si="282"/>
        <v>255962115.89645705</v>
      </c>
      <c r="N717" s="91">
        <f t="shared" si="282"/>
        <v>81116611.522509634</v>
      </c>
      <c r="O717" s="91">
        <f t="shared" si="282"/>
        <v>20036620.046286609</v>
      </c>
      <c r="P717" s="91">
        <f t="shared" si="282"/>
        <v>30869091.598854687</v>
      </c>
      <c r="Q717" s="91">
        <f t="shared" si="282"/>
        <v>316350.95104675705</v>
      </c>
      <c r="R717" s="91">
        <f t="shared" si="282"/>
        <v>274796.40865158051</v>
      </c>
      <c r="S717" s="91">
        <f t="shared" si="282"/>
        <v>95109.026991814608</v>
      </c>
      <c r="T717" s="91">
        <f t="shared" si="282"/>
        <v>6746.4882960847026</v>
      </c>
      <c r="U717" s="91">
        <f t="shared" si="282"/>
        <v>162504.0000000002</v>
      </c>
      <c r="V717" s="91">
        <f t="shared" si="282"/>
        <v>38355.120000000003</v>
      </c>
      <c r="W717" s="91">
        <f>SUM(G717:V717)</f>
        <v>1586186238.4421146</v>
      </c>
      <c r="X717" s="87" t="str">
        <f>IF(ABS(F717-W717)&lt;0.01,"ok","err")</f>
        <v>ok</v>
      </c>
      <c r="Y717" s="91" t="str">
        <f>IF(X717="err",W717-F717,"")</f>
        <v/>
      </c>
    </row>
    <row r="718" spans="1:25" ht="12" hidden="1" customHeight="1" x14ac:dyDescent="0.25">
      <c r="F718" s="91"/>
      <c r="G718" s="91"/>
      <c r="H718" s="91"/>
      <c r="I718" s="91"/>
      <c r="J718" s="91"/>
      <c r="K718" s="91"/>
      <c r="L718" s="91"/>
      <c r="M718" s="91"/>
      <c r="N718" s="91"/>
      <c r="O718" s="91"/>
      <c r="P718" s="91"/>
      <c r="Q718" s="91"/>
      <c r="R718" s="91"/>
      <c r="S718" s="91"/>
      <c r="T718" s="91"/>
      <c r="U718" s="91"/>
      <c r="V718" s="91"/>
      <c r="X718" s="87"/>
      <c r="Y718" s="91"/>
    </row>
    <row r="719" spans="1:25" ht="12" hidden="1" customHeight="1" x14ac:dyDescent="0.25">
      <c r="A719" s="86" t="s">
        <v>499</v>
      </c>
      <c r="F719" s="91"/>
      <c r="G719" s="91"/>
      <c r="H719" s="91"/>
      <c r="I719" s="91"/>
      <c r="J719" s="91"/>
      <c r="K719" s="91"/>
      <c r="L719" s="91"/>
      <c r="M719" s="91"/>
      <c r="N719" s="91"/>
      <c r="O719" s="91"/>
      <c r="P719" s="91"/>
      <c r="Q719" s="91"/>
      <c r="R719" s="91"/>
      <c r="S719" s="91"/>
      <c r="T719" s="91"/>
      <c r="U719" s="91"/>
      <c r="V719" s="91"/>
      <c r="X719" s="87"/>
    </row>
    <row r="720" spans="1:25" ht="12" hidden="1" customHeight="1" x14ac:dyDescent="0.25">
      <c r="B720" s="86" t="s">
        <v>2173</v>
      </c>
      <c r="F720" s="195"/>
      <c r="G720" s="89"/>
      <c r="H720" s="89"/>
      <c r="I720" s="89"/>
      <c r="J720" s="89"/>
      <c r="K720" s="89"/>
      <c r="L720" s="89"/>
      <c r="M720" s="89"/>
      <c r="N720" s="89"/>
      <c r="O720" s="89"/>
      <c r="P720" s="89"/>
      <c r="Q720" s="89"/>
      <c r="R720" s="89"/>
      <c r="S720" s="89"/>
      <c r="T720" s="89"/>
      <c r="U720" s="89"/>
      <c r="V720" s="91">
        <f>SUM(G720:U720)</f>
        <v>0</v>
      </c>
      <c r="X720" s="87" t="str">
        <f>IF(ABS(F720-V720)&lt;0.01,"ok","err")</f>
        <v>ok</v>
      </c>
      <c r="Y720" s="91" t="str">
        <f>IF(X720="err",V720-F720,"")</f>
        <v/>
      </c>
    </row>
    <row r="721" spans="1:25" ht="12" hidden="1" customHeight="1" x14ac:dyDescent="0.25">
      <c r="B721" s="86" t="s">
        <v>2176</v>
      </c>
      <c r="F721" s="195"/>
      <c r="G721" s="89"/>
      <c r="H721" s="89"/>
      <c r="I721" s="89"/>
      <c r="J721" s="89"/>
      <c r="K721" s="89"/>
      <c r="L721" s="89"/>
      <c r="M721" s="89"/>
      <c r="N721" s="89"/>
      <c r="O721" s="89"/>
      <c r="P721" s="89"/>
      <c r="Q721" s="89"/>
      <c r="R721" s="89"/>
      <c r="S721" s="89"/>
      <c r="T721" s="89"/>
      <c r="U721" s="89"/>
      <c r="V721" s="91">
        <f>SUM(G721:U721)</f>
        <v>0</v>
      </c>
      <c r="X721" s="87" t="str">
        <f>IF(ABS(F721-V721)&lt;0.01,"ok","err")</f>
        <v>ok</v>
      </c>
      <c r="Y721" s="91" t="str">
        <f>IF(X721="err",V721-F721,"")</f>
        <v/>
      </c>
    </row>
    <row r="722" spans="1:25" ht="12" hidden="1" customHeight="1" x14ac:dyDescent="0.25">
      <c r="B722" s="86" t="s">
        <v>2174</v>
      </c>
      <c r="F722" s="195"/>
      <c r="G722" s="89"/>
      <c r="H722" s="89"/>
      <c r="I722" s="89"/>
      <c r="J722" s="89"/>
      <c r="K722" s="89"/>
      <c r="L722" s="89"/>
      <c r="M722" s="89"/>
      <c r="N722" s="89"/>
      <c r="O722" s="89"/>
      <c r="P722" s="89"/>
      <c r="Q722" s="89"/>
      <c r="R722" s="89"/>
      <c r="S722" s="89"/>
      <c r="T722" s="89"/>
      <c r="U722" s="89"/>
      <c r="V722" s="91">
        <f>SUM(G722:U722)</f>
        <v>0</v>
      </c>
      <c r="X722" s="87" t="str">
        <f>IF(ABS(F722-V722)&lt;0.01,"ok","err")</f>
        <v>ok</v>
      </c>
      <c r="Y722" s="91" t="str">
        <f>IF(X722="err",V722-F722,"")</f>
        <v/>
      </c>
    </row>
    <row r="723" spans="1:25" ht="12" hidden="1" customHeight="1" x14ac:dyDescent="0.25">
      <c r="B723" s="86" t="s">
        <v>2175</v>
      </c>
      <c r="F723" s="195"/>
      <c r="G723" s="89"/>
      <c r="H723" s="89"/>
      <c r="I723" s="89"/>
      <c r="J723" s="89"/>
      <c r="K723" s="89"/>
      <c r="L723" s="89"/>
      <c r="M723" s="89"/>
      <c r="N723" s="89"/>
      <c r="O723" s="89"/>
      <c r="P723" s="89"/>
      <c r="Q723" s="89"/>
      <c r="R723" s="89"/>
      <c r="S723" s="89"/>
      <c r="T723" s="89"/>
      <c r="U723" s="89"/>
      <c r="V723" s="91">
        <f>SUM(G723:U723)</f>
        <v>0</v>
      </c>
      <c r="X723" s="87" t="str">
        <f>IF(ABS(F723-V723)&lt;0.01,"ok","err")</f>
        <v>ok</v>
      </c>
      <c r="Y723" s="91" t="str">
        <f>IF(X723="err",V723-F723,"")</f>
        <v/>
      </c>
    </row>
    <row r="725" spans="1:25" ht="12" customHeight="1" x14ac:dyDescent="0.25">
      <c r="A725" s="86" t="s">
        <v>500</v>
      </c>
      <c r="E725" s="94"/>
      <c r="F725" s="91">
        <f t="shared" ref="F725:V725" si="283">SUM(F717:F723)</f>
        <v>1586186238.4421144</v>
      </c>
      <c r="G725" s="91">
        <f t="shared" si="283"/>
        <v>633400014.8569392</v>
      </c>
      <c r="H725" s="91">
        <f t="shared" si="283"/>
        <v>229949159.9130367</v>
      </c>
      <c r="I725" s="91">
        <f t="shared" si="283"/>
        <v>12341222.890285712</v>
      </c>
      <c r="J725" s="91">
        <f t="shared" si="283"/>
        <v>174079626.8189258</v>
      </c>
      <c r="K725" s="91">
        <f t="shared" si="283"/>
        <v>9618615.2518069074</v>
      </c>
      <c r="L725" s="91">
        <f t="shared" si="283"/>
        <v>137919297.65202624</v>
      </c>
      <c r="M725" s="91">
        <f t="shared" si="283"/>
        <v>255962115.89645705</v>
      </c>
      <c r="N725" s="91">
        <f t="shared" si="283"/>
        <v>81116611.522509634</v>
      </c>
      <c r="O725" s="91">
        <f t="shared" si="283"/>
        <v>20036620.046286609</v>
      </c>
      <c r="P725" s="91">
        <f t="shared" si="283"/>
        <v>30869091.598854687</v>
      </c>
      <c r="Q725" s="91">
        <f t="shared" si="283"/>
        <v>316350.95104675705</v>
      </c>
      <c r="R725" s="91">
        <f t="shared" si="283"/>
        <v>274796.40865158051</v>
      </c>
      <c r="S725" s="91">
        <f t="shared" si="283"/>
        <v>95109.026991814608</v>
      </c>
      <c r="T725" s="91">
        <f t="shared" si="283"/>
        <v>6746.4882960847026</v>
      </c>
      <c r="U725" s="91">
        <f t="shared" si="283"/>
        <v>162504.0000000002</v>
      </c>
      <c r="V725" s="91">
        <f t="shared" si="283"/>
        <v>38355.120000000003</v>
      </c>
      <c r="W725" s="91">
        <f>SUM(G725:V725)</f>
        <v>1586186238.4421146</v>
      </c>
      <c r="X725" s="87" t="str">
        <f>IF(ABS(F725-W725)&lt;0.01,"ok","err")</f>
        <v>ok</v>
      </c>
      <c r="Y725" s="91" t="str">
        <f>IF(X725="err",W725-F725,"")</f>
        <v/>
      </c>
    </row>
    <row r="726" spans="1:25" ht="12" customHeight="1" x14ac:dyDescent="0.25">
      <c r="E726" s="91"/>
      <c r="F726" s="94"/>
    </row>
    <row r="728" spans="1:25" ht="12" customHeight="1" x14ac:dyDescent="0.25">
      <c r="A728" s="288" t="s">
        <v>415</v>
      </c>
      <c r="F728" s="91"/>
    </row>
    <row r="730" spans="1:25" ht="12" customHeight="1" x14ac:dyDescent="0.25">
      <c r="A730" s="96" t="s">
        <v>416</v>
      </c>
      <c r="F730" s="91">
        <f t="shared" ref="F730:V730" si="284">F231</f>
        <v>892295073</v>
      </c>
      <c r="G730" s="91">
        <f t="shared" si="284"/>
        <v>369164546.92586994</v>
      </c>
      <c r="H730" s="91">
        <f t="shared" si="284"/>
        <v>102781777.22337073</v>
      </c>
      <c r="I730" s="91">
        <f t="shared" si="284"/>
        <v>6577502.7185469875</v>
      </c>
      <c r="J730" s="91">
        <f t="shared" si="284"/>
        <v>80222463.340453222</v>
      </c>
      <c r="K730" s="91">
        <f t="shared" si="284"/>
        <v>3699084.3300284715</v>
      </c>
      <c r="L730" s="91">
        <f t="shared" si="284"/>
        <v>80149960.788502932</v>
      </c>
      <c r="M730" s="91">
        <f t="shared" si="284"/>
        <v>161373637.99331099</v>
      </c>
      <c r="N730" s="91">
        <f t="shared" si="284"/>
        <v>54272684.636613227</v>
      </c>
      <c r="O730" s="91">
        <f t="shared" si="284"/>
        <v>23902778.241301723</v>
      </c>
      <c r="P730" s="91">
        <f t="shared" si="284"/>
        <v>9699479.5612257775</v>
      </c>
      <c r="Q730" s="91">
        <f t="shared" si="284"/>
        <v>167481.78190691656</v>
      </c>
      <c r="R730" s="91">
        <f t="shared" si="284"/>
        <v>140706.62510238052</v>
      </c>
      <c r="S730" s="91">
        <f t="shared" si="284"/>
        <v>22990.74337246405</v>
      </c>
      <c r="T730" s="91">
        <f t="shared" si="284"/>
        <v>21464.090394333354</v>
      </c>
      <c r="U730" s="91">
        <f t="shared" si="284"/>
        <v>91514</v>
      </c>
      <c r="V730" s="91">
        <f t="shared" si="284"/>
        <v>7000</v>
      </c>
      <c r="W730" s="91">
        <f>SUM(G730:V730)</f>
        <v>892295073.00000012</v>
      </c>
      <c r="X730" s="87" t="str">
        <f>IF(ABS(F730-W730)&lt;0.01,"ok","err")</f>
        <v>ok</v>
      </c>
      <c r="Y730" s="91" t="str">
        <f>IF(X730="err",W730-F730,"")</f>
        <v/>
      </c>
    </row>
    <row r="731" spans="1:25" ht="12" customHeight="1" x14ac:dyDescent="0.25">
      <c r="A731" s="96" t="s">
        <v>417</v>
      </c>
      <c r="F731" s="90">
        <f t="shared" ref="F731:V731" si="285">F345</f>
        <v>370531144.99999994</v>
      </c>
      <c r="G731" s="90">
        <f t="shared" si="285"/>
        <v>164107492.39296746</v>
      </c>
      <c r="H731" s="90">
        <f t="shared" si="285"/>
        <v>42247416.737436824</v>
      </c>
      <c r="I731" s="90">
        <f t="shared" si="285"/>
        <v>2713112.7358965459</v>
      </c>
      <c r="J731" s="90">
        <f t="shared" si="285"/>
        <v>35446327.530531526</v>
      </c>
      <c r="K731" s="90">
        <f t="shared" si="285"/>
        <v>1534788.6010337744</v>
      </c>
      <c r="L731" s="90">
        <f t="shared" si="285"/>
        <v>33401355.649647601</v>
      </c>
      <c r="M731" s="90">
        <f t="shared" si="285"/>
        <v>59608942.280417196</v>
      </c>
      <c r="N731" s="90">
        <f t="shared" si="285"/>
        <v>18833076.783056621</v>
      </c>
      <c r="O731" s="90">
        <f t="shared" si="285"/>
        <v>8245657.7878760733</v>
      </c>
      <c r="P731" s="90">
        <f t="shared" si="285"/>
        <v>4191494.810961517</v>
      </c>
      <c r="Q731" s="90">
        <f t="shared" si="285"/>
        <v>15849.404504346336</v>
      </c>
      <c r="R731" s="90">
        <f t="shared" si="285"/>
        <v>39220.868739987833</v>
      </c>
      <c r="S731" s="90">
        <f t="shared" si="285"/>
        <v>8923.8905149718503</v>
      </c>
      <c r="T731" s="90">
        <f t="shared" si="285"/>
        <v>16554.533612224968</v>
      </c>
      <c r="U731" s="90">
        <f t="shared" si="285"/>
        <v>106487.13</v>
      </c>
      <c r="V731" s="90">
        <f t="shared" si="285"/>
        <v>14443.86</v>
      </c>
      <c r="W731" s="90">
        <f>SUM(G731:V731)</f>
        <v>370531144.99719673</v>
      </c>
      <c r="X731" s="87" t="str">
        <f>IF(ABS(F731-W731)&lt;0.01,"ok","err")</f>
        <v>ok</v>
      </c>
      <c r="Y731" s="91" t="str">
        <f>IF(X731="err",W731-F731,"")</f>
        <v/>
      </c>
    </row>
    <row r="732" spans="1:25" ht="12" customHeight="1" x14ac:dyDescent="0.25">
      <c r="A732" s="96" t="s">
        <v>261</v>
      </c>
      <c r="F732" s="90">
        <f t="shared" ref="F732:V732" si="286">F402</f>
        <v>0</v>
      </c>
      <c r="G732" s="90">
        <f t="shared" si="286"/>
        <v>0</v>
      </c>
      <c r="H732" s="90">
        <f t="shared" si="286"/>
        <v>0</v>
      </c>
      <c r="I732" s="90">
        <f t="shared" si="286"/>
        <v>0</v>
      </c>
      <c r="J732" s="90">
        <f t="shared" si="286"/>
        <v>0</v>
      </c>
      <c r="K732" s="90">
        <f t="shared" si="286"/>
        <v>0</v>
      </c>
      <c r="L732" s="90">
        <f t="shared" si="286"/>
        <v>0</v>
      </c>
      <c r="M732" s="90">
        <f t="shared" si="286"/>
        <v>0</v>
      </c>
      <c r="N732" s="90">
        <f t="shared" si="286"/>
        <v>0</v>
      </c>
      <c r="O732" s="90">
        <f t="shared" si="286"/>
        <v>0</v>
      </c>
      <c r="P732" s="90">
        <f t="shared" si="286"/>
        <v>0</v>
      </c>
      <c r="Q732" s="90">
        <f t="shared" si="286"/>
        <v>0</v>
      </c>
      <c r="R732" s="90">
        <f t="shared" si="286"/>
        <v>0</v>
      </c>
      <c r="S732" s="90">
        <f t="shared" si="286"/>
        <v>0</v>
      </c>
      <c r="T732" s="90">
        <f t="shared" si="286"/>
        <v>0</v>
      </c>
      <c r="U732" s="90">
        <f t="shared" si="286"/>
        <v>0</v>
      </c>
      <c r="V732" s="90">
        <f t="shared" si="286"/>
        <v>0</v>
      </c>
      <c r="W732" s="90">
        <f t="shared" ref="W732:W738" si="287">SUM(G732:V732)</f>
        <v>0</v>
      </c>
      <c r="X732" s="87" t="str">
        <f t="shared" ref="X732:X738" si="288">IF(ABS(F732-W732)&lt;0.01,"ok","err")</f>
        <v>ok</v>
      </c>
      <c r="Y732" s="91" t="str">
        <f t="shared" ref="Y732:Y738" si="289">IF(X732="err",W732-F732,"")</f>
        <v/>
      </c>
    </row>
    <row r="733" spans="1:25" ht="12" customHeight="1" x14ac:dyDescent="0.25">
      <c r="A733" s="96" t="s">
        <v>418</v>
      </c>
      <c r="E733" s="86" t="s">
        <v>399</v>
      </c>
      <c r="F733" s="90">
        <f t="shared" ref="F733:V733" si="290">F677</f>
        <v>35914758</v>
      </c>
      <c r="G733" s="90">
        <f t="shared" si="290"/>
        <v>16868682.952915583</v>
      </c>
      <c r="H733" s="90">
        <f t="shared" si="290"/>
        <v>4199817.9859498963</v>
      </c>
      <c r="I733" s="90">
        <f t="shared" si="290"/>
        <v>264808.38924871455</v>
      </c>
      <c r="J733" s="90">
        <f t="shared" si="290"/>
        <v>3213442.7734203432</v>
      </c>
      <c r="K733" s="90">
        <f t="shared" si="290"/>
        <v>138745.61892971979</v>
      </c>
      <c r="L733" s="90">
        <f t="shared" si="290"/>
        <v>2976138.1198612959</v>
      </c>
      <c r="M733" s="90">
        <f t="shared" si="290"/>
        <v>5193976.6099409787</v>
      </c>
      <c r="N733" s="90">
        <f t="shared" si="290"/>
        <v>1584815.0590666351</v>
      </c>
      <c r="O733" s="90">
        <f t="shared" si="290"/>
        <v>721230.19103821798</v>
      </c>
      <c r="P733" s="90">
        <f t="shared" si="290"/>
        <v>738731.39794844552</v>
      </c>
      <c r="Q733" s="90">
        <f t="shared" si="290"/>
        <v>2380.6625300678843</v>
      </c>
      <c r="R733" s="90">
        <f t="shared" si="290"/>
        <v>4172.7251935764798</v>
      </c>
      <c r="S733" s="90">
        <f t="shared" si="290"/>
        <v>1131.5190227565738</v>
      </c>
      <c r="T733" s="90">
        <f t="shared" si="290"/>
        <v>2075.659267581515</v>
      </c>
      <c r="U733" s="90">
        <f t="shared" si="290"/>
        <v>4038.9486899610001</v>
      </c>
      <c r="V733" s="90">
        <f t="shared" si="290"/>
        <v>569.38697621906249</v>
      </c>
      <c r="W733" s="90">
        <f t="shared" si="287"/>
        <v>35914757.999999993</v>
      </c>
      <c r="X733" s="87" t="str">
        <f t="shared" si="288"/>
        <v>ok</v>
      </c>
      <c r="Y733" s="91" t="str">
        <f t="shared" si="289"/>
        <v/>
      </c>
    </row>
    <row r="734" spans="1:25" ht="12" customHeight="1" x14ac:dyDescent="0.25">
      <c r="A734" s="96" t="s">
        <v>419</v>
      </c>
      <c r="F734" s="90">
        <f t="shared" ref="F734:V734" si="291">F516</f>
        <v>13649179.000000002</v>
      </c>
      <c r="G734" s="90">
        <f t="shared" si="291"/>
        <v>6412012.4339161385</v>
      </c>
      <c r="H734" s="90">
        <f t="shared" si="291"/>
        <v>1596492.2638081999</v>
      </c>
      <c r="I734" s="90">
        <f t="shared" si="291"/>
        <v>100654.9517082745</v>
      </c>
      <c r="J734" s="90">
        <f t="shared" si="291"/>
        <v>1221486.916642416</v>
      </c>
      <c r="K734" s="90">
        <f t="shared" si="291"/>
        <v>52748.506046576644</v>
      </c>
      <c r="L734" s="90">
        <f t="shared" si="291"/>
        <v>1131246.5845915331</v>
      </c>
      <c r="M734" s="90">
        <f t="shared" si="291"/>
        <v>1974276.0810385898</v>
      </c>
      <c r="N734" s="90">
        <f t="shared" si="291"/>
        <v>602412.39223575592</v>
      </c>
      <c r="O734" s="90">
        <f t="shared" si="291"/>
        <v>274142.47301164339</v>
      </c>
      <c r="P734" s="90">
        <f t="shared" si="291"/>
        <v>280750.52357849095</v>
      </c>
      <c r="Q734" s="90">
        <f t="shared" si="291"/>
        <v>904.87746400844173</v>
      </c>
      <c r="R734" s="90">
        <f t="shared" si="291"/>
        <v>1587.3572482853897</v>
      </c>
      <c r="S734" s="90">
        <f t="shared" si="291"/>
        <v>430.0999656693844</v>
      </c>
      <c r="T734" s="90">
        <f t="shared" si="291"/>
        <v>33.538744416951054</v>
      </c>
      <c r="U734" s="90">
        <f t="shared" si="291"/>
        <v>0</v>
      </c>
      <c r="V734" s="90">
        <f t="shared" si="291"/>
        <v>0</v>
      </c>
      <c r="W734" s="90">
        <f t="shared" si="287"/>
        <v>13649178.999999998</v>
      </c>
      <c r="X734" s="87" t="str">
        <f t="shared" si="288"/>
        <v>ok</v>
      </c>
      <c r="Y734" s="91" t="str">
        <f t="shared" si="289"/>
        <v/>
      </c>
    </row>
    <row r="735" spans="1:25" ht="12" customHeight="1" x14ac:dyDescent="0.25">
      <c r="A735" s="86" t="s">
        <v>899</v>
      </c>
      <c r="F735" s="90">
        <f t="shared" ref="F735:V735" si="292">F679</f>
        <v>0</v>
      </c>
      <c r="G735" s="90">
        <f t="shared" si="292"/>
        <v>0</v>
      </c>
      <c r="H735" s="90">
        <f t="shared" si="292"/>
        <v>0</v>
      </c>
      <c r="I735" s="90">
        <f t="shared" si="292"/>
        <v>0</v>
      </c>
      <c r="J735" s="90">
        <f t="shared" si="292"/>
        <v>0</v>
      </c>
      <c r="K735" s="90">
        <f t="shared" si="292"/>
        <v>0</v>
      </c>
      <c r="L735" s="90">
        <f t="shared" si="292"/>
        <v>0</v>
      </c>
      <c r="M735" s="90">
        <f t="shared" si="292"/>
        <v>0</v>
      </c>
      <c r="N735" s="90">
        <f t="shared" si="292"/>
        <v>0</v>
      </c>
      <c r="O735" s="90">
        <f t="shared" si="292"/>
        <v>0</v>
      </c>
      <c r="P735" s="90">
        <f t="shared" si="292"/>
        <v>0</v>
      </c>
      <c r="Q735" s="90">
        <f t="shared" si="292"/>
        <v>0</v>
      </c>
      <c r="R735" s="90">
        <f t="shared" si="292"/>
        <v>0</v>
      </c>
      <c r="S735" s="90">
        <f t="shared" si="292"/>
        <v>0</v>
      </c>
      <c r="T735" s="90">
        <f t="shared" si="292"/>
        <v>0</v>
      </c>
      <c r="U735" s="90">
        <f t="shared" si="292"/>
        <v>0</v>
      </c>
      <c r="V735" s="90">
        <f t="shared" si="292"/>
        <v>0</v>
      </c>
      <c r="W735" s="90">
        <f t="shared" si="287"/>
        <v>0</v>
      </c>
      <c r="X735" s="87" t="str">
        <f t="shared" si="288"/>
        <v>ok</v>
      </c>
      <c r="Y735" s="91" t="str">
        <f t="shared" si="289"/>
        <v/>
      </c>
    </row>
    <row r="736" spans="1:25" ht="12" customHeight="1" x14ac:dyDescent="0.25">
      <c r="A736" s="96" t="s">
        <v>1485</v>
      </c>
      <c r="E736" s="86" t="s">
        <v>1134</v>
      </c>
      <c r="F736" s="90">
        <f>F680</f>
        <v>23821552.705033928</v>
      </c>
      <c r="G736" s="89">
        <f t="shared" ref="G736:V736" si="293">IF(VLOOKUP($E736,$D$5:$AJ$1019,3,)=0,0,(VLOOKUP($E736,$D$5:$AJ$1019,G$1,)/VLOOKUP($E736,$D$5:$AJ$1019,3,))*$F736)</f>
        <v>3677403.5144136846</v>
      </c>
      <c r="H736" s="89">
        <f t="shared" si="293"/>
        <v>9621084.7454639859</v>
      </c>
      <c r="I736" s="89">
        <f t="shared" si="293"/>
        <v>272325.18839188083</v>
      </c>
      <c r="J736" s="89">
        <f t="shared" si="293"/>
        <v>6408888.3105911389</v>
      </c>
      <c r="K736" s="89">
        <f t="shared" si="293"/>
        <v>547018.14487157715</v>
      </c>
      <c r="L736" s="89">
        <f t="shared" si="293"/>
        <v>1621460.7143718817</v>
      </c>
      <c r="M736" s="89">
        <f t="shared" si="293"/>
        <v>1734482.8799088199</v>
      </c>
      <c r="N736" s="89">
        <f t="shared" si="293"/>
        <v>142880.14843023021</v>
      </c>
      <c r="O736" s="89">
        <f t="shared" si="293"/>
        <v>-2221619.7712173951</v>
      </c>
      <c r="P736" s="89">
        <f t="shared" si="293"/>
        <v>1988582.9914433693</v>
      </c>
      <c r="Q736" s="89">
        <f t="shared" si="293"/>
        <v>17771.669616268839</v>
      </c>
      <c r="R736" s="89">
        <f t="shared" si="293"/>
        <v>11080.738520745181</v>
      </c>
      <c r="S736" s="89">
        <f t="shared" si="293"/>
        <v>8442.5215499199621</v>
      </c>
      <c r="T736" s="89">
        <f t="shared" si="293"/>
        <v>-4883.2489368198367</v>
      </c>
      <c r="U736" s="89">
        <f t="shared" si="293"/>
        <v>-5737.3033263095867</v>
      </c>
      <c r="V736" s="89">
        <f t="shared" si="293"/>
        <v>2371.4613478163396</v>
      </c>
      <c r="W736" s="90">
        <f t="shared" si="287"/>
        <v>23821552.705440797</v>
      </c>
      <c r="X736" s="87" t="str">
        <f t="shared" si="288"/>
        <v>ok</v>
      </c>
      <c r="Y736" s="91" t="str">
        <f t="shared" si="289"/>
        <v/>
      </c>
    </row>
    <row r="737" spans="1:32" ht="12" customHeight="1" x14ac:dyDescent="0.25">
      <c r="A737" s="96" t="s">
        <v>909</v>
      </c>
      <c r="F737" s="90">
        <f>F653</f>
        <v>-18634070.13000004</v>
      </c>
      <c r="G737" s="90">
        <v>0</v>
      </c>
      <c r="H737" s="90">
        <v>0</v>
      </c>
      <c r="I737" s="90">
        <v>0</v>
      </c>
      <c r="J737" s="90">
        <v>0</v>
      </c>
      <c r="K737" s="90">
        <v>0</v>
      </c>
      <c r="L737" s="90">
        <v>0</v>
      </c>
      <c r="M737" s="90">
        <v>-1032456.07</v>
      </c>
      <c r="N737" s="90">
        <v>-3386120.19</v>
      </c>
      <c r="O737" s="90">
        <v>-14215493.866000002</v>
      </c>
      <c r="P737" s="90">
        <v>0</v>
      </c>
      <c r="Q737" s="90">
        <v>0</v>
      </c>
      <c r="R737" s="90">
        <v>0</v>
      </c>
      <c r="S737" s="90">
        <v>0</v>
      </c>
      <c r="T737" s="90">
        <v>0</v>
      </c>
      <c r="U737" s="90">
        <v>0</v>
      </c>
      <c r="V737" s="90">
        <v>0</v>
      </c>
      <c r="W737" s="90">
        <f t="shared" si="287"/>
        <v>-18634070.126000002</v>
      </c>
      <c r="X737" s="87" t="str">
        <f t="shared" si="288"/>
        <v>ok</v>
      </c>
      <c r="Y737" s="91" t="str">
        <f t="shared" si="289"/>
        <v/>
      </c>
    </row>
    <row r="738" spans="1:32" ht="12" hidden="1" customHeight="1" x14ac:dyDescent="0.25">
      <c r="A738" s="96" t="s">
        <v>554</v>
      </c>
      <c r="E738" s="86" t="s">
        <v>556</v>
      </c>
      <c r="F738" s="89">
        <f>-F737</f>
        <v>18634070.13000004</v>
      </c>
      <c r="G738" s="89">
        <f t="shared" ref="G738:V738" si="294">IF(VLOOKUP($E738,$D$5:$AJ$1059,3,)=0,0,(VLOOKUP($E738,$D$5:$AJ$1059,G$1,)/VLOOKUP($E738,$D$5:$AJ$1059,3,))*$F738)</f>
        <v>7647273.9753846247</v>
      </c>
      <c r="H738" s="89">
        <f t="shared" si="294"/>
        <v>2059750.3489667387</v>
      </c>
      <c r="I738" s="89">
        <f t="shared" si="294"/>
        <v>132168.55343984248</v>
      </c>
      <c r="J738" s="89">
        <f t="shared" si="294"/>
        <v>1920799.6488013347</v>
      </c>
      <c r="K738" s="89">
        <f t="shared" si="294"/>
        <v>83449.489610537188</v>
      </c>
      <c r="L738" s="89">
        <f t="shared" si="294"/>
        <v>1847283.9047427254</v>
      </c>
      <c r="M738" s="89">
        <f t="shared" si="294"/>
        <v>3381657.6328754495</v>
      </c>
      <c r="N738" s="89">
        <f t="shared" si="294"/>
        <v>1100780.4669023261</v>
      </c>
      <c r="O738" s="89">
        <f t="shared" si="294"/>
        <v>455831.67678862234</v>
      </c>
      <c r="P738" s="89">
        <f t="shared" si="294"/>
        <v>2971.137238308334</v>
      </c>
      <c r="Q738" s="89">
        <f t="shared" si="294"/>
        <v>108.09911826537508</v>
      </c>
      <c r="R738" s="89">
        <f t="shared" si="294"/>
        <v>1767.6671144347658</v>
      </c>
      <c r="S738" s="89">
        <f t="shared" si="294"/>
        <v>227.5290168285153</v>
      </c>
      <c r="T738" s="89">
        <f t="shared" si="294"/>
        <v>0</v>
      </c>
      <c r="U738" s="89">
        <f t="shared" si="294"/>
        <v>0</v>
      </c>
      <c r="V738" s="89">
        <f t="shared" si="294"/>
        <v>0</v>
      </c>
      <c r="W738" s="90">
        <f t="shared" si="287"/>
        <v>18634070.13000004</v>
      </c>
      <c r="X738" s="87" t="str">
        <f t="shared" si="288"/>
        <v>ok</v>
      </c>
      <c r="Y738" s="91" t="str">
        <f t="shared" si="289"/>
        <v/>
      </c>
    </row>
    <row r="739" spans="1:32" ht="12" customHeight="1" x14ac:dyDescent="0.25">
      <c r="A739" s="96"/>
      <c r="B739" s="91"/>
      <c r="D739" s="94"/>
      <c r="F739" s="90"/>
      <c r="G739" s="90"/>
      <c r="H739" s="90"/>
      <c r="I739" s="90"/>
      <c r="J739" s="90"/>
      <c r="K739" s="90"/>
      <c r="L739" s="90"/>
      <c r="M739" s="90"/>
      <c r="N739" s="90"/>
      <c r="O739" s="90"/>
      <c r="P739" s="90"/>
      <c r="Q739" s="90"/>
      <c r="R739" s="90"/>
      <c r="S739" s="90"/>
      <c r="T739" s="90"/>
      <c r="U739" s="90"/>
      <c r="V739" s="90"/>
      <c r="X739" s="87"/>
    </row>
    <row r="740" spans="1:32" ht="12" hidden="1" customHeight="1" x14ac:dyDescent="0.25">
      <c r="A740" s="86" t="s">
        <v>1486</v>
      </c>
      <c r="D740" s="94"/>
      <c r="G740" s="94"/>
      <c r="V740" s="91"/>
      <c r="X740" s="87"/>
    </row>
    <row r="741" spans="1:32" ht="12" hidden="1" customHeight="1" x14ac:dyDescent="0.25">
      <c r="B741" s="86" t="s">
        <v>1789</v>
      </c>
      <c r="E741" s="86" t="s">
        <v>1134</v>
      </c>
      <c r="F741" s="90"/>
      <c r="G741" s="90">
        <f t="shared" ref="G741:V743" si="295">IF(VLOOKUP($E741,$D$5:$AJ$1004,3,)=0,0,(VLOOKUP($E741,$D$5:$AJ$1004,G$1,)/VLOOKUP($E741,$D$5:$AJ$1004,3,))*$F741)</f>
        <v>0</v>
      </c>
      <c r="H741" s="90">
        <f t="shared" si="295"/>
        <v>0</v>
      </c>
      <c r="I741" s="90">
        <f t="shared" si="295"/>
        <v>0</v>
      </c>
      <c r="J741" s="90">
        <f t="shared" si="295"/>
        <v>0</v>
      </c>
      <c r="K741" s="90">
        <f t="shared" si="295"/>
        <v>0</v>
      </c>
      <c r="L741" s="90">
        <f t="shared" si="295"/>
        <v>0</v>
      </c>
      <c r="M741" s="90">
        <f t="shared" si="295"/>
        <v>0</v>
      </c>
      <c r="N741" s="90">
        <f t="shared" si="295"/>
        <v>0</v>
      </c>
      <c r="O741" s="90">
        <f t="shared" si="295"/>
        <v>0</v>
      </c>
      <c r="P741" s="90">
        <f t="shared" si="295"/>
        <v>0</v>
      </c>
      <c r="Q741" s="90">
        <f t="shared" si="295"/>
        <v>0</v>
      </c>
      <c r="R741" s="90">
        <f t="shared" si="295"/>
        <v>0</v>
      </c>
      <c r="S741" s="90">
        <f t="shared" si="295"/>
        <v>0</v>
      </c>
      <c r="T741" s="90">
        <f t="shared" si="295"/>
        <v>0</v>
      </c>
      <c r="U741" s="90">
        <f t="shared" si="295"/>
        <v>0</v>
      </c>
      <c r="V741" s="90">
        <f t="shared" si="295"/>
        <v>0</v>
      </c>
      <c r="W741" s="90">
        <f>SUM(G741:V741)</f>
        <v>0</v>
      </c>
      <c r="X741" s="87" t="str">
        <f>IF(ABS(F741-W741)&lt;0.01,"ok","err")</f>
        <v>ok</v>
      </c>
      <c r="Y741" s="91" t="str">
        <f>IF(X741="err",W741-F741,"")</f>
        <v/>
      </c>
    </row>
    <row r="742" spans="1:32" ht="12" hidden="1" customHeight="1" x14ac:dyDescent="0.25">
      <c r="B742" s="96" t="s">
        <v>2124</v>
      </c>
      <c r="E742" s="86" t="s">
        <v>1134</v>
      </c>
      <c r="F742" s="90">
        <v>0</v>
      </c>
      <c r="G742" s="90">
        <f t="shared" si="295"/>
        <v>0</v>
      </c>
      <c r="H742" s="90">
        <f t="shared" si="295"/>
        <v>0</v>
      </c>
      <c r="I742" s="90">
        <f t="shared" si="295"/>
        <v>0</v>
      </c>
      <c r="J742" s="90">
        <f t="shared" si="295"/>
        <v>0</v>
      </c>
      <c r="K742" s="90">
        <f t="shared" si="295"/>
        <v>0</v>
      </c>
      <c r="L742" s="90">
        <f t="shared" si="295"/>
        <v>0</v>
      </c>
      <c r="M742" s="90">
        <f t="shared" si="295"/>
        <v>0</v>
      </c>
      <c r="N742" s="90">
        <f t="shared" si="295"/>
        <v>0</v>
      </c>
      <c r="O742" s="90">
        <f t="shared" si="295"/>
        <v>0</v>
      </c>
      <c r="P742" s="90">
        <f t="shared" si="295"/>
        <v>0</v>
      </c>
      <c r="Q742" s="90">
        <f t="shared" si="295"/>
        <v>0</v>
      </c>
      <c r="R742" s="90">
        <f t="shared" si="295"/>
        <v>0</v>
      </c>
      <c r="S742" s="90">
        <f t="shared" si="295"/>
        <v>0</v>
      </c>
      <c r="T742" s="90">
        <f t="shared" si="295"/>
        <v>0</v>
      </c>
      <c r="U742" s="90">
        <f t="shared" si="295"/>
        <v>0</v>
      </c>
      <c r="V742" s="90">
        <f t="shared" si="295"/>
        <v>0</v>
      </c>
      <c r="W742" s="90">
        <f>SUM(G742:V742)</f>
        <v>0</v>
      </c>
      <c r="X742" s="87" t="str">
        <f>IF(ABS(F742-W742)&lt;0.01,"ok","err")</f>
        <v>ok</v>
      </c>
      <c r="Y742" s="91" t="str">
        <f>IF(X742="err",W742-F742,"")</f>
        <v/>
      </c>
    </row>
    <row r="743" spans="1:32" ht="12" hidden="1" customHeight="1" x14ac:dyDescent="0.25">
      <c r="B743" s="86" t="s">
        <v>1788</v>
      </c>
      <c r="E743" s="86" t="s">
        <v>1134</v>
      </c>
      <c r="F743" s="90"/>
      <c r="G743" s="90">
        <f t="shared" si="295"/>
        <v>0</v>
      </c>
      <c r="H743" s="90">
        <f t="shared" si="295"/>
        <v>0</v>
      </c>
      <c r="I743" s="90">
        <f t="shared" si="295"/>
        <v>0</v>
      </c>
      <c r="J743" s="90">
        <f t="shared" si="295"/>
        <v>0</v>
      </c>
      <c r="K743" s="90">
        <f t="shared" si="295"/>
        <v>0</v>
      </c>
      <c r="L743" s="90">
        <f t="shared" si="295"/>
        <v>0</v>
      </c>
      <c r="M743" s="90">
        <f t="shared" si="295"/>
        <v>0</v>
      </c>
      <c r="N743" s="90">
        <f t="shared" si="295"/>
        <v>0</v>
      </c>
      <c r="O743" s="90">
        <f t="shared" si="295"/>
        <v>0</v>
      </c>
      <c r="P743" s="90">
        <f t="shared" si="295"/>
        <v>0</v>
      </c>
      <c r="Q743" s="90">
        <f t="shared" si="295"/>
        <v>0</v>
      </c>
      <c r="R743" s="90">
        <f t="shared" si="295"/>
        <v>0</v>
      </c>
      <c r="S743" s="90">
        <f t="shared" si="295"/>
        <v>0</v>
      </c>
      <c r="T743" s="90">
        <f t="shared" si="295"/>
        <v>0</v>
      </c>
      <c r="U743" s="90">
        <f t="shared" si="295"/>
        <v>0</v>
      </c>
      <c r="V743" s="90">
        <f t="shared" si="295"/>
        <v>0</v>
      </c>
      <c r="W743" s="90">
        <f>SUM(G743:V743)</f>
        <v>0</v>
      </c>
      <c r="X743" s="87" t="str">
        <f>IF(ABS(F743-W743)&lt;0.01,"ok","err")</f>
        <v>ok</v>
      </c>
      <c r="Y743" s="91" t="str">
        <f>IF(X743="err",W743-F743,"")</f>
        <v/>
      </c>
    </row>
    <row r="744" spans="1:32" ht="12" hidden="1" customHeight="1" x14ac:dyDescent="0.25">
      <c r="A744" s="86" t="s">
        <v>908</v>
      </c>
      <c r="F744" s="89">
        <f t="shared" ref="F744:V744" si="296">SUM(F741:F743)</f>
        <v>0</v>
      </c>
      <c r="G744" s="89">
        <f t="shared" si="296"/>
        <v>0</v>
      </c>
      <c r="H744" s="89">
        <f t="shared" si="296"/>
        <v>0</v>
      </c>
      <c r="I744" s="89">
        <f t="shared" si="296"/>
        <v>0</v>
      </c>
      <c r="J744" s="89">
        <f t="shared" si="296"/>
        <v>0</v>
      </c>
      <c r="K744" s="89">
        <f t="shared" si="296"/>
        <v>0</v>
      </c>
      <c r="L744" s="89">
        <f t="shared" si="296"/>
        <v>0</v>
      </c>
      <c r="M744" s="89">
        <f t="shared" si="296"/>
        <v>0</v>
      </c>
      <c r="N744" s="89">
        <f t="shared" si="296"/>
        <v>0</v>
      </c>
      <c r="O744" s="89">
        <f t="shared" si="296"/>
        <v>0</v>
      </c>
      <c r="P744" s="89">
        <f t="shared" si="296"/>
        <v>0</v>
      </c>
      <c r="Q744" s="89">
        <f t="shared" si="296"/>
        <v>0</v>
      </c>
      <c r="R744" s="89">
        <f t="shared" si="296"/>
        <v>0</v>
      </c>
      <c r="S744" s="89">
        <f t="shared" si="296"/>
        <v>0</v>
      </c>
      <c r="T744" s="89">
        <f t="shared" si="296"/>
        <v>0</v>
      </c>
      <c r="U744" s="89">
        <f t="shared" si="296"/>
        <v>0</v>
      </c>
      <c r="V744" s="89">
        <f t="shared" si="296"/>
        <v>0</v>
      </c>
      <c r="W744" s="216">
        <f>SUM(G744:V744)</f>
        <v>0</v>
      </c>
      <c r="X744" s="87" t="str">
        <f>IF(ABS(F744-W744)&lt;0.01,"ok","err")</f>
        <v>ok</v>
      </c>
      <c r="Y744" s="91" t="str">
        <f>IF(X744="err",W744-F744,"")</f>
        <v/>
      </c>
    </row>
    <row r="745" spans="1:32" ht="12" hidden="1" customHeight="1" x14ac:dyDescent="0.25">
      <c r="F745" s="90"/>
      <c r="G745" s="90"/>
      <c r="H745" s="90"/>
      <c r="I745" s="90"/>
      <c r="J745" s="90"/>
      <c r="K745" s="90"/>
      <c r="L745" s="221"/>
      <c r="M745" s="221"/>
      <c r="N745" s="221"/>
      <c r="O745" s="221"/>
      <c r="P745" s="90"/>
      <c r="Q745" s="90"/>
      <c r="R745" s="90"/>
      <c r="S745" s="90"/>
      <c r="T745" s="90"/>
      <c r="U745" s="90"/>
      <c r="V745" s="91"/>
      <c r="W745" s="91"/>
      <c r="X745" s="87"/>
      <c r="Y745" s="203"/>
    </row>
    <row r="746" spans="1:32" ht="12" hidden="1" customHeight="1" x14ac:dyDescent="0.25">
      <c r="F746" s="90"/>
      <c r="G746" s="90"/>
      <c r="H746" s="90"/>
      <c r="I746" s="90"/>
      <c r="J746" s="90"/>
      <c r="K746" s="90"/>
      <c r="L746" s="90"/>
      <c r="M746" s="90"/>
      <c r="N746" s="90"/>
      <c r="O746" s="90"/>
      <c r="P746" s="90"/>
      <c r="Q746" s="90"/>
      <c r="R746" s="90"/>
      <c r="S746" s="90"/>
      <c r="T746" s="90"/>
      <c r="U746" s="90"/>
      <c r="V746" s="91"/>
      <c r="W746" s="91"/>
      <c r="X746" s="87"/>
      <c r="Y746" s="203"/>
      <c r="AD746" s="213"/>
      <c r="AE746" s="213"/>
      <c r="AF746" s="213"/>
    </row>
    <row r="747" spans="1:32" ht="12" customHeight="1" x14ac:dyDescent="0.25">
      <c r="F747" s="94"/>
      <c r="G747" s="94"/>
      <c r="V747" s="91"/>
      <c r="W747" s="91"/>
      <c r="X747" s="87"/>
    </row>
    <row r="748" spans="1:32" ht="12" customHeight="1" x14ac:dyDescent="0.25">
      <c r="A748" s="86" t="s">
        <v>420</v>
      </c>
      <c r="D748" s="86" t="s">
        <v>378</v>
      </c>
      <c r="F748" s="91">
        <f t="shared" ref="F748:S748" si="297">SUM(F730:F743)</f>
        <v>1336211707.705034</v>
      </c>
      <c r="G748" s="91">
        <f t="shared" si="297"/>
        <v>567877412.19546735</v>
      </c>
      <c r="H748" s="91">
        <f t="shared" si="297"/>
        <v>162506339.3049964</v>
      </c>
      <c r="I748" s="91">
        <f t="shared" si="297"/>
        <v>10060572.537232244</v>
      </c>
      <c r="J748" s="91">
        <f t="shared" si="297"/>
        <v>128433408.52044</v>
      </c>
      <c r="K748" s="91">
        <f t="shared" si="297"/>
        <v>6055834.6905206563</v>
      </c>
      <c r="L748" s="91">
        <f t="shared" si="297"/>
        <v>121127445.76171796</v>
      </c>
      <c r="M748" s="91">
        <f t="shared" si="297"/>
        <v>232234517.40749204</v>
      </c>
      <c r="N748" s="91">
        <f t="shared" si="297"/>
        <v>73150529.296304807</v>
      </c>
      <c r="O748" s="91">
        <f t="shared" si="297"/>
        <v>17162526.732798882</v>
      </c>
      <c r="P748" s="91">
        <f t="shared" si="297"/>
        <v>16902010.422395907</v>
      </c>
      <c r="Q748" s="91">
        <f t="shared" si="297"/>
        <v>204496.49513987341</v>
      </c>
      <c r="R748" s="91">
        <f t="shared" si="297"/>
        <v>198535.98191941017</v>
      </c>
      <c r="S748" s="91">
        <f t="shared" si="297"/>
        <v>42146.303442610333</v>
      </c>
      <c r="T748" s="91">
        <f>SUM(T730:T743)</f>
        <v>35244.573081736955</v>
      </c>
      <c r="U748" s="91">
        <f>SUM(U730:U743)</f>
        <v>196302.7753636514</v>
      </c>
      <c r="V748" s="91">
        <f>SUM(V730:V743)</f>
        <v>24384.708324035404</v>
      </c>
      <c r="W748" s="89">
        <f>SUM(G748:V748)</f>
        <v>1336211707.7066376</v>
      </c>
      <c r="X748" s="87" t="str">
        <f>IF(ABS(F748-W748)&lt;0.01,"ok","err")</f>
        <v>ok</v>
      </c>
      <c r="Y748" s="91" t="str">
        <f>IF(X748="err",W748-F748,"")</f>
        <v/>
      </c>
      <c r="AD748" s="214"/>
      <c r="AE748" s="214"/>
      <c r="AF748" s="196"/>
    </row>
    <row r="749" spans="1:32" ht="12" customHeight="1" x14ac:dyDescent="0.25">
      <c r="F749" s="91"/>
      <c r="W749" s="91"/>
      <c r="AD749" s="105"/>
      <c r="AE749" s="105"/>
      <c r="AF749" s="196"/>
    </row>
    <row r="750" spans="1:32" ht="12" customHeight="1" x14ac:dyDescent="0.25">
      <c r="A750" s="86" t="s">
        <v>901</v>
      </c>
      <c r="F750" s="91">
        <f t="shared" ref="F750:S750" si="298">F725-F748</f>
        <v>249974530.73708034</v>
      </c>
      <c r="G750" s="91">
        <f t="shared" si="298"/>
        <v>65522602.661471844</v>
      </c>
      <c r="H750" s="91">
        <f t="shared" si="298"/>
        <v>67442820.608040303</v>
      </c>
      <c r="I750" s="91">
        <f t="shared" si="298"/>
        <v>2280650.3530534673</v>
      </c>
      <c r="J750" s="91">
        <f t="shared" si="298"/>
        <v>45646218.298485801</v>
      </c>
      <c r="K750" s="91">
        <f t="shared" si="298"/>
        <v>3562780.5612862511</v>
      </c>
      <c r="L750" s="91">
        <f t="shared" si="298"/>
        <v>16791851.890308276</v>
      </c>
      <c r="M750" s="91">
        <f t="shared" si="298"/>
        <v>23727598.488965005</v>
      </c>
      <c r="N750" s="91">
        <f t="shared" si="298"/>
        <v>7966082.2262048274</v>
      </c>
      <c r="O750" s="91">
        <f t="shared" si="298"/>
        <v>2874093.3134877272</v>
      </c>
      <c r="P750" s="91">
        <f t="shared" si="298"/>
        <v>13967081.17645878</v>
      </c>
      <c r="Q750" s="91">
        <f t="shared" si="298"/>
        <v>111854.45590688364</v>
      </c>
      <c r="R750" s="91">
        <f t="shared" si="298"/>
        <v>76260.426732170337</v>
      </c>
      <c r="S750" s="91">
        <f t="shared" si="298"/>
        <v>52962.723549204275</v>
      </c>
      <c r="T750" s="91">
        <f>T725-T748</f>
        <v>-28498.084785652252</v>
      </c>
      <c r="U750" s="91">
        <f>U725-U748</f>
        <v>-33798.775363651192</v>
      </c>
      <c r="V750" s="91">
        <f>V725-V748</f>
        <v>13970.411675964599</v>
      </c>
      <c r="W750" s="89">
        <f>SUM(G750:V750)</f>
        <v>249974530.7354773</v>
      </c>
      <c r="X750" s="87" t="str">
        <f>IF(ABS(F750-W750)&lt;0.01,"ok","err")</f>
        <v>ok</v>
      </c>
      <c r="Y750" s="91" t="str">
        <f>IF(X750="err",W750-F750,"")</f>
        <v/>
      </c>
      <c r="AA750" s="205"/>
      <c r="AD750" s="105"/>
      <c r="AE750" s="105"/>
      <c r="AF750" s="196"/>
    </row>
    <row r="751" spans="1:32" ht="12" customHeight="1" x14ac:dyDescent="0.25">
      <c r="W751" s="91"/>
      <c r="AA751" s="206"/>
      <c r="AD751" s="105"/>
      <c r="AE751" s="105"/>
      <c r="AF751" s="196"/>
    </row>
    <row r="752" spans="1:32" ht="12" hidden="1" customHeight="1" x14ac:dyDescent="0.25">
      <c r="A752" s="288" t="s">
        <v>400</v>
      </c>
      <c r="F752" s="91">
        <f t="shared" ref="F752:V752" si="299">F688</f>
        <v>5197832023.3399992</v>
      </c>
      <c r="G752" s="91">
        <f t="shared" si="299"/>
        <v>2457262896.4775939</v>
      </c>
      <c r="H752" s="91">
        <f t="shared" si="299"/>
        <v>610215074.31991637</v>
      </c>
      <c r="I752" s="91">
        <f t="shared" si="299"/>
        <v>38745077.376713946</v>
      </c>
      <c r="J752" s="91">
        <f t="shared" si="299"/>
        <v>458917674.33772969</v>
      </c>
      <c r="K752" s="91">
        <f t="shared" si="299"/>
        <v>19889476.254637145</v>
      </c>
      <c r="L752" s="91">
        <f t="shared" si="299"/>
        <v>424876670.28377599</v>
      </c>
      <c r="M752" s="91">
        <f t="shared" si="299"/>
        <v>740522922.29555535</v>
      </c>
      <c r="N752" s="91">
        <f t="shared" si="299"/>
        <v>225552348.81659499</v>
      </c>
      <c r="O752" s="91">
        <f t="shared" si="299"/>
        <v>104343933.18818319</v>
      </c>
      <c r="P752" s="91">
        <f t="shared" si="299"/>
        <v>113343713.20751949</v>
      </c>
      <c r="Q752" s="91">
        <f t="shared" si="299"/>
        <v>398777.2411763831</v>
      </c>
      <c r="R752" s="91">
        <f t="shared" si="299"/>
        <v>615337.83011701179</v>
      </c>
      <c r="S752" s="91">
        <f t="shared" si="299"/>
        <v>174679.19030271503</v>
      </c>
      <c r="T752" s="91">
        <f t="shared" si="299"/>
        <v>105538.72018323612</v>
      </c>
      <c r="U752" s="91">
        <f t="shared" si="299"/>
        <v>2576969.3631635425</v>
      </c>
      <c r="V752" s="91">
        <f t="shared" si="299"/>
        <v>290934.43683645804</v>
      </c>
      <c r="W752" s="89">
        <f>SUM(G752:V752)</f>
        <v>5197832023.3399992</v>
      </c>
      <c r="X752" s="87" t="str">
        <f>IF(ABS(F752-W752)&lt;0.01,"ok","err")</f>
        <v>ok</v>
      </c>
      <c r="Y752" s="91" t="str">
        <f>IF(X752="err",W752-F752,"")</f>
        <v/>
      </c>
      <c r="AD752" s="105"/>
      <c r="AE752" s="105"/>
      <c r="AF752" s="196"/>
    </row>
    <row r="753" spans="1:32" ht="12" hidden="1" customHeight="1" x14ac:dyDescent="0.25">
      <c r="A753" s="288" t="s">
        <v>2184</v>
      </c>
      <c r="E753" s="86" t="s">
        <v>391</v>
      </c>
      <c r="F753" s="91">
        <v>0</v>
      </c>
      <c r="G753" s="89">
        <f t="shared" ref="G753:V755" si="300">IF(VLOOKUP($E753,$D$5:$AJ$1004,3,)=0,0,(VLOOKUP($E753,$D$5:$AJ$1004,G$1,)/VLOOKUP($E753,$D$5:$AJ$1004,3,))*$F753)</f>
        <v>0</v>
      </c>
      <c r="H753" s="89">
        <f t="shared" si="300"/>
        <v>0</v>
      </c>
      <c r="I753" s="89">
        <f t="shared" si="300"/>
        <v>0</v>
      </c>
      <c r="J753" s="89">
        <f t="shared" si="300"/>
        <v>0</v>
      </c>
      <c r="K753" s="89">
        <f t="shared" si="300"/>
        <v>0</v>
      </c>
      <c r="L753" s="89">
        <f t="shared" si="300"/>
        <v>0</v>
      </c>
      <c r="M753" s="89">
        <f t="shared" si="300"/>
        <v>0</v>
      </c>
      <c r="N753" s="89">
        <f t="shared" si="300"/>
        <v>0</v>
      </c>
      <c r="O753" s="89">
        <f t="shared" si="300"/>
        <v>0</v>
      </c>
      <c r="P753" s="89">
        <f t="shared" si="300"/>
        <v>0</v>
      </c>
      <c r="Q753" s="89">
        <f t="shared" si="300"/>
        <v>0</v>
      </c>
      <c r="R753" s="89">
        <f t="shared" si="300"/>
        <v>0</v>
      </c>
      <c r="S753" s="89">
        <f t="shared" si="300"/>
        <v>0</v>
      </c>
      <c r="T753" s="89">
        <f t="shared" si="300"/>
        <v>0</v>
      </c>
      <c r="U753" s="89">
        <f t="shared" si="300"/>
        <v>0</v>
      </c>
      <c r="V753" s="89">
        <f t="shared" si="300"/>
        <v>0</v>
      </c>
      <c r="W753" s="89">
        <f>SUM(G753:V753)</f>
        <v>0</v>
      </c>
      <c r="X753" s="87" t="str">
        <f>IF(ABS(F753-W753)&lt;0.01,"ok","err")</f>
        <v>ok</v>
      </c>
      <c r="Y753" s="91" t="str">
        <f>IF(X753="err",W753-F753,"")</f>
        <v/>
      </c>
      <c r="AD753" s="105"/>
      <c r="AE753" s="105"/>
      <c r="AF753" s="196"/>
    </row>
    <row r="754" spans="1:32" ht="12" hidden="1" customHeight="1" x14ac:dyDescent="0.25">
      <c r="A754" s="288" t="s">
        <v>2184</v>
      </c>
      <c r="E754" s="86" t="s">
        <v>1685</v>
      </c>
      <c r="F754" s="91">
        <v>0</v>
      </c>
      <c r="G754" s="89">
        <f t="shared" si="300"/>
        <v>0</v>
      </c>
      <c r="H754" s="89">
        <f t="shared" si="300"/>
        <v>0</v>
      </c>
      <c r="I754" s="89">
        <f t="shared" si="300"/>
        <v>0</v>
      </c>
      <c r="J754" s="89">
        <f t="shared" si="300"/>
        <v>0</v>
      </c>
      <c r="K754" s="89">
        <f t="shared" si="300"/>
        <v>0</v>
      </c>
      <c r="L754" s="89">
        <f t="shared" si="300"/>
        <v>0</v>
      </c>
      <c r="M754" s="89">
        <f t="shared" si="300"/>
        <v>0</v>
      </c>
      <c r="N754" s="89">
        <f t="shared" si="300"/>
        <v>0</v>
      </c>
      <c r="O754" s="89">
        <f t="shared" si="300"/>
        <v>0</v>
      </c>
      <c r="P754" s="89">
        <f t="shared" si="300"/>
        <v>0</v>
      </c>
      <c r="Q754" s="89">
        <f t="shared" si="300"/>
        <v>0</v>
      </c>
      <c r="R754" s="89">
        <f t="shared" si="300"/>
        <v>0</v>
      </c>
      <c r="S754" s="89">
        <f t="shared" si="300"/>
        <v>0</v>
      </c>
      <c r="T754" s="89">
        <f t="shared" si="300"/>
        <v>0</v>
      </c>
      <c r="U754" s="89">
        <f t="shared" si="300"/>
        <v>0</v>
      </c>
      <c r="V754" s="89">
        <f t="shared" si="300"/>
        <v>0</v>
      </c>
      <c r="W754" s="89">
        <f>SUM(G754:V754)</f>
        <v>0</v>
      </c>
      <c r="X754" s="87" t="str">
        <f>IF(ABS(F754-W754)&lt;0.01,"ok","err")</f>
        <v>ok</v>
      </c>
      <c r="Y754" s="91" t="str">
        <f>IF(X754="err",W754-F754,"")</f>
        <v/>
      </c>
      <c r="AD754" s="105"/>
      <c r="AE754" s="105"/>
      <c r="AF754" s="196"/>
    </row>
    <row r="755" spans="1:32" ht="12" hidden="1" customHeight="1" x14ac:dyDescent="0.25">
      <c r="A755" s="288" t="s">
        <v>2184</v>
      </c>
      <c r="E755" s="86" t="s">
        <v>509</v>
      </c>
      <c r="F755" s="91">
        <v>0</v>
      </c>
      <c r="G755" s="89">
        <f t="shared" si="300"/>
        <v>0</v>
      </c>
      <c r="H755" s="89">
        <f t="shared" si="300"/>
        <v>0</v>
      </c>
      <c r="I755" s="89">
        <f t="shared" si="300"/>
        <v>0</v>
      </c>
      <c r="J755" s="89">
        <f t="shared" si="300"/>
        <v>0</v>
      </c>
      <c r="K755" s="89">
        <f t="shared" si="300"/>
        <v>0</v>
      </c>
      <c r="L755" s="89">
        <f t="shared" si="300"/>
        <v>0</v>
      </c>
      <c r="M755" s="89">
        <f t="shared" si="300"/>
        <v>0</v>
      </c>
      <c r="N755" s="89">
        <f t="shared" si="300"/>
        <v>0</v>
      </c>
      <c r="O755" s="89">
        <f t="shared" si="300"/>
        <v>0</v>
      </c>
      <c r="P755" s="89">
        <f t="shared" si="300"/>
        <v>0</v>
      </c>
      <c r="Q755" s="89">
        <f t="shared" si="300"/>
        <v>0</v>
      </c>
      <c r="R755" s="89">
        <f t="shared" si="300"/>
        <v>0</v>
      </c>
      <c r="S755" s="89">
        <f t="shared" si="300"/>
        <v>0</v>
      </c>
      <c r="T755" s="89">
        <f t="shared" si="300"/>
        <v>0</v>
      </c>
      <c r="U755" s="89">
        <f t="shared" si="300"/>
        <v>0</v>
      </c>
      <c r="V755" s="89">
        <f t="shared" si="300"/>
        <v>0</v>
      </c>
      <c r="W755" s="89">
        <f>SUM(G755:V755)</f>
        <v>0</v>
      </c>
      <c r="X755" s="87" t="str">
        <f>IF(ABS(F755-W755)&lt;0.01,"ok","err")</f>
        <v>ok</v>
      </c>
      <c r="Y755" s="91" t="str">
        <f>IF(X755="err",W755-F755,"")</f>
        <v/>
      </c>
      <c r="AD755" s="105"/>
      <c r="AE755" s="105"/>
      <c r="AF755" s="196"/>
    </row>
    <row r="756" spans="1:32" ht="12" customHeight="1" x14ac:dyDescent="0.25">
      <c r="A756" s="389" t="s">
        <v>705</v>
      </c>
      <c r="B756" s="110"/>
      <c r="C756" s="110"/>
      <c r="D756" s="110"/>
      <c r="E756" s="110"/>
      <c r="F756" s="91">
        <f t="shared" ref="F756:V756" si="301">SUM(F752:F755)</f>
        <v>5197832023.3399992</v>
      </c>
      <c r="G756" s="114">
        <f t="shared" si="301"/>
        <v>2457262896.4775939</v>
      </c>
      <c r="H756" s="114">
        <f t="shared" si="301"/>
        <v>610215074.31991637</v>
      </c>
      <c r="I756" s="114">
        <f>SUM(I752:I755)</f>
        <v>38745077.376713946</v>
      </c>
      <c r="J756" s="114">
        <f t="shared" si="301"/>
        <v>458917674.33772969</v>
      </c>
      <c r="K756" s="114">
        <f>SUM(K752:K755)</f>
        <v>19889476.254637145</v>
      </c>
      <c r="L756" s="91">
        <f t="shared" si="301"/>
        <v>424876670.28377599</v>
      </c>
      <c r="M756" s="91">
        <f t="shared" si="301"/>
        <v>740522922.29555535</v>
      </c>
      <c r="N756" s="91">
        <f t="shared" si="301"/>
        <v>225552348.81659499</v>
      </c>
      <c r="O756" s="91">
        <f t="shared" si="301"/>
        <v>104343933.18818319</v>
      </c>
      <c r="P756" s="91">
        <f t="shared" si="301"/>
        <v>113343713.20751949</v>
      </c>
      <c r="Q756" s="114">
        <f t="shared" si="301"/>
        <v>398777.2411763831</v>
      </c>
      <c r="R756" s="114">
        <f t="shared" si="301"/>
        <v>615337.83011701179</v>
      </c>
      <c r="S756" s="114">
        <f t="shared" si="301"/>
        <v>174679.19030271503</v>
      </c>
      <c r="T756" s="114">
        <f t="shared" si="301"/>
        <v>105538.72018323612</v>
      </c>
      <c r="U756" s="114">
        <f t="shared" si="301"/>
        <v>2576969.3631635425</v>
      </c>
      <c r="V756" s="114">
        <f t="shared" si="301"/>
        <v>290934.43683645804</v>
      </c>
      <c r="W756" s="89">
        <f>SUM(G756:V756)</f>
        <v>5197832023.3399992</v>
      </c>
      <c r="X756" s="87" t="str">
        <f>IF(ABS(F756-W756)&lt;0.01,"ok","err")</f>
        <v>ok</v>
      </c>
      <c r="Y756" s="91" t="str">
        <f>IF(X756="err",W756-F756,"")</f>
        <v/>
      </c>
      <c r="AD756" s="105"/>
      <c r="AE756" s="105"/>
      <c r="AF756" s="196"/>
    </row>
    <row r="757" spans="1:32" ht="12" customHeight="1" thickBot="1" x14ac:dyDescent="0.3">
      <c r="AD757" s="213"/>
      <c r="AE757" s="213"/>
    </row>
    <row r="758" spans="1:32" ht="15" customHeight="1" thickBot="1" x14ac:dyDescent="0.3">
      <c r="A758" s="390" t="s">
        <v>421</v>
      </c>
      <c r="B758" s="391"/>
      <c r="C758" s="391"/>
      <c r="D758" s="391"/>
      <c r="E758" s="391"/>
      <c r="F758" s="392">
        <f t="shared" ref="F758:U758" si="302">F750/F756</f>
        <v>4.8092075622030751E-2</v>
      </c>
      <c r="G758" s="392">
        <f t="shared" si="302"/>
        <v>2.6664872836926139E-2</v>
      </c>
      <c r="H758" s="392">
        <f t="shared" si="302"/>
        <v>0.11052303269171973</v>
      </c>
      <c r="I758" s="392">
        <f>I750/I756</f>
        <v>5.8862970665381965E-2</v>
      </c>
      <c r="J758" s="392">
        <f t="shared" si="302"/>
        <v>9.9464938595704502E-2</v>
      </c>
      <c r="K758" s="392">
        <f>K750/K756</f>
        <v>0.17912892806594666</v>
      </c>
      <c r="L758" s="392">
        <f t="shared" si="302"/>
        <v>3.9521708450343869E-2</v>
      </c>
      <c r="M758" s="392">
        <f t="shared" si="302"/>
        <v>3.2041679973135138E-2</v>
      </c>
      <c r="N758" s="392">
        <f t="shared" si="302"/>
        <v>3.5318108048976005E-2</v>
      </c>
      <c r="O758" s="392">
        <f t="shared" si="302"/>
        <v>2.7544421852531954E-2</v>
      </c>
      <c r="P758" s="392">
        <f t="shared" si="302"/>
        <v>0.12322766548936541</v>
      </c>
      <c r="Q758" s="392">
        <f t="shared" si="302"/>
        <v>0.28049357976627687</v>
      </c>
      <c r="R758" s="392">
        <f t="shared" si="302"/>
        <v>0.12393261554822456</v>
      </c>
      <c r="S758" s="392">
        <f t="shared" si="302"/>
        <v>0.30319996020946222</v>
      </c>
      <c r="T758" s="392">
        <f t="shared" si="302"/>
        <v>-0.27002492294935865</v>
      </c>
      <c r="U758" s="392">
        <f t="shared" si="302"/>
        <v>-1.3115707096400671E-2</v>
      </c>
      <c r="V758" s="392">
        <f>V750/V756</f>
        <v>4.801910639343715E-2</v>
      </c>
      <c r="X758" s="392"/>
      <c r="Y758" s="392"/>
      <c r="AD758" s="214"/>
      <c r="AE758" s="214"/>
      <c r="AF758" s="196"/>
    </row>
    <row r="761" spans="1:32" ht="12" customHeight="1" x14ac:dyDescent="0.25">
      <c r="A761" s="22" t="s">
        <v>1165</v>
      </c>
    </row>
    <row r="763" spans="1:32" ht="12" customHeight="1" x14ac:dyDescent="0.25">
      <c r="A763" s="86" t="s">
        <v>1130</v>
      </c>
      <c r="F763" s="91">
        <f t="shared" ref="F763:V763" si="303">F725</f>
        <v>1586186238.4421144</v>
      </c>
      <c r="G763" s="91">
        <f t="shared" si="303"/>
        <v>633400014.8569392</v>
      </c>
      <c r="H763" s="91">
        <f t="shared" si="303"/>
        <v>229949159.9130367</v>
      </c>
      <c r="I763" s="91">
        <f t="shared" si="303"/>
        <v>12341222.890285712</v>
      </c>
      <c r="J763" s="91">
        <f t="shared" si="303"/>
        <v>174079626.8189258</v>
      </c>
      <c r="K763" s="91">
        <f t="shared" si="303"/>
        <v>9618615.2518069074</v>
      </c>
      <c r="L763" s="91">
        <f t="shared" si="303"/>
        <v>137919297.65202624</v>
      </c>
      <c r="M763" s="91">
        <f t="shared" si="303"/>
        <v>255962115.89645705</v>
      </c>
      <c r="N763" s="91">
        <f t="shared" si="303"/>
        <v>81116611.522509634</v>
      </c>
      <c r="O763" s="91">
        <f t="shared" si="303"/>
        <v>20036620.046286609</v>
      </c>
      <c r="P763" s="91">
        <f t="shared" si="303"/>
        <v>30869091.598854687</v>
      </c>
      <c r="Q763" s="91">
        <f t="shared" si="303"/>
        <v>316350.95104675705</v>
      </c>
      <c r="R763" s="91">
        <f t="shared" si="303"/>
        <v>274796.40865158051</v>
      </c>
      <c r="S763" s="91">
        <f t="shared" si="303"/>
        <v>95109.026991814608</v>
      </c>
      <c r="T763" s="91">
        <f t="shared" si="303"/>
        <v>6746.4882960847026</v>
      </c>
      <c r="U763" s="91">
        <f t="shared" si="303"/>
        <v>162504.0000000002</v>
      </c>
      <c r="V763" s="91">
        <f t="shared" si="303"/>
        <v>38355.120000000003</v>
      </c>
      <c r="W763" s="89">
        <f>SUM(G763:V763)</f>
        <v>1586186238.4421146</v>
      </c>
      <c r="X763" s="87" t="str">
        <f>IF(ABS(F763-W763)&lt;0.01,"ok","err")</f>
        <v>ok</v>
      </c>
      <c r="Y763" s="91" t="str">
        <f>IF(X763="err",W763-F763,"")</f>
        <v/>
      </c>
    </row>
    <row r="764" spans="1:32" ht="12" customHeight="1" x14ac:dyDescent="0.25">
      <c r="W764" s="91"/>
    </row>
    <row r="765" spans="1:32" ht="12" customHeight="1" x14ac:dyDescent="0.25">
      <c r="A765" s="86" t="s">
        <v>415</v>
      </c>
      <c r="F765" s="91">
        <f t="shared" ref="F765:V765" si="304">F730+F731+F732+F733+F734+F735+F737+F738+F744</f>
        <v>1312390155</v>
      </c>
      <c r="G765" s="91">
        <f t="shared" si="304"/>
        <v>564200008.68105364</v>
      </c>
      <c r="H765" s="91">
        <f t="shared" si="304"/>
        <v>152885254.5595324</v>
      </c>
      <c r="I765" s="91">
        <f t="shared" si="304"/>
        <v>9788247.3488403633</v>
      </c>
      <c r="J765" s="91">
        <f t="shared" si="304"/>
        <v>122024520.20984885</v>
      </c>
      <c r="K765" s="91">
        <f t="shared" si="304"/>
        <v>5508816.5456490787</v>
      </c>
      <c r="L765" s="91">
        <f t="shared" si="304"/>
        <v>119505985.04734609</v>
      </c>
      <c r="M765" s="91">
        <f t="shared" si="304"/>
        <v>230500034.52758321</v>
      </c>
      <c r="N765" s="91">
        <f t="shared" si="304"/>
        <v>73007649.147874579</v>
      </c>
      <c r="O765" s="91">
        <f t="shared" si="304"/>
        <v>19384146.504016273</v>
      </c>
      <c r="P765" s="91">
        <f t="shared" si="304"/>
        <v>14913427.43095254</v>
      </c>
      <c r="Q765" s="91">
        <f t="shared" si="304"/>
        <v>186724.82552360458</v>
      </c>
      <c r="R765" s="91">
        <f t="shared" si="304"/>
        <v>187455.24339866498</v>
      </c>
      <c r="S765" s="91">
        <f t="shared" si="304"/>
        <v>33703.781892690371</v>
      </c>
      <c r="T765" s="91">
        <f t="shared" si="304"/>
        <v>40127.822018556792</v>
      </c>
      <c r="U765" s="91">
        <f t="shared" si="304"/>
        <v>202040.078689961</v>
      </c>
      <c r="V765" s="91">
        <f t="shared" si="304"/>
        <v>22013.246976219063</v>
      </c>
      <c r="W765" s="89">
        <f>SUM(G765:V765)</f>
        <v>1312390155.0011969</v>
      </c>
      <c r="X765" s="87" t="str">
        <f>IF(ABS(F765-W765)&lt;0.01,"ok","err")</f>
        <v>ok</v>
      </c>
      <c r="Y765" s="91" t="str">
        <f>IF(X765="err",W765-F765,"")</f>
        <v/>
      </c>
    </row>
    <row r="766" spans="1:32" ht="12" customHeight="1" x14ac:dyDescent="0.25">
      <c r="W766" s="91"/>
    </row>
    <row r="767" spans="1:32" ht="12" customHeight="1" x14ac:dyDescent="0.25">
      <c r="A767" s="86" t="s">
        <v>1131</v>
      </c>
      <c r="D767" s="86" t="s">
        <v>1132</v>
      </c>
      <c r="F767" s="194">
        <f t="shared" ref="F767:V767" si="305">F636</f>
        <v>109640428.99999999</v>
      </c>
      <c r="G767" s="194">
        <f t="shared" si="305"/>
        <v>51506086.48387567</v>
      </c>
      <c r="H767" s="194">
        <f t="shared" si="305"/>
        <v>12824221.6399325</v>
      </c>
      <c r="I767" s="194">
        <f t="shared" si="305"/>
        <v>808535.96295202058</v>
      </c>
      <c r="J767" s="194">
        <f t="shared" si="305"/>
        <v>9811897.8114772867</v>
      </c>
      <c r="K767" s="194">
        <f t="shared" si="305"/>
        <v>423715.50933984795</v>
      </c>
      <c r="L767" s="194">
        <f t="shared" si="305"/>
        <v>9087019.8741917349</v>
      </c>
      <c r="M767" s="194">
        <f t="shared" si="305"/>
        <v>15858864.221028218</v>
      </c>
      <c r="N767" s="194">
        <f t="shared" si="305"/>
        <v>4839027.5429492528</v>
      </c>
      <c r="O767" s="194">
        <f t="shared" si="305"/>
        <v>2202117.6766835209</v>
      </c>
      <c r="P767" s="194">
        <f t="shared" si="305"/>
        <v>2255198.4882841939</v>
      </c>
      <c r="Q767" s="194">
        <f t="shared" si="305"/>
        <v>7268.6535465845691</v>
      </c>
      <c r="R767" s="194">
        <f t="shared" si="305"/>
        <v>12750.842353101945</v>
      </c>
      <c r="S767" s="194">
        <f t="shared" si="305"/>
        <v>3454.8850702944537</v>
      </c>
      <c r="T767" s="194">
        <f t="shared" si="305"/>
        <v>269.40831576726106</v>
      </c>
      <c r="U767" s="194">
        <f t="shared" si="305"/>
        <v>0</v>
      </c>
      <c r="V767" s="194">
        <f t="shared" si="305"/>
        <v>0</v>
      </c>
      <c r="W767" s="89">
        <f>SUM(G767:V767)</f>
        <v>109640429</v>
      </c>
      <c r="X767" s="87" t="str">
        <f>IF(ABS(F767-W767)&lt;0.01,"ok","err")</f>
        <v>ok</v>
      </c>
      <c r="Y767" s="91" t="str">
        <f>IF(X767="err",W767-F767,"")</f>
        <v/>
      </c>
    </row>
    <row r="768" spans="1:32" ht="12" customHeight="1" x14ac:dyDescent="0.25">
      <c r="F768" s="194"/>
      <c r="G768" s="194"/>
      <c r="H768" s="194"/>
      <c r="I768" s="194"/>
      <c r="J768" s="194"/>
      <c r="K768" s="194"/>
      <c r="L768" s="194"/>
      <c r="M768" s="194"/>
      <c r="N768" s="194"/>
      <c r="O768" s="194"/>
      <c r="P768" s="194"/>
      <c r="Q768" s="194"/>
      <c r="R768" s="194"/>
      <c r="S768" s="194"/>
      <c r="T768" s="194"/>
      <c r="U768" s="194"/>
      <c r="V768" s="194"/>
      <c r="W768" s="91"/>
      <c r="X768" s="87"/>
    </row>
    <row r="769" spans="1:25" ht="12" customHeight="1" x14ac:dyDescent="0.25">
      <c r="A769" s="86" t="s">
        <v>1166</v>
      </c>
      <c r="E769" s="86" t="s">
        <v>1132</v>
      </c>
      <c r="F769" s="211">
        <v>6243935.8163053207</v>
      </c>
      <c r="G769" s="212">
        <f t="shared" ref="G769:V769" si="306">IF(VLOOKUP($E769,$D$5:$AJ$1031,3,)=0,0,(VLOOKUP($E769,$D$5:$AJ$1031,G$1,)/VLOOKUP($E769,$D$5:$AJ$1031,3,))*$F769)</f>
        <v>2933230.935774528</v>
      </c>
      <c r="H769" s="212">
        <f t="shared" si="306"/>
        <v>730329.29134026193</v>
      </c>
      <c r="I769" s="212">
        <f t="shared" si="306"/>
        <v>46045.484351826402</v>
      </c>
      <c r="J769" s="212">
        <f t="shared" si="306"/>
        <v>558779.82902648824</v>
      </c>
      <c r="K769" s="212">
        <f t="shared" si="306"/>
        <v>24130.263524334885</v>
      </c>
      <c r="L769" s="212">
        <f t="shared" si="306"/>
        <v>517498.60314705671</v>
      </c>
      <c r="M769" s="212">
        <f t="shared" si="306"/>
        <v>903149.78898523911</v>
      </c>
      <c r="N769" s="212">
        <f t="shared" si="306"/>
        <v>275578.79576984124</v>
      </c>
      <c r="O769" s="212">
        <f t="shared" si="306"/>
        <v>125408.86202810552</v>
      </c>
      <c r="P769" s="212">
        <f t="shared" si="306"/>
        <v>128431.77231525877</v>
      </c>
      <c r="Q769" s="212">
        <f t="shared" si="306"/>
        <v>413.94407728771375</v>
      </c>
      <c r="R769" s="212">
        <f t="shared" si="306"/>
        <v>726.15039892443383</v>
      </c>
      <c r="S769" s="212">
        <f t="shared" si="306"/>
        <v>196.7529754159396</v>
      </c>
      <c r="T769" s="212">
        <f t="shared" si="306"/>
        <v>15.342590752081927</v>
      </c>
      <c r="U769" s="212">
        <f t="shared" si="306"/>
        <v>0</v>
      </c>
      <c r="V769" s="212">
        <f t="shared" si="306"/>
        <v>0</v>
      </c>
      <c r="W769" s="89">
        <f>SUM(G769:V769)</f>
        <v>6243935.8163053216</v>
      </c>
      <c r="X769" s="87" t="str">
        <f>IF(ABS(F769-W769)&lt;0.01,"ok","err")</f>
        <v>ok</v>
      </c>
      <c r="Y769" s="91" t="str">
        <f>IF(X769="err",W769-F769,"")</f>
        <v/>
      </c>
    </row>
    <row r="770" spans="1:25" ht="12" customHeight="1" x14ac:dyDescent="0.25">
      <c r="W770" s="91"/>
    </row>
    <row r="771" spans="1:25" ht="12" customHeight="1" x14ac:dyDescent="0.25">
      <c r="A771" s="86" t="s">
        <v>1133</v>
      </c>
      <c r="D771" s="86" t="s">
        <v>1167</v>
      </c>
      <c r="F771" s="91">
        <f>F763-F765-F767-F769</f>
        <v>157911718.62580904</v>
      </c>
      <c r="G771" s="91">
        <f t="shared" ref="G771:V771" si="307">G763-G765-G767-G769</f>
        <v>14760688.756235361</v>
      </c>
      <c r="H771" s="91">
        <f t="shared" si="307"/>
        <v>63509354.42223154</v>
      </c>
      <c r="I771" s="91">
        <f>I763-I765-I767-I769</f>
        <v>1698394.0941415015</v>
      </c>
      <c r="J771" s="91">
        <f>J763-J765-J767-J769</f>
        <v>41684428.968573168</v>
      </c>
      <c r="K771" s="91">
        <f>K763-K765-K767-K769</f>
        <v>3661952.9332936457</v>
      </c>
      <c r="L771" s="91">
        <f t="shared" si="307"/>
        <v>8808794.1273413599</v>
      </c>
      <c r="M771" s="91">
        <f t="shared" si="307"/>
        <v>8700067.3588603772</v>
      </c>
      <c r="N771" s="91">
        <f t="shared" si="307"/>
        <v>2994356.0359159615</v>
      </c>
      <c r="O771" s="91">
        <f>O763-O765-O767-O769</f>
        <v>-1675052.99644129</v>
      </c>
      <c r="P771" s="91">
        <f>P763-P765-P767-P769</f>
        <v>13572033.907302694</v>
      </c>
      <c r="Q771" s="91">
        <f t="shared" si="307"/>
        <v>121943.52789928019</v>
      </c>
      <c r="R771" s="91">
        <f t="shared" si="307"/>
        <v>73864.172500889137</v>
      </c>
      <c r="S771" s="91">
        <f t="shared" si="307"/>
        <v>57753.607053413842</v>
      </c>
      <c r="T771" s="91">
        <f t="shared" si="307"/>
        <v>-33666.084628991426</v>
      </c>
      <c r="U771" s="91">
        <f t="shared" si="307"/>
        <v>-39536.078689960792</v>
      </c>
      <c r="V771" s="91">
        <f t="shared" si="307"/>
        <v>16341.87302378094</v>
      </c>
      <c r="W771" s="89">
        <f>SUM(G771:V771)</f>
        <v>157911718.62461272</v>
      </c>
      <c r="X771" s="87" t="str">
        <f>IF(ABS(F771-W771)&lt;0.01,"ok","err")</f>
        <v>ok</v>
      </c>
      <c r="Y771" s="91" t="str">
        <f>IF(X771="err",W771-F771,"")</f>
        <v/>
      </c>
    </row>
    <row r="772" spans="1:25" ht="12" customHeight="1" x14ac:dyDescent="0.25">
      <c r="F772" s="91"/>
      <c r="G772" s="91"/>
      <c r="H772" s="91"/>
      <c r="I772" s="91"/>
      <c r="J772" s="91"/>
      <c r="K772" s="91"/>
      <c r="L772" s="91"/>
      <c r="M772" s="91"/>
      <c r="N772" s="91"/>
      <c r="O772" s="91"/>
      <c r="P772" s="91"/>
      <c r="Q772" s="91"/>
      <c r="R772" s="91"/>
      <c r="S772" s="91"/>
      <c r="T772" s="91"/>
      <c r="U772" s="91"/>
      <c r="V772" s="91"/>
      <c r="W772" s="91"/>
      <c r="X772" s="87"/>
      <c r="Y772" s="215"/>
    </row>
    <row r="773" spans="1:25" ht="12" customHeight="1" x14ac:dyDescent="0.25">
      <c r="W773" s="91"/>
    </row>
    <row r="774" spans="1:25" ht="12" customHeight="1" x14ac:dyDescent="0.25">
      <c r="A774" s="393" t="s">
        <v>1846</v>
      </c>
      <c r="W774" s="91"/>
    </row>
    <row r="775" spans="1:25" ht="12" customHeight="1" x14ac:dyDescent="0.25">
      <c r="A775" s="393"/>
      <c r="W775" s="91"/>
    </row>
    <row r="776" spans="1:25" ht="12" customHeight="1" x14ac:dyDescent="0.25">
      <c r="B776" s="288"/>
      <c r="W776" s="91"/>
    </row>
    <row r="777" spans="1:25" ht="12" customHeight="1" x14ac:dyDescent="0.25">
      <c r="W777" s="91"/>
    </row>
    <row r="778" spans="1:25" ht="12" customHeight="1" x14ac:dyDescent="0.25">
      <c r="A778" s="288" t="s">
        <v>194</v>
      </c>
      <c r="W778" s="91"/>
    </row>
    <row r="779" spans="1:25" ht="12" customHeight="1" x14ac:dyDescent="0.25">
      <c r="W779" s="91"/>
    </row>
    <row r="780" spans="1:25" ht="12" customHeight="1" x14ac:dyDescent="0.25">
      <c r="A780" s="86" t="s">
        <v>1130</v>
      </c>
      <c r="F780" s="91">
        <f t="shared" ref="F780:V780" si="308">F725</f>
        <v>1586186238.4421144</v>
      </c>
      <c r="G780" s="91">
        <f t="shared" si="308"/>
        <v>633400014.8569392</v>
      </c>
      <c r="H780" s="91">
        <f t="shared" si="308"/>
        <v>229949159.9130367</v>
      </c>
      <c r="I780" s="91">
        <f t="shared" si="308"/>
        <v>12341222.890285712</v>
      </c>
      <c r="J780" s="91">
        <f t="shared" si="308"/>
        <v>174079626.8189258</v>
      </c>
      <c r="K780" s="91">
        <f t="shared" si="308"/>
        <v>9618615.2518069074</v>
      </c>
      <c r="L780" s="91">
        <f t="shared" si="308"/>
        <v>137919297.65202624</v>
      </c>
      <c r="M780" s="91">
        <f t="shared" si="308"/>
        <v>255962115.89645705</v>
      </c>
      <c r="N780" s="91">
        <f t="shared" si="308"/>
        <v>81116611.522509634</v>
      </c>
      <c r="O780" s="91">
        <f t="shared" si="308"/>
        <v>20036620.046286609</v>
      </c>
      <c r="P780" s="91">
        <f t="shared" si="308"/>
        <v>30869091.598854687</v>
      </c>
      <c r="Q780" s="91">
        <f t="shared" si="308"/>
        <v>316350.95104675705</v>
      </c>
      <c r="R780" s="91">
        <f t="shared" si="308"/>
        <v>274796.40865158051</v>
      </c>
      <c r="S780" s="91">
        <f t="shared" si="308"/>
        <v>95109.026991814608</v>
      </c>
      <c r="T780" s="91">
        <f t="shared" si="308"/>
        <v>6746.4882960847026</v>
      </c>
      <c r="U780" s="91">
        <f t="shared" si="308"/>
        <v>162504.0000000002</v>
      </c>
      <c r="V780" s="91">
        <f t="shared" si="308"/>
        <v>38355.120000000003</v>
      </c>
      <c r="W780" s="89">
        <f t="shared" ref="W780:W785" si="309">SUM(G780:V780)</f>
        <v>1586186238.4421146</v>
      </c>
      <c r="X780" s="87" t="str">
        <f t="shared" ref="X780:X785" si="310">IF(ABS(F780-W780)&lt;0.01,"ok","err")</f>
        <v>ok</v>
      </c>
      <c r="Y780" s="91" t="str">
        <f>IF(X780="err",W780-F780,"")</f>
        <v/>
      </c>
    </row>
    <row r="781" spans="1:25" ht="12" customHeight="1" x14ac:dyDescent="0.25">
      <c r="A781" s="86" t="s">
        <v>903</v>
      </c>
      <c r="E781" s="216"/>
      <c r="F781" s="91">
        <v>169747179</v>
      </c>
      <c r="G781" s="89">
        <f>68176839+19427</f>
        <v>68196266</v>
      </c>
      <c r="H781" s="89">
        <v>26734943</v>
      </c>
      <c r="I781" s="89">
        <v>1453830</v>
      </c>
      <c r="J781" s="89">
        <v>18553034</v>
      </c>
      <c r="K781" s="89">
        <v>1039687</v>
      </c>
      <c r="L781" s="89">
        <v>14530948</v>
      </c>
      <c r="M781" s="89">
        <v>26942083</v>
      </c>
      <c r="N781" s="89">
        <v>8787141</v>
      </c>
      <c r="O781" s="89">
        <v>3514118</v>
      </c>
      <c r="P781" s="89">
        <v>-129</v>
      </c>
      <c r="Q781" s="89">
        <v>18</v>
      </c>
      <c r="R781" s="89">
        <v>2</v>
      </c>
      <c r="S781" s="89">
        <v>-4762</v>
      </c>
      <c r="T781" s="89">
        <v>0</v>
      </c>
      <c r="U781" s="89">
        <v>0</v>
      </c>
      <c r="V781" s="91">
        <v>0</v>
      </c>
      <c r="W781" s="89">
        <f t="shared" si="309"/>
        <v>169747179</v>
      </c>
      <c r="X781" s="87" t="str">
        <f t="shared" si="310"/>
        <v>ok</v>
      </c>
    </row>
    <row r="782" spans="1:25" ht="12" customHeight="1" x14ac:dyDescent="0.25">
      <c r="A782" s="86" t="s">
        <v>2476</v>
      </c>
      <c r="E782" s="216"/>
      <c r="F782" s="91">
        <v>353855.9</v>
      </c>
      <c r="G782" s="89">
        <v>0</v>
      </c>
      <c r="H782" s="89">
        <v>0</v>
      </c>
      <c r="I782" s="89">
        <v>0</v>
      </c>
      <c r="J782" s="89">
        <v>0</v>
      </c>
      <c r="K782" s="89">
        <v>0</v>
      </c>
      <c r="L782" s="89">
        <v>0</v>
      </c>
      <c r="M782" s="89">
        <v>0</v>
      </c>
      <c r="N782" s="89">
        <v>0</v>
      </c>
      <c r="O782" s="89">
        <v>0</v>
      </c>
      <c r="P782" s="89">
        <v>0</v>
      </c>
      <c r="Q782" s="89">
        <v>0</v>
      </c>
      <c r="R782" s="89">
        <v>0</v>
      </c>
      <c r="S782" s="89">
        <v>0</v>
      </c>
      <c r="T782" s="89">
        <v>48431.38</v>
      </c>
      <c r="U782" s="89">
        <v>295846.02</v>
      </c>
      <c r="V782" s="91">
        <v>9578.5</v>
      </c>
      <c r="W782" s="89">
        <f t="shared" si="309"/>
        <v>353855.9</v>
      </c>
      <c r="X782" s="87" t="str">
        <f t="shared" si="310"/>
        <v>ok</v>
      </c>
      <c r="Y782" s="91" t="str">
        <f>IF(X782="err",W782-F782,"")</f>
        <v/>
      </c>
    </row>
    <row r="783" spans="1:25" ht="12" customHeight="1" x14ac:dyDescent="0.25">
      <c r="A783" s="86" t="s">
        <v>2480</v>
      </c>
      <c r="E783" s="216"/>
      <c r="F783" s="91"/>
      <c r="G783" s="89">
        <v>0</v>
      </c>
      <c r="H783" s="89">
        <v>0</v>
      </c>
      <c r="I783" s="89">
        <v>0</v>
      </c>
      <c r="J783" s="89">
        <v>0</v>
      </c>
      <c r="K783" s="89">
        <v>0</v>
      </c>
      <c r="L783" s="89">
        <v>0</v>
      </c>
      <c r="M783" s="89">
        <v>0</v>
      </c>
      <c r="N783" s="89">
        <v>0</v>
      </c>
      <c r="O783" s="89">
        <v>0</v>
      </c>
      <c r="P783" s="89">
        <v>0</v>
      </c>
      <c r="Q783" s="89">
        <v>0</v>
      </c>
      <c r="R783" s="89">
        <v>0</v>
      </c>
      <c r="S783" s="89">
        <v>0</v>
      </c>
      <c r="T783" s="89">
        <f>F783</f>
        <v>0</v>
      </c>
      <c r="U783" s="89">
        <v>0</v>
      </c>
      <c r="V783" s="91"/>
      <c r="W783" s="89">
        <f t="shared" si="309"/>
        <v>0</v>
      </c>
      <c r="X783" s="87" t="str">
        <f t="shared" si="310"/>
        <v>ok</v>
      </c>
      <c r="Y783" s="91"/>
    </row>
    <row r="784" spans="1:25" ht="12" customHeight="1" x14ac:dyDescent="0.25">
      <c r="A784" s="86" t="s">
        <v>2566</v>
      </c>
      <c r="E784" s="216" t="s">
        <v>2108</v>
      </c>
      <c r="F784" s="89">
        <v>366528</v>
      </c>
      <c r="G784" s="89">
        <f t="shared" ref="G784:V785" si="311">IF(VLOOKUP($E784,$D$5:$AJ$1004,3,)=0,0,(VLOOKUP($E784,$D$5:$AJ$1004,G$1,)/VLOOKUP($E784,$D$5:$AJ$1004,3,))*$F784)</f>
        <v>38187.95680910466</v>
      </c>
      <c r="H784" s="89">
        <f t="shared" si="311"/>
        <v>71491.142994696522</v>
      </c>
      <c r="I784" s="89">
        <f t="shared" si="311"/>
        <v>17684.391745745848</v>
      </c>
      <c r="J784" s="89">
        <f t="shared" si="311"/>
        <v>185297.47992735603</v>
      </c>
      <c r="K784" s="89">
        <f t="shared" si="311"/>
        <v>8502.9490355940852</v>
      </c>
      <c r="L784" s="89">
        <f t="shared" si="311"/>
        <v>31974.828948902261</v>
      </c>
      <c r="M784" s="89">
        <f t="shared" si="311"/>
        <v>10662.811039539863</v>
      </c>
      <c r="N784" s="89">
        <f t="shared" si="311"/>
        <v>834.54150366824638</v>
      </c>
      <c r="O784" s="89">
        <f t="shared" si="311"/>
        <v>41.727075183412325</v>
      </c>
      <c r="P784" s="89">
        <f t="shared" si="311"/>
        <v>1850.1709202090492</v>
      </c>
      <c r="Q784" s="89">
        <f t="shared" si="311"/>
        <v>0</v>
      </c>
      <c r="R784" s="89">
        <f t="shared" si="311"/>
        <v>0</v>
      </c>
      <c r="S784" s="89">
        <f t="shared" si="311"/>
        <v>0</v>
      </c>
      <c r="T784" s="89">
        <f t="shared" si="311"/>
        <v>0</v>
      </c>
      <c r="U784" s="89">
        <f t="shared" si="311"/>
        <v>0</v>
      </c>
      <c r="V784" s="89">
        <f t="shared" si="311"/>
        <v>0</v>
      </c>
      <c r="W784" s="89">
        <f t="shared" si="309"/>
        <v>366527.99999999994</v>
      </c>
      <c r="X784" s="87" t="str">
        <f t="shared" si="310"/>
        <v>ok</v>
      </c>
      <c r="Y784" s="91" t="str">
        <f>IF(X784="err",W784-F784,"")</f>
        <v/>
      </c>
    </row>
    <row r="785" spans="1:25" ht="12" customHeight="1" x14ac:dyDescent="0.25">
      <c r="A785" s="86" t="s">
        <v>2477</v>
      </c>
      <c r="E785" s="216" t="s">
        <v>2108</v>
      </c>
      <c r="F785" s="89">
        <v>5899</v>
      </c>
      <c r="G785" s="89">
        <f t="shared" si="311"/>
        <v>614.60722568782842</v>
      </c>
      <c r="H785" s="89">
        <f t="shared" si="311"/>
        <v>1150.5976419965591</v>
      </c>
      <c r="I785" s="89">
        <f t="shared" si="311"/>
        <v>284.61734685523277</v>
      </c>
      <c r="J785" s="89">
        <f t="shared" si="311"/>
        <v>2982.2273716918576</v>
      </c>
      <c r="K785" s="89">
        <f t="shared" si="311"/>
        <v>136.8487437821108</v>
      </c>
      <c r="L785" s="89">
        <f t="shared" si="311"/>
        <v>514.61147843977665</v>
      </c>
      <c r="M785" s="89">
        <f t="shared" si="311"/>
        <v>171.61014253275508</v>
      </c>
      <c r="N785" s="89">
        <f t="shared" si="311"/>
        <v>13.431334932498977</v>
      </c>
      <c r="O785" s="89">
        <f t="shared" si="311"/>
        <v>0.67156674662494897</v>
      </c>
      <c r="P785" s="89">
        <f t="shared" si="311"/>
        <v>29.777147334755274</v>
      </c>
      <c r="Q785" s="89">
        <f t="shared" si="311"/>
        <v>0</v>
      </c>
      <c r="R785" s="89">
        <f t="shared" si="311"/>
        <v>0</v>
      </c>
      <c r="S785" s="89">
        <f t="shared" si="311"/>
        <v>0</v>
      </c>
      <c r="T785" s="89">
        <f t="shared" si="311"/>
        <v>0</v>
      </c>
      <c r="U785" s="89">
        <f t="shared" si="311"/>
        <v>0</v>
      </c>
      <c r="V785" s="89">
        <f t="shared" si="311"/>
        <v>0</v>
      </c>
      <c r="W785" s="89">
        <f t="shared" si="309"/>
        <v>5899.0000000000009</v>
      </c>
      <c r="X785" s="87" t="str">
        <f t="shared" si="310"/>
        <v>ok</v>
      </c>
      <c r="Y785" s="91" t="str">
        <f>IF(X785="err",W785-F785,"")</f>
        <v/>
      </c>
    </row>
    <row r="786" spans="1:25" ht="12" customHeight="1" x14ac:dyDescent="0.25">
      <c r="E786" s="216"/>
      <c r="F786" s="89"/>
      <c r="G786" s="89"/>
      <c r="H786" s="89"/>
      <c r="I786" s="89"/>
      <c r="J786" s="89"/>
      <c r="K786" s="89"/>
      <c r="L786" s="89"/>
      <c r="M786" s="89"/>
      <c r="N786" s="89"/>
      <c r="O786" s="89"/>
      <c r="P786" s="89"/>
      <c r="Q786" s="89"/>
      <c r="R786" s="89"/>
      <c r="S786" s="89"/>
      <c r="T786" s="89"/>
      <c r="U786" s="89"/>
      <c r="V786" s="89"/>
      <c r="W786" s="216"/>
      <c r="X786" s="87"/>
      <c r="Y786" s="91"/>
    </row>
    <row r="787" spans="1:25" ht="12" customHeight="1" x14ac:dyDescent="0.25">
      <c r="E787" s="216"/>
      <c r="F787" s="89"/>
      <c r="G787" s="89"/>
      <c r="H787" s="216"/>
      <c r="I787" s="216"/>
      <c r="J787" s="216"/>
      <c r="K787" s="216"/>
      <c r="L787" s="216"/>
      <c r="M787" s="216"/>
      <c r="N787" s="216"/>
      <c r="O787" s="216"/>
      <c r="P787" s="216"/>
      <c r="Q787" s="216"/>
      <c r="R787" s="216"/>
      <c r="S787" s="216"/>
      <c r="T787" s="216"/>
      <c r="U787" s="216"/>
      <c r="V787" s="91"/>
      <c r="X787" s="87"/>
    </row>
    <row r="788" spans="1:25" ht="12" customHeight="1" x14ac:dyDescent="0.25">
      <c r="A788" s="86" t="s">
        <v>500</v>
      </c>
      <c r="E788" s="196"/>
      <c r="F788" s="89">
        <f t="shared" ref="F788:V788" si="312">SUM(F780:F787)</f>
        <v>1756659700.3421144</v>
      </c>
      <c r="G788" s="89">
        <f t="shared" si="312"/>
        <v>701635083.42097402</v>
      </c>
      <c r="H788" s="89">
        <f t="shared" si="312"/>
        <v>256756744.65367341</v>
      </c>
      <c r="I788" s="89">
        <f t="shared" si="312"/>
        <v>13813021.899378313</v>
      </c>
      <c r="J788" s="89">
        <f t="shared" si="312"/>
        <v>192820940.52622485</v>
      </c>
      <c r="K788" s="89">
        <f t="shared" si="312"/>
        <v>10666942.049586283</v>
      </c>
      <c r="L788" s="89">
        <f t="shared" si="312"/>
        <v>152482735.0924536</v>
      </c>
      <c r="M788" s="89">
        <f t="shared" si="312"/>
        <v>282915033.31763917</v>
      </c>
      <c r="N788" s="89">
        <f t="shared" si="312"/>
        <v>89904600.49534823</v>
      </c>
      <c r="O788" s="89">
        <f t="shared" si="312"/>
        <v>23550780.444928538</v>
      </c>
      <c r="P788" s="89">
        <f t="shared" si="312"/>
        <v>30870842.546922229</v>
      </c>
      <c r="Q788" s="89">
        <f t="shared" si="312"/>
        <v>316368.95104675705</v>
      </c>
      <c r="R788" s="89">
        <f t="shared" si="312"/>
        <v>274798.40865158051</v>
      </c>
      <c r="S788" s="89">
        <f t="shared" si="312"/>
        <v>90347.026991814608</v>
      </c>
      <c r="T788" s="89">
        <f t="shared" si="312"/>
        <v>55177.8682960847</v>
      </c>
      <c r="U788" s="89">
        <f t="shared" si="312"/>
        <v>458350.02000000025</v>
      </c>
      <c r="V788" s="89">
        <f t="shared" si="312"/>
        <v>47933.62</v>
      </c>
      <c r="W788" s="89">
        <f>SUM(G788:V788)</f>
        <v>1756659700.3421149</v>
      </c>
      <c r="X788" s="87" t="str">
        <f>IF(ABS(F788-W788)&lt;0.01,"ok","err")</f>
        <v>ok</v>
      </c>
      <c r="Y788" s="91" t="str">
        <f>IF(X788="err",W788-F788,"")</f>
        <v/>
      </c>
    </row>
    <row r="789" spans="1:25" ht="12" customHeight="1" x14ac:dyDescent="0.25">
      <c r="A789" s="288"/>
      <c r="E789" s="216"/>
      <c r="F789" s="89"/>
      <c r="G789" s="89"/>
      <c r="H789" s="89"/>
      <c r="I789" s="89"/>
      <c r="J789" s="89"/>
      <c r="K789" s="89"/>
      <c r="L789" s="89"/>
      <c r="M789" s="89"/>
      <c r="N789" s="89"/>
      <c r="O789" s="89"/>
      <c r="P789" s="89"/>
      <c r="Q789" s="89"/>
      <c r="R789" s="89"/>
      <c r="S789" s="89"/>
      <c r="T789" s="89"/>
      <c r="U789" s="89"/>
      <c r="V789" s="91"/>
      <c r="W789" s="91"/>
      <c r="X789" s="87"/>
    </row>
    <row r="790" spans="1:25" ht="12" customHeight="1" x14ac:dyDescent="0.25">
      <c r="A790" s="288"/>
      <c r="E790" s="89"/>
      <c r="F790" s="89"/>
      <c r="G790" s="89"/>
      <c r="H790" s="89"/>
      <c r="I790" s="89"/>
      <c r="J790" s="89"/>
      <c r="K790" s="89"/>
      <c r="L790" s="89"/>
      <c r="M790" s="89"/>
      <c r="N790" s="89"/>
      <c r="O790" s="89"/>
      <c r="P790" s="89"/>
      <c r="Q790" s="89"/>
      <c r="R790" s="89"/>
      <c r="S790" s="89"/>
      <c r="T790" s="89"/>
      <c r="U790" s="89"/>
      <c r="V790" s="91"/>
      <c r="W790" s="91"/>
      <c r="X790" s="87"/>
    </row>
    <row r="791" spans="1:25" ht="12" customHeight="1" x14ac:dyDescent="0.25">
      <c r="A791" s="288" t="s">
        <v>415</v>
      </c>
      <c r="E791" s="89"/>
      <c r="F791" s="89"/>
      <c r="G791" s="89"/>
      <c r="H791" s="89"/>
      <c r="I791" s="89"/>
      <c r="J791" s="89"/>
      <c r="K791" s="89"/>
      <c r="L791" s="89"/>
      <c r="M791" s="89"/>
      <c r="N791" s="89"/>
      <c r="O791" s="89"/>
      <c r="P791" s="89"/>
      <c r="Q791" s="89"/>
      <c r="R791" s="89"/>
      <c r="S791" s="89"/>
      <c r="T791" s="89"/>
      <c r="U791" s="89"/>
      <c r="V791" s="91"/>
      <c r="W791" s="91"/>
      <c r="X791" s="87"/>
    </row>
    <row r="792" spans="1:25" ht="12" customHeight="1" x14ac:dyDescent="0.25">
      <c r="A792" s="288"/>
      <c r="E792" s="216"/>
      <c r="F792" s="89"/>
      <c r="G792" s="89"/>
      <c r="H792" s="89"/>
      <c r="I792" s="89"/>
      <c r="J792" s="89"/>
      <c r="K792" s="89"/>
      <c r="L792" s="89"/>
      <c r="M792" s="89"/>
      <c r="N792" s="89"/>
      <c r="O792" s="89"/>
      <c r="P792" s="89"/>
      <c r="Q792" s="89"/>
      <c r="R792" s="89"/>
      <c r="S792" s="89"/>
      <c r="T792" s="89"/>
      <c r="U792" s="89"/>
      <c r="V792" s="91"/>
      <c r="W792" s="91"/>
      <c r="X792" s="87"/>
    </row>
    <row r="793" spans="1:25" ht="12" customHeight="1" x14ac:dyDescent="0.25">
      <c r="A793" s="86" t="s">
        <v>420</v>
      </c>
      <c r="E793" s="216"/>
      <c r="F793" s="89">
        <f>F684</f>
        <v>1336211707.705034</v>
      </c>
      <c r="G793" s="89">
        <f t="shared" ref="G793:U793" si="313">G748</f>
        <v>567877412.19546735</v>
      </c>
      <c r="H793" s="89">
        <f t="shared" si="313"/>
        <v>162506339.3049964</v>
      </c>
      <c r="I793" s="89">
        <f t="shared" si="313"/>
        <v>10060572.537232244</v>
      </c>
      <c r="J793" s="89">
        <f t="shared" si="313"/>
        <v>128433408.52044</v>
      </c>
      <c r="K793" s="89">
        <f t="shared" si="313"/>
        <v>6055834.6905206563</v>
      </c>
      <c r="L793" s="89">
        <f t="shared" si="313"/>
        <v>121127445.76171796</v>
      </c>
      <c r="M793" s="89">
        <f t="shared" si="313"/>
        <v>232234517.40749204</v>
      </c>
      <c r="N793" s="89">
        <f t="shared" si="313"/>
        <v>73150529.296304807</v>
      </c>
      <c r="O793" s="89">
        <f t="shared" si="313"/>
        <v>17162526.732798882</v>
      </c>
      <c r="P793" s="89">
        <f t="shared" si="313"/>
        <v>16902010.422395907</v>
      </c>
      <c r="Q793" s="89">
        <f t="shared" si="313"/>
        <v>204496.49513987341</v>
      </c>
      <c r="R793" s="89">
        <f t="shared" si="313"/>
        <v>198535.98191941017</v>
      </c>
      <c r="S793" s="89">
        <f t="shared" si="313"/>
        <v>42146.303442610333</v>
      </c>
      <c r="T793" s="89">
        <f t="shared" si="313"/>
        <v>35244.573081736955</v>
      </c>
      <c r="U793" s="89">
        <f t="shared" si="313"/>
        <v>196302.7753636514</v>
      </c>
      <c r="V793" s="89">
        <f>V684</f>
        <v>24384.708324035404</v>
      </c>
      <c r="W793" s="89">
        <f>SUM(G793:V793)</f>
        <v>1336211707.7066376</v>
      </c>
      <c r="X793" s="87" t="str">
        <f>IF(ABS(F793-W793)&lt;0.01,"ok","err")</f>
        <v>ok</v>
      </c>
      <c r="Y793" s="91" t="str">
        <f>IF(X793="err",W793-F793,"")</f>
        <v/>
      </c>
    </row>
    <row r="794" spans="1:25" ht="12" customHeight="1" x14ac:dyDescent="0.25">
      <c r="E794" s="216"/>
      <c r="F794" s="89"/>
      <c r="G794" s="89"/>
      <c r="H794" s="89"/>
      <c r="I794" s="89"/>
      <c r="J794" s="89"/>
      <c r="K794" s="89"/>
      <c r="L794" s="89"/>
      <c r="M794" s="89"/>
      <c r="N794" s="89"/>
      <c r="O794" s="89"/>
      <c r="P794" s="89"/>
      <c r="Q794" s="89"/>
      <c r="R794" s="89"/>
      <c r="S794" s="89"/>
      <c r="T794" s="89"/>
      <c r="U794" s="89"/>
      <c r="V794" s="91"/>
      <c r="W794" s="91"/>
      <c r="X794" s="217"/>
    </row>
    <row r="795" spans="1:25" ht="12" customHeight="1" x14ac:dyDescent="0.25">
      <c r="A795" s="86" t="s">
        <v>195</v>
      </c>
      <c r="E795" s="216"/>
      <c r="F795" s="89"/>
      <c r="G795" s="89"/>
      <c r="H795" s="89"/>
      <c r="I795" s="89"/>
      <c r="J795" s="89"/>
      <c r="K795" s="89"/>
      <c r="L795" s="89"/>
      <c r="M795" s="89"/>
      <c r="N795" s="89"/>
      <c r="O795" s="89"/>
      <c r="P795" s="89"/>
      <c r="Q795" s="89"/>
      <c r="R795" s="89"/>
      <c r="S795" s="89"/>
      <c r="T795" s="89"/>
      <c r="U795" s="89"/>
      <c r="V795" s="89"/>
      <c r="W795" s="89"/>
      <c r="X795" s="87"/>
      <c r="Y795" s="91" t="str">
        <f>IF(X795="err",W795-F795,"")</f>
        <v/>
      </c>
    </row>
    <row r="796" spans="1:25" ht="12" customHeight="1" x14ac:dyDescent="0.25">
      <c r="A796" s="86" t="s">
        <v>2180</v>
      </c>
      <c r="E796" s="218">
        <v>3.16E-3</v>
      </c>
      <c r="F796" s="89">
        <f t="shared" ref="F796:V796" si="314">SUM(F781:F785)*$E$796</f>
        <v>538696.13960400003</v>
      </c>
      <c r="G796" s="89">
        <f t="shared" si="314"/>
        <v>215622.81666234994</v>
      </c>
      <c r="H796" s="89">
        <f t="shared" si="314"/>
        <v>84711.967780411956</v>
      </c>
      <c r="I796" s="89">
        <f t="shared" si="314"/>
        <v>4650.8848687326199</v>
      </c>
      <c r="J796" s="89">
        <f t="shared" si="314"/>
        <v>59222.551315065</v>
      </c>
      <c r="K796" s="89">
        <f t="shared" si="314"/>
        <v>3312.7126809828292</v>
      </c>
      <c r="L796" s="89">
        <f t="shared" si="314"/>
        <v>46020.462311750402</v>
      </c>
      <c r="M796" s="89">
        <f t="shared" si="314"/>
        <v>85171.219050935353</v>
      </c>
      <c r="N796" s="89">
        <f t="shared" si="314"/>
        <v>27770.04515416998</v>
      </c>
      <c r="O796" s="89">
        <f t="shared" si="314"/>
        <v>11104.746859708499</v>
      </c>
      <c r="P796" s="89">
        <f t="shared" si="314"/>
        <v>5.5329958934384225</v>
      </c>
      <c r="Q796" s="89">
        <f t="shared" si="314"/>
        <v>5.688E-2</v>
      </c>
      <c r="R796" s="89">
        <f t="shared" si="314"/>
        <v>6.3200000000000001E-3</v>
      </c>
      <c r="S796" s="89">
        <f t="shared" si="314"/>
        <v>-15.04792</v>
      </c>
      <c r="T796" s="89">
        <f t="shared" si="314"/>
        <v>153.04316079999998</v>
      </c>
      <c r="U796" s="89">
        <f t="shared" si="314"/>
        <v>934.87342320000005</v>
      </c>
      <c r="V796" s="89">
        <f t="shared" si="314"/>
        <v>30.268060000000002</v>
      </c>
      <c r="W796" s="89">
        <f>SUM(G796:V796)</f>
        <v>538696.13960400003</v>
      </c>
      <c r="X796" s="87" t="str">
        <f>IF(ABS(F796-W796)&lt;0.01,"ok","err")</f>
        <v>ok</v>
      </c>
      <c r="Y796" s="91" t="str">
        <f>IF(X796="err",W796-F796,"")</f>
        <v/>
      </c>
    </row>
    <row r="797" spans="1:25" ht="12" customHeight="1" x14ac:dyDescent="0.25">
      <c r="A797" s="86" t="s">
        <v>2181</v>
      </c>
      <c r="E797" s="218">
        <v>2E-3</v>
      </c>
      <c r="F797" s="89">
        <f t="shared" ref="F797:V797" si="315">SUM(F781:F785)*$E$797</f>
        <v>340946.92380000005</v>
      </c>
      <c r="G797" s="89">
        <f t="shared" si="315"/>
        <v>136470.13712806959</v>
      </c>
      <c r="H797" s="89">
        <f t="shared" si="315"/>
        <v>53615.169481273391</v>
      </c>
      <c r="I797" s="89">
        <f t="shared" si="315"/>
        <v>2943.5980181852024</v>
      </c>
      <c r="J797" s="89">
        <f t="shared" si="315"/>
        <v>37482.627414598101</v>
      </c>
      <c r="K797" s="89">
        <f t="shared" si="315"/>
        <v>2096.6535955587524</v>
      </c>
      <c r="L797" s="89">
        <f t="shared" si="315"/>
        <v>29126.874880854684</v>
      </c>
      <c r="M797" s="89">
        <f t="shared" si="315"/>
        <v>53905.834842364151</v>
      </c>
      <c r="N797" s="89">
        <f t="shared" si="315"/>
        <v>17575.977945677201</v>
      </c>
      <c r="O797" s="89">
        <f t="shared" si="315"/>
        <v>7028.32079728386</v>
      </c>
      <c r="P797" s="89">
        <f t="shared" si="315"/>
        <v>3.501896135087609</v>
      </c>
      <c r="Q797" s="89">
        <f t="shared" si="315"/>
        <v>3.6000000000000004E-2</v>
      </c>
      <c r="R797" s="89">
        <f t="shared" si="315"/>
        <v>4.0000000000000001E-3</v>
      </c>
      <c r="S797" s="89">
        <f t="shared" si="315"/>
        <v>-9.5240000000000009</v>
      </c>
      <c r="T797" s="89">
        <f t="shared" si="315"/>
        <v>96.862759999999994</v>
      </c>
      <c r="U797" s="89">
        <f t="shared" si="315"/>
        <v>591.69204000000002</v>
      </c>
      <c r="V797" s="89">
        <f t="shared" si="315"/>
        <v>19.157</v>
      </c>
      <c r="W797" s="89">
        <f>SUM(G797:V797)</f>
        <v>340946.92380000005</v>
      </c>
      <c r="X797" s="87" t="str">
        <f>IF(ABS(F797-W797)&lt;0.01,"ok","err")</f>
        <v>ok</v>
      </c>
      <c r="Y797" s="91" t="str">
        <f>IF(X797="err",W797-F797,"")</f>
        <v/>
      </c>
    </row>
    <row r="798" spans="1:25" ht="12" customHeight="1" x14ac:dyDescent="0.25">
      <c r="W798" s="91"/>
    </row>
    <row r="799" spans="1:25" ht="12" customHeight="1" x14ac:dyDescent="0.25">
      <c r="A799" s="86" t="s">
        <v>911</v>
      </c>
      <c r="E799" s="196">
        <f>0.0497535+0.19851647</f>
        <v>0.24826997000000001</v>
      </c>
      <c r="F799" s="89">
        <f t="shared" ref="F799:V799" si="316">SUM(F781:F786)*$E$799</f>
        <v>42323441.271709144</v>
      </c>
      <c r="G799" s="89">
        <f t="shared" si="316"/>
        <v>16940718.425340861</v>
      </c>
      <c r="H799" s="89">
        <f t="shared" si="316"/>
        <v>6655518.2593303304</v>
      </c>
      <c r="I799" s="89">
        <f t="shared" si="316"/>
        <v>365403.49583344982</v>
      </c>
      <c r="J799" s="89">
        <f t="shared" si="316"/>
        <v>4652905.3918717243</v>
      </c>
      <c r="K799" s="89">
        <f t="shared" si="316"/>
        <v>260268.06263488182</v>
      </c>
      <c r="L799" s="89">
        <f t="shared" si="316"/>
        <v>3615664.1764317732</v>
      </c>
      <c r="M799" s="89">
        <f t="shared" si="316"/>
        <v>6691599.9995693509</v>
      </c>
      <c r="N799" s="89">
        <f t="shared" si="316"/>
        <v>2181793.7586469701</v>
      </c>
      <c r="O799" s="89">
        <f t="shared" si="316"/>
        <v>872460.49674602004</v>
      </c>
      <c r="P799" s="89">
        <f t="shared" si="316"/>
        <v>434.70782420065831</v>
      </c>
      <c r="Q799" s="89">
        <f t="shared" si="316"/>
        <v>4.46885946</v>
      </c>
      <c r="R799" s="89">
        <f t="shared" si="316"/>
        <v>0.49653994000000001</v>
      </c>
      <c r="S799" s="89">
        <f t="shared" si="316"/>
        <v>-1182.26159714</v>
      </c>
      <c r="T799" s="89">
        <f t="shared" si="316"/>
        <v>12024.057259658599</v>
      </c>
      <c r="U799" s="89">
        <f t="shared" si="316"/>
        <v>73449.682510019411</v>
      </c>
      <c r="V799" s="89">
        <f t="shared" si="316"/>
        <v>2378.053907645</v>
      </c>
      <c r="W799" s="89">
        <f>SUM(G799:V799)</f>
        <v>42323441.271709144</v>
      </c>
      <c r="X799" s="87" t="str">
        <f>IF(ABS(F799-W799)&lt;0.01,"ok","err")</f>
        <v>ok</v>
      </c>
      <c r="Y799" s="91" t="str">
        <f>IF(X799="err",W799-F799,"")</f>
        <v/>
      </c>
    </row>
    <row r="800" spans="1:25" ht="12" customHeight="1" x14ac:dyDescent="0.25">
      <c r="F800" s="89"/>
      <c r="G800" s="89"/>
      <c r="H800" s="89"/>
      <c r="I800" s="89"/>
      <c r="J800" s="89"/>
      <c r="K800" s="89"/>
      <c r="L800" s="89"/>
      <c r="M800" s="89"/>
      <c r="N800" s="89"/>
      <c r="O800" s="89"/>
      <c r="P800" s="89"/>
      <c r="Q800" s="89"/>
      <c r="R800" s="89"/>
      <c r="S800" s="89"/>
      <c r="T800" s="89"/>
      <c r="U800" s="89"/>
      <c r="V800" s="91"/>
      <c r="W800" s="91"/>
      <c r="X800" s="217"/>
    </row>
    <row r="801" spans="1:25" ht="12" customHeight="1" x14ac:dyDescent="0.25">
      <c r="A801" s="86" t="s">
        <v>196</v>
      </c>
      <c r="F801" s="89">
        <f>SUM(F793:F799)</f>
        <v>1379414792.0401473</v>
      </c>
      <c r="G801" s="89">
        <f t="shared" ref="G801:V801" si="317">SUM(G793:G799)</f>
        <v>585170223.57459867</v>
      </c>
      <c r="H801" s="89">
        <f t="shared" si="317"/>
        <v>169300184.70158842</v>
      </c>
      <c r="I801" s="89">
        <f t="shared" si="317"/>
        <v>10433570.515952609</v>
      </c>
      <c r="J801" s="89">
        <f t="shared" si="317"/>
        <v>133183019.09104139</v>
      </c>
      <c r="K801" s="89">
        <f t="shared" si="317"/>
        <v>6321512.1194320787</v>
      </c>
      <c r="L801" s="89">
        <f t="shared" si="317"/>
        <v>124818257.27534233</v>
      </c>
      <c r="M801" s="89">
        <f t="shared" si="317"/>
        <v>239065194.4609547</v>
      </c>
      <c r="N801" s="89">
        <f t="shared" si="317"/>
        <v>75377669.078051612</v>
      </c>
      <c r="O801" s="89">
        <f t="shared" si="317"/>
        <v>18053120.29720189</v>
      </c>
      <c r="P801" s="89">
        <f t="shared" si="317"/>
        <v>16902454.165112138</v>
      </c>
      <c r="Q801" s="89">
        <f t="shared" si="317"/>
        <v>204501.0568793334</v>
      </c>
      <c r="R801" s="89">
        <f t="shared" si="317"/>
        <v>198536.48877935015</v>
      </c>
      <c r="S801" s="89">
        <f t="shared" si="317"/>
        <v>40939.469925470337</v>
      </c>
      <c r="T801" s="89">
        <f t="shared" si="317"/>
        <v>47518.536262195557</v>
      </c>
      <c r="U801" s="89">
        <f t="shared" si="317"/>
        <v>271279.02333687083</v>
      </c>
      <c r="V801" s="89">
        <f t="shared" si="317"/>
        <v>26812.187291680402</v>
      </c>
      <c r="W801" s="89">
        <f>SUM(G801:V801)</f>
        <v>1379414792.0417507</v>
      </c>
      <c r="X801" s="87" t="str">
        <f>IF(ABS(F801-W801)&lt;0.01,"ok","err")</f>
        <v>ok</v>
      </c>
      <c r="Y801" s="91" t="str">
        <f>IF(X801="err",W801-F801,"")</f>
        <v/>
      </c>
    </row>
    <row r="802" spans="1:25" ht="12" customHeight="1" x14ac:dyDescent="0.25">
      <c r="E802" s="91"/>
      <c r="W802" s="91"/>
    </row>
    <row r="803" spans="1:25" ht="12" customHeight="1" x14ac:dyDescent="0.25">
      <c r="A803" s="86" t="s">
        <v>910</v>
      </c>
      <c r="F803" s="89">
        <f>F788-F801</f>
        <v>377244908.30196714</v>
      </c>
      <c r="G803" s="89">
        <f t="shared" ref="G803:V803" si="318">G788-G801</f>
        <v>116464859.84637535</v>
      </c>
      <c r="H803" s="89">
        <f t="shared" si="318"/>
        <v>87456559.952084988</v>
      </c>
      <c r="I803" s="89">
        <f>I788-I801</f>
        <v>3379451.3834257033</v>
      </c>
      <c r="J803" s="89">
        <f t="shared" si="318"/>
        <v>59637921.435183465</v>
      </c>
      <c r="K803" s="89">
        <f>K788-K801</f>
        <v>4345429.9301542044</v>
      </c>
      <c r="L803" s="89">
        <f t="shared" si="318"/>
        <v>27664477.817111269</v>
      </c>
      <c r="M803" s="89">
        <f t="shared" si="318"/>
        <v>43849838.856684476</v>
      </c>
      <c r="N803" s="89">
        <f t="shared" si="318"/>
        <v>14526931.417296618</v>
      </c>
      <c r="O803" s="89">
        <f t="shared" si="318"/>
        <v>5497660.1477266476</v>
      </c>
      <c r="P803" s="89">
        <f t="shared" si="318"/>
        <v>13968388.381810091</v>
      </c>
      <c r="Q803" s="89">
        <f t="shared" si="318"/>
        <v>111867.89416742366</v>
      </c>
      <c r="R803" s="89">
        <f t="shared" si="318"/>
        <v>76261.919872230355</v>
      </c>
      <c r="S803" s="89">
        <f t="shared" si="318"/>
        <v>49407.55706634427</v>
      </c>
      <c r="T803" s="89">
        <f t="shared" si="318"/>
        <v>7659.3320338891426</v>
      </c>
      <c r="U803" s="89">
        <f t="shared" si="318"/>
        <v>187070.99666312942</v>
      </c>
      <c r="V803" s="89">
        <f t="shared" si="318"/>
        <v>21121.4327083196</v>
      </c>
      <c r="W803" s="89">
        <f>SUM(G803:V803)</f>
        <v>377244908.30036408</v>
      </c>
      <c r="X803" s="87" t="str">
        <f>IF(ABS(F803-W803)&lt;0.01,"ok","err")</f>
        <v>ok</v>
      </c>
      <c r="Y803" s="91" t="str">
        <f>IF(X803="err",W803-F803,"")</f>
        <v/>
      </c>
    </row>
    <row r="804" spans="1:25" ht="12" customHeight="1" x14ac:dyDescent="0.25">
      <c r="W804" s="91"/>
    </row>
    <row r="805" spans="1:25" ht="12" customHeight="1" x14ac:dyDescent="0.25">
      <c r="A805" s="288" t="s">
        <v>400</v>
      </c>
      <c r="F805" s="91">
        <f t="shared" ref="F805:V805" si="319">F756</f>
        <v>5197832023.3399992</v>
      </c>
      <c r="G805" s="91">
        <f t="shared" si="319"/>
        <v>2457262896.4775939</v>
      </c>
      <c r="H805" s="91">
        <f t="shared" si="319"/>
        <v>610215074.31991637</v>
      </c>
      <c r="I805" s="91">
        <f t="shared" si="319"/>
        <v>38745077.376713946</v>
      </c>
      <c r="J805" s="91">
        <f t="shared" si="319"/>
        <v>458917674.33772969</v>
      </c>
      <c r="K805" s="91">
        <f t="shared" si="319"/>
        <v>19889476.254637145</v>
      </c>
      <c r="L805" s="91">
        <f t="shared" si="319"/>
        <v>424876670.28377599</v>
      </c>
      <c r="M805" s="91">
        <f t="shared" si="319"/>
        <v>740522922.29555535</v>
      </c>
      <c r="N805" s="91">
        <f t="shared" si="319"/>
        <v>225552348.81659499</v>
      </c>
      <c r="O805" s="91">
        <f t="shared" si="319"/>
        <v>104343933.18818319</v>
      </c>
      <c r="P805" s="91">
        <f t="shared" si="319"/>
        <v>113343713.20751949</v>
      </c>
      <c r="Q805" s="91">
        <f t="shared" si="319"/>
        <v>398777.2411763831</v>
      </c>
      <c r="R805" s="91">
        <f t="shared" si="319"/>
        <v>615337.83011701179</v>
      </c>
      <c r="S805" s="91">
        <f t="shared" si="319"/>
        <v>174679.19030271503</v>
      </c>
      <c r="T805" s="91">
        <f t="shared" si="319"/>
        <v>105538.72018323612</v>
      </c>
      <c r="U805" s="91">
        <f t="shared" si="319"/>
        <v>2576969.3631635425</v>
      </c>
      <c r="V805" s="91">
        <f t="shared" si="319"/>
        <v>290934.43683645804</v>
      </c>
      <c r="W805" s="89">
        <f>SUM(G805:V805)</f>
        <v>5197832023.3399992</v>
      </c>
      <c r="X805" s="87" t="str">
        <f>IF(ABS(F805-W805)&lt;0.01,"ok","err")</f>
        <v>ok</v>
      </c>
      <c r="Y805" s="91" t="str">
        <f>IF(X805="err",W805-F805,"")</f>
        <v/>
      </c>
    </row>
    <row r="806" spans="1:25" ht="12" customHeight="1" thickBot="1" x14ac:dyDescent="0.3"/>
    <row r="807" spans="1:25" ht="12" customHeight="1" thickBot="1" x14ac:dyDescent="0.3">
      <c r="A807" s="390" t="s">
        <v>421</v>
      </c>
      <c r="B807" s="391"/>
      <c r="C807" s="391"/>
      <c r="D807" s="391"/>
      <c r="E807" s="391"/>
      <c r="F807" s="392">
        <f t="shared" ref="F807:P807" si="320">F803/F805</f>
        <v>7.2577356599446016E-2</v>
      </c>
      <c r="G807" s="392">
        <f t="shared" si="320"/>
        <v>4.7396174016758205E-2</v>
      </c>
      <c r="H807" s="392">
        <f t="shared" si="320"/>
        <v>0.14332087756035061</v>
      </c>
      <c r="I807" s="392">
        <f>I803/I805</f>
        <v>8.722272898225715E-2</v>
      </c>
      <c r="J807" s="392">
        <f t="shared" si="320"/>
        <v>0.12995342034112711</v>
      </c>
      <c r="K807" s="392">
        <f>K803/K805</f>
        <v>0.21847885155553487</v>
      </c>
      <c r="L807" s="392">
        <f t="shared" si="320"/>
        <v>6.5111783611545695E-2</v>
      </c>
      <c r="M807" s="392">
        <f t="shared" si="320"/>
        <v>5.9214694827749381E-2</v>
      </c>
      <c r="N807" s="392">
        <f t="shared" si="320"/>
        <v>6.4406030322960661E-2</v>
      </c>
      <c r="O807" s="392">
        <f t="shared" si="320"/>
        <v>5.268787537279887E-2</v>
      </c>
      <c r="P807" s="392">
        <f t="shared" si="320"/>
        <v>0.12323919859794567</v>
      </c>
      <c r="Q807" s="392">
        <f t="shared" ref="Q807:V807" si="321">Q803/Q805</f>
        <v>0.28052727843097591</v>
      </c>
      <c r="R807" s="392">
        <f t="shared" si="321"/>
        <v>0.12393504208530214</v>
      </c>
      <c r="S807" s="392">
        <f t="shared" si="321"/>
        <v>0.28284741291004445</v>
      </c>
      <c r="T807" s="392">
        <f t="shared" si="321"/>
        <v>7.2573667944722337E-2</v>
      </c>
      <c r="U807" s="392">
        <f t="shared" si="321"/>
        <v>7.2593411212881889E-2</v>
      </c>
      <c r="V807" s="392">
        <f t="shared" si="321"/>
        <v>7.2598599663856622E-2</v>
      </c>
      <c r="X807" s="387"/>
    </row>
    <row r="808" spans="1:25" ht="12" customHeight="1" x14ac:dyDescent="0.25">
      <c r="L808" s="101"/>
      <c r="M808" s="101"/>
      <c r="N808" s="101"/>
      <c r="R808" s="218"/>
    </row>
    <row r="809" spans="1:25" ht="12" customHeight="1" x14ac:dyDescent="0.25">
      <c r="A809" s="197"/>
      <c r="S809" s="196"/>
    </row>
    <row r="810" spans="1:25" ht="12" customHeight="1" x14ac:dyDescent="0.25">
      <c r="A810" s="197"/>
      <c r="F810" s="91"/>
      <c r="S810" s="196"/>
    </row>
    <row r="811" spans="1:25" ht="12" customHeight="1" x14ac:dyDescent="0.25">
      <c r="R811" s="218"/>
      <c r="S811" s="219"/>
    </row>
    <row r="812" spans="1:25" ht="12" customHeight="1" x14ac:dyDescent="0.25">
      <c r="A812" s="22" t="s">
        <v>497</v>
      </c>
    </row>
    <row r="814" spans="1:25" ht="12" customHeight="1" x14ac:dyDescent="0.25">
      <c r="A814" s="22" t="s">
        <v>424</v>
      </c>
    </row>
    <row r="815" spans="1:25" ht="12" customHeight="1" x14ac:dyDescent="0.25">
      <c r="A815" s="86" t="s">
        <v>425</v>
      </c>
      <c r="D815" s="86" t="s">
        <v>390</v>
      </c>
      <c r="E815" s="86" t="s">
        <v>104</v>
      </c>
      <c r="F815" s="107">
        <v>1</v>
      </c>
      <c r="G815" s="107">
        <f t="shared" ref="G815:V815" si="322">IF(VLOOKUP($E815,$D$5:$AJ$997,3,)=0,0,(VLOOKUP($E815,$D$5:$AJ$997,G$1,)/VLOOKUP($E815,$D$5:$AJ$997,3,))*$F815)</f>
        <v>0.34529350511818285</v>
      </c>
      <c r="H815" s="107">
        <f t="shared" si="322"/>
        <v>9.7491810744911353E-2</v>
      </c>
      <c r="I815" s="107">
        <f t="shared" si="322"/>
        <v>7.4680305447254267E-3</v>
      </c>
      <c r="J815" s="107">
        <f t="shared" si="322"/>
        <v>9.8714323735285936E-2</v>
      </c>
      <c r="K815" s="107">
        <f t="shared" si="322"/>
        <v>4.4612030860622575E-3</v>
      </c>
      <c r="L815" s="107">
        <f t="shared" si="322"/>
        <v>0.10365291292859578</v>
      </c>
      <c r="M815" s="107">
        <f t="shared" si="322"/>
        <v>0.22395812598660461</v>
      </c>
      <c r="N815" s="107">
        <f t="shared" si="322"/>
        <v>7.7945538897684644E-2</v>
      </c>
      <c r="O815" s="107">
        <f t="shared" si="322"/>
        <v>3.3621992464083955E-2</v>
      </c>
      <c r="P815" s="107">
        <f t="shared" si="322"/>
        <v>6.9800031238465652E-3</v>
      </c>
      <c r="Q815" s="107">
        <f t="shared" si="322"/>
        <v>2.5395399734172127E-4</v>
      </c>
      <c r="R815" s="107">
        <f t="shared" si="322"/>
        <v>1.3900079575850661E-4</v>
      </c>
      <c r="S815" s="107">
        <f t="shared" si="322"/>
        <v>1.8962438672518194E-5</v>
      </c>
      <c r="T815" s="107">
        <f t="shared" si="322"/>
        <v>6.3613824378938511E-7</v>
      </c>
      <c r="U815" s="107">
        <f t="shared" si="322"/>
        <v>0</v>
      </c>
      <c r="V815" s="107">
        <f t="shared" si="322"/>
        <v>0</v>
      </c>
      <c r="W815" s="107">
        <f>SUM(G815:V815)</f>
        <v>0.99999999999999989</v>
      </c>
      <c r="X815" s="87" t="str">
        <f>IF(ABS(F815-W815)&lt;0.01,"ok","err")</f>
        <v>ok</v>
      </c>
      <c r="Y815" s="91" t="str">
        <f>IF(X815="err",W815-F815,"")</f>
        <v/>
      </c>
    </row>
    <row r="817" spans="1:25" ht="12" customHeight="1" x14ac:dyDescent="0.25">
      <c r="A817" s="22" t="s">
        <v>426</v>
      </c>
    </row>
    <row r="818" spans="1:25" ht="12" customHeight="1" x14ac:dyDescent="0.25">
      <c r="A818" s="86" t="s">
        <v>434</v>
      </c>
      <c r="D818" s="86" t="s">
        <v>816</v>
      </c>
      <c r="E818" s="86" t="s">
        <v>905</v>
      </c>
      <c r="F818" s="103">
        <v>1</v>
      </c>
      <c r="G818" s="106">
        <f t="shared" ref="G818:V818" si="323">IF(VLOOKUP($E818,$D$5:$AJ$997,3,)=0,0,(VLOOKUP($E818,$D$5:$AJ$997,G$1,)/VLOOKUP($E818,$D$5:$AJ$997,3,))*$F818)</f>
        <v>0.80331465224481791</v>
      </c>
      <c r="H818" s="106">
        <f t="shared" si="323"/>
        <v>0.1503397827279232</v>
      </c>
      <c r="I818" s="106">
        <f t="shared" si="323"/>
        <v>7.7000468540586869E-4</v>
      </c>
      <c r="J818" s="106">
        <f t="shared" si="323"/>
        <v>8.0650726601119421E-3</v>
      </c>
      <c r="K818" s="106">
        <f t="shared" si="323"/>
        <v>3.7047395241225758E-4</v>
      </c>
      <c r="L818" s="106">
        <f t="shared" si="323"/>
        <v>1.3910933703323006E-3</v>
      </c>
      <c r="M818" s="106">
        <f t="shared" si="323"/>
        <v>4.6490848930165658E-4</v>
      </c>
      <c r="N818" s="106">
        <f t="shared" si="323"/>
        <v>0</v>
      </c>
      <c r="O818" s="106">
        <f t="shared" si="323"/>
        <v>0</v>
      </c>
      <c r="P818" s="106">
        <f t="shared" si="323"/>
        <v>3.4968019380872649E-2</v>
      </c>
      <c r="Q818" s="106">
        <f t="shared" si="323"/>
        <v>2.1792585436015154E-5</v>
      </c>
      <c r="R818" s="106">
        <f t="shared" si="323"/>
        <v>2.6877522037752023E-4</v>
      </c>
      <c r="S818" s="106">
        <f t="shared" si="323"/>
        <v>7.2641951453383841E-6</v>
      </c>
      <c r="T818" s="106">
        <f t="shared" si="323"/>
        <v>1.8160487863345959E-5</v>
      </c>
      <c r="U818" s="106">
        <f t="shared" si="323"/>
        <v>0</v>
      </c>
      <c r="V818" s="106">
        <f t="shared" si="323"/>
        <v>0</v>
      </c>
      <c r="W818" s="103">
        <f t="shared" ref="W818:W823" si="324">SUM(G818:V818)</f>
        <v>1</v>
      </c>
      <c r="X818" s="87" t="str">
        <f t="shared" ref="X818:X823" si="325">IF(ABS(F818-W818)&lt;0.01,"ok","err")</f>
        <v>ok</v>
      </c>
      <c r="Y818" s="91" t="str">
        <f t="shared" ref="Y818:Y823" si="326">IF(X818="err",W818-F818,"")</f>
        <v/>
      </c>
    </row>
    <row r="819" spans="1:25" ht="12" customHeight="1" x14ac:dyDescent="0.25">
      <c r="A819" s="86" t="s">
        <v>1472</v>
      </c>
      <c r="D819" s="86" t="s">
        <v>393</v>
      </c>
      <c r="F819" s="103">
        <v>1</v>
      </c>
      <c r="G819" s="107">
        <f>Services!F10</f>
        <v>0.79086356543712</v>
      </c>
      <c r="H819" s="107">
        <f>Services!F12</f>
        <v>0.17779177664292514</v>
      </c>
      <c r="I819" s="107">
        <f>Services!F14</f>
        <v>1.6086124019053705E-3</v>
      </c>
      <c r="J819" s="107">
        <f>Services!F16</f>
        <v>2.3104995525119073E-2</v>
      </c>
      <c r="K819" s="107">
        <f>Services!F18</f>
        <v>0</v>
      </c>
      <c r="L819" s="107">
        <f>Services!F20</f>
        <v>6.6102379692424872E-3</v>
      </c>
      <c r="M819" s="107">
        <f>Services!F22</f>
        <v>0</v>
      </c>
      <c r="N819" s="107">
        <f>Services!F24</f>
        <v>0</v>
      </c>
      <c r="O819" s="107">
        <f>Services!F26</f>
        <v>0</v>
      </c>
      <c r="P819" s="107">
        <f>Services!F28</f>
        <v>0</v>
      </c>
      <c r="Q819" s="107">
        <f>Services!F30</f>
        <v>0</v>
      </c>
      <c r="R819" s="107">
        <f>Services!F32</f>
        <v>0</v>
      </c>
      <c r="S819" s="107">
        <f>Services!F34</f>
        <v>2.0812023687899386E-5</v>
      </c>
      <c r="T819" s="107">
        <f>Services!F36</f>
        <v>0</v>
      </c>
      <c r="U819" s="107">
        <f>Services!G36</f>
        <v>0</v>
      </c>
      <c r="V819" s="107">
        <f>Services!H36</f>
        <v>0</v>
      </c>
      <c r="W819" s="103">
        <f t="shared" si="324"/>
        <v>0.99999999999999989</v>
      </c>
      <c r="X819" s="87" t="str">
        <f t="shared" si="325"/>
        <v>ok</v>
      </c>
      <c r="Y819" s="91" t="str">
        <f t="shared" si="326"/>
        <v/>
      </c>
    </row>
    <row r="820" spans="1:25" ht="12" customHeight="1" x14ac:dyDescent="0.25">
      <c r="A820" s="86" t="s">
        <v>435</v>
      </c>
      <c r="D820" s="86" t="s">
        <v>394</v>
      </c>
      <c r="F820" s="103">
        <v>1</v>
      </c>
      <c r="G820" s="107">
        <f>Meters!H10</f>
        <v>0.6041348719835814</v>
      </c>
      <c r="H820" s="107">
        <f>Meters!H12+Meters!H14</f>
        <v>0.24378643356686086</v>
      </c>
      <c r="I820" s="107">
        <f>Meters!H16+Meters!H18</f>
        <v>4.9761942299669619E-3</v>
      </c>
      <c r="J820" s="107">
        <f>Meters!H20</f>
        <v>7.6222903625319888E-2</v>
      </c>
      <c r="K820" s="107">
        <f>Meters!H22</f>
        <v>1.4906226308140374E-2</v>
      </c>
      <c r="L820" s="107">
        <f>Meters!H24</f>
        <v>1.3633378875441854E-2</v>
      </c>
      <c r="M820" s="107">
        <f>Meters!H26</f>
        <v>2.6405957284268648E-2</v>
      </c>
      <c r="N820" s="107">
        <f>Meters!H28</f>
        <v>1.3091885037551081E-2</v>
      </c>
      <c r="O820" s="107">
        <f>Meters!H30</f>
        <v>8.0815633183594542E-4</v>
      </c>
      <c r="P820" s="107">
        <f>Meters!H32</f>
        <v>0</v>
      </c>
      <c r="Q820" s="107">
        <f>Meters!H34</f>
        <v>1.4750250631099165E-4</v>
      </c>
      <c r="R820" s="107">
        <f>Meters!H36</f>
        <v>1.8178318138882398E-3</v>
      </c>
      <c r="S820" s="107">
        <f>Meters!H38</f>
        <v>6.8658436833973554E-5</v>
      </c>
      <c r="T820" s="107">
        <f>Meters!H40</f>
        <v>0</v>
      </c>
      <c r="U820" s="107">
        <f>Meters!I40</f>
        <v>0</v>
      </c>
      <c r="V820" s="107">
        <f>Meters!J40</f>
        <v>0</v>
      </c>
      <c r="W820" s="103">
        <f t="shared" si="324"/>
        <v>1.0000000000000002</v>
      </c>
      <c r="X820" s="87" t="str">
        <f t="shared" si="325"/>
        <v>ok</v>
      </c>
      <c r="Y820" s="91" t="str">
        <f t="shared" si="326"/>
        <v/>
      </c>
    </row>
    <row r="821" spans="1:25" ht="12" customHeight="1" x14ac:dyDescent="0.25">
      <c r="A821" s="86" t="s">
        <v>436</v>
      </c>
      <c r="D821" s="86" t="s">
        <v>395</v>
      </c>
      <c r="E821" s="86" t="s">
        <v>496</v>
      </c>
      <c r="F821" s="103">
        <v>1</v>
      </c>
      <c r="G821" s="106">
        <f t="shared" ref="G821:P822" si="327">IF(VLOOKUP($E821,$D$5:$AJ$997,3,)=0,0,(VLOOKUP($E821,$D$5:$AJ$997,G$1,)/VLOOKUP($E821,$D$5:$AJ$997,3,))*$F821)</f>
        <v>0</v>
      </c>
      <c r="H821" s="106">
        <f t="shared" si="327"/>
        <v>0</v>
      </c>
      <c r="I821" s="106">
        <f t="shared" si="327"/>
        <v>0</v>
      </c>
      <c r="J821" s="106">
        <f t="shared" si="327"/>
        <v>0</v>
      </c>
      <c r="K821" s="106">
        <f t="shared" si="327"/>
        <v>0</v>
      </c>
      <c r="L821" s="106">
        <f t="shared" si="327"/>
        <v>0</v>
      </c>
      <c r="M821" s="106">
        <f t="shared" si="327"/>
        <v>0</v>
      </c>
      <c r="N821" s="106">
        <f t="shared" si="327"/>
        <v>0</v>
      </c>
      <c r="O821" s="106">
        <f t="shared" si="327"/>
        <v>0</v>
      </c>
      <c r="P821" s="106">
        <f t="shared" si="327"/>
        <v>1</v>
      </c>
      <c r="Q821" s="106">
        <v>0</v>
      </c>
      <c r="R821" s="106">
        <v>0</v>
      </c>
      <c r="S821" s="106">
        <f t="shared" ref="S821:V822" si="328">IF(VLOOKUP($E821,$D$5:$AJ$997,3,)=0,0,(VLOOKUP($E821,$D$5:$AJ$997,S$1,)/VLOOKUP($E821,$D$5:$AJ$997,3,))*$F821)</f>
        <v>0</v>
      </c>
      <c r="T821" s="106">
        <f t="shared" si="328"/>
        <v>0</v>
      </c>
      <c r="U821" s="106">
        <f t="shared" si="328"/>
        <v>0</v>
      </c>
      <c r="V821" s="106">
        <f t="shared" si="328"/>
        <v>0</v>
      </c>
      <c r="W821" s="103">
        <f t="shared" si="324"/>
        <v>1</v>
      </c>
      <c r="X821" s="87" t="str">
        <f t="shared" si="325"/>
        <v>ok</v>
      </c>
      <c r="Y821" s="91" t="str">
        <f t="shared" si="326"/>
        <v/>
      </c>
    </row>
    <row r="822" spans="1:25" ht="12" customHeight="1" x14ac:dyDescent="0.25">
      <c r="A822" s="86" t="s">
        <v>437</v>
      </c>
      <c r="D822" s="86" t="s">
        <v>396</v>
      </c>
      <c r="E822" s="86" t="s">
        <v>851</v>
      </c>
      <c r="F822" s="103">
        <v>1</v>
      </c>
      <c r="G822" s="106">
        <f t="shared" si="327"/>
        <v>0.64961449781915914</v>
      </c>
      <c r="H822" s="106">
        <f t="shared" si="327"/>
        <v>0.24314980981892412</v>
      </c>
      <c r="I822" s="106">
        <f t="shared" si="327"/>
        <v>6.2267780829160123E-3</v>
      </c>
      <c r="J822" s="106">
        <f t="shared" si="327"/>
        <v>3.2609813049799541E-2</v>
      </c>
      <c r="K822" s="106">
        <f t="shared" si="327"/>
        <v>1.4979513312675312E-3</v>
      </c>
      <c r="L822" s="106">
        <f t="shared" si="327"/>
        <v>2.812330195467963E-2</v>
      </c>
      <c r="M822" s="106">
        <f t="shared" si="327"/>
        <v>9.3989103138354905E-3</v>
      </c>
      <c r="N822" s="106">
        <f t="shared" si="327"/>
        <v>7.3428986826839767E-4</v>
      </c>
      <c r="O822" s="106">
        <f t="shared" si="327"/>
        <v>7.3428986826839769E-5</v>
      </c>
      <c r="P822" s="106">
        <f t="shared" si="327"/>
        <v>2.8277502827015993E-2</v>
      </c>
      <c r="Q822" s="106">
        <f>IF(VLOOKUP($E822,$D$5:$AJ$997,3,)=0,0,(VLOOKUP($E822,$D$5:$AJ$997,Q$1,)/VLOOKUP($E822,$D$5:$AJ$997,3,))*$F822)</f>
        <v>1.7622956838441543E-5</v>
      </c>
      <c r="R822" s="106">
        <f>IF(VLOOKUP($E822,$D$5:$AJ$997,3,)=0,0,(VLOOKUP($E822,$D$5:$AJ$997,R$1,)/VLOOKUP($E822,$D$5:$AJ$997,3,))*$F822)</f>
        <v>2.1734980100744571E-4</v>
      </c>
      <c r="S822" s="106">
        <f t="shared" si="328"/>
        <v>2.9371594730735905E-5</v>
      </c>
      <c r="T822" s="106">
        <f t="shared" si="328"/>
        <v>2.9371594730735905E-5</v>
      </c>
      <c r="U822" s="106">
        <f t="shared" si="328"/>
        <v>0</v>
      </c>
      <c r="V822" s="106">
        <f t="shared" si="328"/>
        <v>0</v>
      </c>
      <c r="W822" s="103">
        <f t="shared" si="324"/>
        <v>1</v>
      </c>
      <c r="X822" s="87" t="str">
        <f t="shared" si="325"/>
        <v>ok</v>
      </c>
      <c r="Y822" s="91" t="str">
        <f t="shared" si="326"/>
        <v/>
      </c>
    </row>
    <row r="823" spans="1:25" ht="12" customHeight="1" x14ac:dyDescent="0.25">
      <c r="A823" s="86" t="s">
        <v>932</v>
      </c>
      <c r="D823" s="86" t="s">
        <v>397</v>
      </c>
      <c r="E823" s="86" t="s">
        <v>852</v>
      </c>
      <c r="F823" s="103">
        <v>1</v>
      </c>
      <c r="G823" s="106">
        <f t="shared" ref="G823:V823" si="329">IF(VLOOKUP($E823,$D$5:$AJ$997,3,)=0,0,ROUND((VLOOKUP($E823,$D$5:$AJ$997,G$1,)/VLOOKUP($E823,$D$5:$AJ$997,3,))*$F823,10))</f>
        <v>0.80328401739999999</v>
      </c>
      <c r="H823" s="106">
        <f t="shared" si="329"/>
        <v>0.1503340494</v>
      </c>
      <c r="I823" s="106">
        <f t="shared" si="329"/>
        <v>7.6997529999999999E-4</v>
      </c>
      <c r="J823" s="106">
        <f t="shared" si="329"/>
        <v>8.0647650999999994E-3</v>
      </c>
      <c r="K823" s="106">
        <f t="shared" si="329"/>
        <v>3.7045980000000001E-4</v>
      </c>
      <c r="L823" s="106">
        <f t="shared" si="329"/>
        <v>1.3910403E-3</v>
      </c>
      <c r="M823" s="106">
        <f t="shared" si="329"/>
        <v>4.6489079999999998E-4</v>
      </c>
      <c r="N823" s="106">
        <f t="shared" si="329"/>
        <v>3.6319599999999997E-5</v>
      </c>
      <c r="O823" s="106">
        <f t="shared" si="329"/>
        <v>1.8160000000000001E-6</v>
      </c>
      <c r="P823" s="106">
        <f t="shared" si="329"/>
        <v>3.4966685900000002E-2</v>
      </c>
      <c r="Q823" s="106">
        <f t="shared" si="329"/>
        <v>2.17918E-5</v>
      </c>
      <c r="R823" s="106">
        <f t="shared" si="329"/>
        <v>2.6876500000000002E-4</v>
      </c>
      <c r="S823" s="106">
        <f t="shared" si="329"/>
        <v>7.2639E-6</v>
      </c>
      <c r="T823" s="106">
        <f t="shared" si="329"/>
        <v>1.8159799999999998E-5</v>
      </c>
      <c r="U823" s="106">
        <f t="shared" si="329"/>
        <v>0</v>
      </c>
      <c r="V823" s="106">
        <f t="shared" si="329"/>
        <v>0</v>
      </c>
      <c r="W823" s="103">
        <f t="shared" si="324"/>
        <v>1.0000000001</v>
      </c>
      <c r="X823" s="87" t="str">
        <f t="shared" si="325"/>
        <v>ok</v>
      </c>
      <c r="Y823" s="91" t="str">
        <f t="shared" si="326"/>
        <v/>
      </c>
    </row>
    <row r="824" spans="1:25" ht="12" customHeight="1" x14ac:dyDescent="0.25">
      <c r="F824" s="103"/>
      <c r="G824" s="106"/>
      <c r="H824" s="106"/>
      <c r="I824" s="106"/>
      <c r="J824" s="106"/>
      <c r="K824" s="106"/>
      <c r="L824" s="106"/>
      <c r="M824" s="106"/>
      <c r="N824" s="106"/>
      <c r="O824" s="106"/>
      <c r="P824" s="106"/>
      <c r="Q824" s="106"/>
      <c r="R824" s="106"/>
      <c r="S824" s="106"/>
      <c r="T824" s="106"/>
      <c r="U824" s="106"/>
      <c r="V824" s="106"/>
      <c r="X824" s="87"/>
    </row>
    <row r="825" spans="1:25" ht="12" customHeight="1" x14ac:dyDescent="0.25">
      <c r="A825" s="86" t="s">
        <v>345</v>
      </c>
      <c r="D825" s="86" t="s">
        <v>494</v>
      </c>
      <c r="F825" s="90">
        <f>'Billing Det'!D39</f>
        <v>1558608458.4696758</v>
      </c>
      <c r="G825" s="90">
        <f>'Billing Det'!D8</f>
        <v>611492797.00999999</v>
      </c>
      <c r="H825" s="90">
        <f>'Billing Det'!D10</f>
        <v>224799513.08000001</v>
      </c>
      <c r="I825" s="90">
        <f>'Billing Det'!D12</f>
        <v>11901436</v>
      </c>
      <c r="J825" s="90">
        <f>'Billing Det'!D14</f>
        <v>169760856.79999998</v>
      </c>
      <c r="K825" s="90">
        <f>'Billing Det'!D16</f>
        <v>9429914.5700000003</v>
      </c>
      <c r="L825" s="90">
        <f>'Billing Det'!D18</f>
        <v>134172118.09000002</v>
      </c>
      <c r="M825" s="90">
        <f>'Billing Det'!D20</f>
        <v>250417885.84999999</v>
      </c>
      <c r="N825" s="90">
        <f>'Billing Det'!D22</f>
        <v>82247980.760000005</v>
      </c>
      <c r="O825" s="90">
        <f>'Billing Det'!D24</f>
        <v>32956814.48</v>
      </c>
      <c r="P825" s="90">
        <f>'Billing Det'!D26</f>
        <v>30555893.249675881</v>
      </c>
      <c r="Q825" s="90">
        <f>'Billing Det'!D28</f>
        <v>307245.55999999994</v>
      </c>
      <c r="R825" s="90">
        <f>'Billing Det'!D30</f>
        <v>271290.95</v>
      </c>
      <c r="S825" s="90">
        <f>'Billing Det'!D32</f>
        <v>92319.950000000012</v>
      </c>
      <c r="T825" s="90">
        <f>'Billing Det'!D34</f>
        <v>1533</v>
      </c>
      <c r="U825" s="90">
        <f>'Billing Det'!D36</f>
        <v>162504.0000000002</v>
      </c>
      <c r="V825" s="90">
        <f>'Billing Det'!D38</f>
        <v>38355.120000000003</v>
      </c>
      <c r="W825" s="94">
        <f>SUM(G825:V825)</f>
        <v>1558608458.4696758</v>
      </c>
      <c r="X825" s="87" t="str">
        <f>IF(ABS(F825-W825)&lt;0.01,"ok","err")</f>
        <v>ok</v>
      </c>
      <c r="Y825" s="91" t="str">
        <f>IF(X825="err",W825-F825,"")</f>
        <v/>
      </c>
    </row>
    <row r="826" spans="1:25" ht="12" customHeight="1" x14ac:dyDescent="0.25">
      <c r="A826" s="86" t="s">
        <v>1845</v>
      </c>
      <c r="F826" s="90">
        <f>'Billing Det'!C39</f>
        <v>17402124383.080002</v>
      </c>
      <c r="G826" s="90">
        <f>'Billing Det'!C8</f>
        <v>5943619831</v>
      </c>
      <c r="H826" s="90">
        <f>'Billing Det'!C10</f>
        <v>1678149896</v>
      </c>
      <c r="I826" s="90">
        <f>'Billing Det'!C12</f>
        <v>128548999</v>
      </c>
      <c r="J826" s="90">
        <f>'Billing Det'!C14</f>
        <v>1699193305</v>
      </c>
      <c r="K826" s="90">
        <f>'Billing Det'!C16</f>
        <v>78721459</v>
      </c>
      <c r="L826" s="90">
        <f>'Billing Det'!C18</f>
        <v>1784202424</v>
      </c>
      <c r="M826" s="90">
        <f>'Billing Det'!C20</f>
        <v>3951918371</v>
      </c>
      <c r="N826" s="90">
        <f>'Billing Det'!C22</f>
        <v>1404629847</v>
      </c>
      <c r="O826" s="90">
        <f>'Billing Det'!C24</f>
        <v>605890405</v>
      </c>
      <c r="P826" s="90">
        <f>'Billing Det'!C26</f>
        <v>120148466.08000028</v>
      </c>
      <c r="Q826" s="90">
        <f>'Billing Det'!C28</f>
        <v>4371371</v>
      </c>
      <c r="R826" s="90">
        <f>'Billing Det'!C30</f>
        <v>2392654</v>
      </c>
      <c r="S826" s="90">
        <f>'Billing Det'!C32</f>
        <v>326405</v>
      </c>
      <c r="T826" s="90">
        <f>'Billing Det'!C34</f>
        <v>10950</v>
      </c>
      <c r="U826" s="90">
        <f>'Billing Det'!C36</f>
        <v>0</v>
      </c>
      <c r="V826" s="90">
        <v>0</v>
      </c>
      <c r="W826" s="94">
        <f>SUM(G826:V826)</f>
        <v>17402124383.080002</v>
      </c>
      <c r="X826" s="87" t="str">
        <f>IF(ABS(F826-W826)&lt;0.01,"ok","err")</f>
        <v>ok</v>
      </c>
      <c r="Y826" s="91" t="str">
        <f>IF(X826="err",W826-F826,"")</f>
        <v/>
      </c>
    </row>
    <row r="827" spans="1:25" ht="12" customHeight="1" x14ac:dyDescent="0.25">
      <c r="A827" s="86" t="s">
        <v>1844</v>
      </c>
      <c r="D827" s="86" t="s">
        <v>104</v>
      </c>
      <c r="F827" s="105">
        <v>18429987350.630905</v>
      </c>
      <c r="G827" s="90">
        <f t="shared" ref="G827:L827" si="330">G826/0.93398</f>
        <v>6363754931.5831175</v>
      </c>
      <c r="H827" s="90">
        <f t="shared" si="330"/>
        <v>1796772838.8188183</v>
      </c>
      <c r="I827" s="90">
        <f t="shared" si="330"/>
        <v>137635708.47341484</v>
      </c>
      <c r="J827" s="90">
        <f t="shared" si="330"/>
        <v>1819303737.7674038</v>
      </c>
      <c r="K827" s="90">
        <f>K826/0.95745</f>
        <v>82219916.444722965</v>
      </c>
      <c r="L827" s="90">
        <f t="shared" si="330"/>
        <v>1910321874.1300669</v>
      </c>
      <c r="M827" s="90">
        <f>M826/0.95745</f>
        <v>4127545429.0041256</v>
      </c>
      <c r="N827" s="90">
        <f>N826/0.97779</f>
        <v>1436535295.9224372</v>
      </c>
      <c r="O827" s="90">
        <f>O826/0.97779</f>
        <v>619652895.81607497</v>
      </c>
      <c r="P827" s="90">
        <f t="shared" ref="P827:V827" si="331">P826/0.93398</f>
        <v>128641369.2798564</v>
      </c>
      <c r="Q827" s="90">
        <f t="shared" si="331"/>
        <v>4680368.9586500777</v>
      </c>
      <c r="R827" s="90">
        <f t="shared" si="331"/>
        <v>2561782.9075569068</v>
      </c>
      <c r="S827" s="90">
        <f t="shared" si="331"/>
        <v>349477.50487162464</v>
      </c>
      <c r="T827" s="90">
        <f t="shared" si="331"/>
        <v>11724.019786290926</v>
      </c>
      <c r="U827" s="90">
        <f t="shared" si="331"/>
        <v>0</v>
      </c>
      <c r="V827" s="90">
        <f t="shared" si="331"/>
        <v>0</v>
      </c>
      <c r="W827" s="94">
        <f>SUM(G827:V827)</f>
        <v>18429987350.630905</v>
      </c>
      <c r="X827" s="87" t="str">
        <f>IF(ABS(F827-W827)&lt;0.01,"ok","err")</f>
        <v>ok</v>
      </c>
      <c r="Y827" s="91" t="str">
        <f>IF(X827="err",W827-F827,"")</f>
        <v/>
      </c>
    </row>
    <row r="828" spans="1:25" ht="12" customHeight="1" x14ac:dyDescent="0.25">
      <c r="F828" s="90"/>
      <c r="G828" s="90"/>
      <c r="H828" s="90"/>
      <c r="I828" s="90"/>
      <c r="J828" s="90"/>
      <c r="K828" s="90"/>
      <c r="L828" s="90"/>
      <c r="M828" s="90"/>
      <c r="N828" s="90"/>
      <c r="O828" s="90"/>
      <c r="P828" s="90"/>
      <c r="Q828" s="90"/>
      <c r="R828" s="90"/>
      <c r="S828" s="90"/>
      <c r="T828" s="90"/>
      <c r="U828" s="90"/>
      <c r="V828" s="105"/>
      <c r="X828" s="87"/>
    </row>
    <row r="829" spans="1:25" ht="12" customHeight="1" x14ac:dyDescent="0.25">
      <c r="A829" s="288" t="s">
        <v>551</v>
      </c>
      <c r="F829" s="90"/>
      <c r="G829" s="90"/>
      <c r="H829" s="90"/>
      <c r="I829" s="90"/>
      <c r="J829" s="90"/>
      <c r="K829" s="90"/>
      <c r="L829" s="90"/>
      <c r="M829" s="90"/>
      <c r="N829" s="90"/>
      <c r="O829" s="90"/>
      <c r="P829" s="90"/>
      <c r="Q829" s="90"/>
      <c r="R829" s="90"/>
      <c r="S829" s="90"/>
      <c r="T829" s="90"/>
      <c r="U829" s="90"/>
      <c r="V829" s="105"/>
      <c r="X829" s="87"/>
    </row>
    <row r="830" spans="1:25" ht="12" customHeight="1" x14ac:dyDescent="0.25">
      <c r="A830" s="86" t="s">
        <v>491</v>
      </c>
      <c r="F830" s="220">
        <v>8471803.1013698634</v>
      </c>
      <c r="G830" s="90">
        <f>'Billing Det'!B8*12</f>
        <v>5308105.0191780822</v>
      </c>
      <c r="H830" s="90">
        <f>'Billing Det'!B10*12</f>
        <v>993412.76712328754</v>
      </c>
      <c r="I830" s="90">
        <f>'Billing Det'!B12*12</f>
        <v>5085.7315068493153</v>
      </c>
      <c r="J830" s="90">
        <f>'Billing Det'!B14*12</f>
        <v>53288.416438356158</v>
      </c>
      <c r="K830" s="90">
        <f>'Billing Det'!B16*12</f>
        <v>2445.3041095890412</v>
      </c>
      <c r="L830" s="90">
        <f>'Billing Det'!B18*12</f>
        <v>9195.4191780821911</v>
      </c>
      <c r="M830" s="90">
        <f>'Billing Det'!B20*12</f>
        <v>3066.4438356164383</v>
      </c>
      <c r="N830" s="90">
        <f>'Billing Det'!B22*12</f>
        <v>240</v>
      </c>
      <c r="O830" s="90">
        <f>'Billing Det'!B24*12</f>
        <v>12</v>
      </c>
      <c r="P830" s="90">
        <f>'Billing Det'!B26*12</f>
        <v>2079516</v>
      </c>
      <c r="Q830" s="90">
        <f>'Billing Det'!B28*12</f>
        <v>1296</v>
      </c>
      <c r="R830" s="90">
        <f>'Billing Det'!B30*12</f>
        <v>15972</v>
      </c>
      <c r="S830" s="90">
        <f>'Billing Det'!B32*12</f>
        <v>48</v>
      </c>
      <c r="T830" s="90">
        <f>'Billing Det'!B34*12</f>
        <v>120</v>
      </c>
      <c r="U830" s="90">
        <f>'Billing Det'!B36*12</f>
        <v>0</v>
      </c>
      <c r="V830" s="90">
        <f>'Billing Det'!B38*12</f>
        <v>0</v>
      </c>
      <c r="W830" s="94">
        <f t="shared" ref="W830:W839" si="332">SUM(G830:V830)</f>
        <v>8471803.1013698634</v>
      </c>
      <c r="X830" s="87" t="str">
        <f t="shared" ref="X830:X839" si="333">IF(ABS(F830-W830)&lt;0.01,"ok","err")</f>
        <v>ok</v>
      </c>
      <c r="Y830" s="91" t="str">
        <f t="shared" ref="Y830:Y839" si="334">IF(X830="err",W830-F830,"")</f>
        <v/>
      </c>
    </row>
    <row r="831" spans="1:25" ht="12" customHeight="1" x14ac:dyDescent="0.25">
      <c r="A831" s="86" t="s">
        <v>492</v>
      </c>
      <c r="F831" s="220">
        <v>705984</v>
      </c>
      <c r="G831" s="90">
        <f>ROUND(+G830/12,0)</f>
        <v>442342</v>
      </c>
      <c r="H831" s="90">
        <f t="shared" ref="H831:U831" si="335">ROUND(+H830/12,0)</f>
        <v>82784</v>
      </c>
      <c r="I831" s="90">
        <f>ROUND(+I830/12,0)</f>
        <v>424</v>
      </c>
      <c r="J831" s="90">
        <f t="shared" si="335"/>
        <v>4441</v>
      </c>
      <c r="K831" s="90">
        <f>ROUND(+K830/12,0)</f>
        <v>204</v>
      </c>
      <c r="L831" s="90">
        <f t="shared" si="335"/>
        <v>766</v>
      </c>
      <c r="M831" s="90">
        <f t="shared" si="335"/>
        <v>256</v>
      </c>
      <c r="N831" s="90">
        <f t="shared" si="335"/>
        <v>20</v>
      </c>
      <c r="O831" s="90">
        <f t="shared" si="335"/>
        <v>1</v>
      </c>
      <c r="P831" s="90">
        <f t="shared" si="335"/>
        <v>173293</v>
      </c>
      <c r="Q831" s="90">
        <f t="shared" si="335"/>
        <v>108</v>
      </c>
      <c r="R831" s="90">
        <f t="shared" si="335"/>
        <v>1331</v>
      </c>
      <c r="S831" s="90">
        <f t="shared" si="335"/>
        <v>4</v>
      </c>
      <c r="T831" s="90">
        <f t="shared" si="335"/>
        <v>10</v>
      </c>
      <c r="U831" s="90">
        <f t="shared" si="335"/>
        <v>0</v>
      </c>
      <c r="V831" s="90">
        <v>0</v>
      </c>
      <c r="W831" s="94">
        <f t="shared" si="332"/>
        <v>705984</v>
      </c>
      <c r="X831" s="87" t="str">
        <f t="shared" si="333"/>
        <v>ok</v>
      </c>
      <c r="Y831" s="91" t="str">
        <f t="shared" si="334"/>
        <v/>
      </c>
    </row>
    <row r="832" spans="1:25" ht="12" customHeight="1" x14ac:dyDescent="0.25">
      <c r="A832" s="86" t="s">
        <v>493</v>
      </c>
      <c r="F832" s="90">
        <v>705984</v>
      </c>
      <c r="G832" s="90">
        <f t="shared" ref="G832:U832" si="336">G831</f>
        <v>442342</v>
      </c>
      <c r="H832" s="90">
        <f t="shared" si="336"/>
        <v>82784</v>
      </c>
      <c r="I832" s="90">
        <f>I831</f>
        <v>424</v>
      </c>
      <c r="J832" s="90">
        <f>J831</f>
        <v>4441</v>
      </c>
      <c r="K832" s="90">
        <f>K831</f>
        <v>204</v>
      </c>
      <c r="L832" s="90">
        <f t="shared" si="336"/>
        <v>766</v>
      </c>
      <c r="M832" s="90">
        <f t="shared" si="336"/>
        <v>256</v>
      </c>
      <c r="N832" s="90">
        <f t="shared" si="336"/>
        <v>20</v>
      </c>
      <c r="O832" s="90">
        <f t="shared" si="336"/>
        <v>1</v>
      </c>
      <c r="P832" s="90">
        <f>P831</f>
        <v>173293</v>
      </c>
      <c r="Q832" s="90">
        <f t="shared" si="336"/>
        <v>108</v>
      </c>
      <c r="R832" s="90">
        <f t="shared" si="336"/>
        <v>1331</v>
      </c>
      <c r="S832" s="90">
        <f t="shared" si="336"/>
        <v>4</v>
      </c>
      <c r="T832" s="90">
        <f t="shared" si="336"/>
        <v>10</v>
      </c>
      <c r="U832" s="90">
        <f t="shared" si="336"/>
        <v>0</v>
      </c>
      <c r="V832" s="90">
        <v>0</v>
      </c>
      <c r="W832" s="94">
        <f t="shared" si="332"/>
        <v>705984</v>
      </c>
      <c r="X832" s="87" t="str">
        <f t="shared" si="333"/>
        <v>ok</v>
      </c>
      <c r="Y832" s="91" t="str">
        <f t="shared" si="334"/>
        <v/>
      </c>
    </row>
    <row r="833" spans="1:25" ht="12" customHeight="1" x14ac:dyDescent="0.25">
      <c r="A833" s="86" t="s">
        <v>763</v>
      </c>
      <c r="D833" s="86" t="s">
        <v>851</v>
      </c>
      <c r="F833" s="90">
        <v>680930</v>
      </c>
      <c r="G833" s="90">
        <f>ROUND(G832,0)</f>
        <v>442342</v>
      </c>
      <c r="H833" s="90">
        <f>ROUND(H832*2,0)</f>
        <v>165568</v>
      </c>
      <c r="I833" s="90">
        <f>ROUND(I832*10,0)</f>
        <v>4240</v>
      </c>
      <c r="J833" s="90">
        <f>ROUND(J832*5,0)</f>
        <v>22205</v>
      </c>
      <c r="K833" s="90">
        <f>ROUND(K832*5,0)</f>
        <v>1020</v>
      </c>
      <c r="L833" s="90">
        <f>ROUND(L832*25,0)</f>
        <v>19150</v>
      </c>
      <c r="M833" s="90">
        <f>ROUND(M832*25,0)</f>
        <v>6400</v>
      </c>
      <c r="N833" s="90">
        <f>ROUND(N832*25,0)</f>
        <v>500</v>
      </c>
      <c r="O833" s="90">
        <f>ROUND(O832*50,0)</f>
        <v>50</v>
      </c>
      <c r="P833" s="90">
        <f>ROUND(P832*1/9,0)</f>
        <v>19255</v>
      </c>
      <c r="Q833" s="90">
        <f>ROUND(Q832*1/9,0)</f>
        <v>12</v>
      </c>
      <c r="R833" s="90">
        <f>ROUND(R832*1/9,0)</f>
        <v>148</v>
      </c>
      <c r="S833" s="90">
        <f>ROUND(S832*5,0)</f>
        <v>20</v>
      </c>
      <c r="T833" s="90">
        <f>ROUND(T832*2,0)</f>
        <v>20</v>
      </c>
      <c r="U833" s="90">
        <f>ROUND(U832,0)</f>
        <v>0</v>
      </c>
      <c r="V833" s="90">
        <v>0</v>
      </c>
      <c r="W833" s="94">
        <f t="shared" si="332"/>
        <v>680930</v>
      </c>
      <c r="X833" s="87" t="str">
        <f t="shared" si="333"/>
        <v>ok</v>
      </c>
      <c r="Y833" s="91" t="str">
        <f t="shared" si="334"/>
        <v/>
      </c>
    </row>
    <row r="834" spans="1:25" ht="12" customHeight="1" x14ac:dyDescent="0.25">
      <c r="A834" s="86" t="s">
        <v>385</v>
      </c>
      <c r="D834" s="86" t="s">
        <v>496</v>
      </c>
      <c r="F834" s="90">
        <v>143087299.06384519</v>
      </c>
      <c r="G834" s="94">
        <v>0</v>
      </c>
      <c r="H834" s="94">
        <v>0</v>
      </c>
      <c r="I834" s="94">
        <v>0</v>
      </c>
      <c r="J834" s="94">
        <v>0</v>
      </c>
      <c r="K834" s="94">
        <v>0</v>
      </c>
      <c r="L834" s="94">
        <v>0</v>
      </c>
      <c r="M834" s="94">
        <v>0</v>
      </c>
      <c r="N834" s="90">
        <v>0</v>
      </c>
      <c r="O834" s="94">
        <v>0</v>
      </c>
      <c r="P834" s="94">
        <f>F834</f>
        <v>143087299.06384519</v>
      </c>
      <c r="Q834" s="94">
        <v>0</v>
      </c>
      <c r="R834" s="94">
        <v>0</v>
      </c>
      <c r="S834" s="94">
        <v>0</v>
      </c>
      <c r="T834" s="94">
        <v>0</v>
      </c>
      <c r="U834" s="94"/>
      <c r="V834" s="90">
        <v>0</v>
      </c>
      <c r="W834" s="94">
        <f t="shared" si="332"/>
        <v>143087299.06384519</v>
      </c>
      <c r="X834" s="87" t="str">
        <f t="shared" si="333"/>
        <v>ok</v>
      </c>
      <c r="Y834" s="91" t="str">
        <f t="shared" si="334"/>
        <v/>
      </c>
    </row>
    <row r="835" spans="1:25" ht="12" customHeight="1" x14ac:dyDescent="0.25">
      <c r="A835" s="86" t="s">
        <v>850</v>
      </c>
      <c r="D835" s="86" t="s">
        <v>495</v>
      </c>
      <c r="F835" s="90">
        <v>705984</v>
      </c>
      <c r="G835" s="90">
        <f>G832</f>
        <v>442342</v>
      </c>
      <c r="H835" s="90">
        <f t="shared" ref="H835:U835" si="337">H832</f>
        <v>82784</v>
      </c>
      <c r="I835" s="90">
        <f>I832</f>
        <v>424</v>
      </c>
      <c r="J835" s="90">
        <f>J832</f>
        <v>4441</v>
      </c>
      <c r="K835" s="90">
        <f>K832</f>
        <v>204</v>
      </c>
      <c r="L835" s="90">
        <f t="shared" si="337"/>
        <v>766</v>
      </c>
      <c r="M835" s="90">
        <f t="shared" si="337"/>
        <v>256</v>
      </c>
      <c r="N835" s="90">
        <f t="shared" si="337"/>
        <v>20</v>
      </c>
      <c r="O835" s="90">
        <f>O832</f>
        <v>1</v>
      </c>
      <c r="P835" s="90">
        <f>P832</f>
        <v>173293</v>
      </c>
      <c r="Q835" s="90">
        <f t="shared" si="337"/>
        <v>108</v>
      </c>
      <c r="R835" s="90">
        <f t="shared" si="337"/>
        <v>1331</v>
      </c>
      <c r="S835" s="90">
        <f t="shared" si="337"/>
        <v>4</v>
      </c>
      <c r="T835" s="90">
        <f t="shared" si="337"/>
        <v>10</v>
      </c>
      <c r="U835" s="90">
        <f t="shared" si="337"/>
        <v>0</v>
      </c>
      <c r="V835" s="90">
        <v>0</v>
      </c>
      <c r="W835" s="94">
        <f t="shared" si="332"/>
        <v>705984</v>
      </c>
      <c r="X835" s="87" t="str">
        <f t="shared" si="333"/>
        <v>ok</v>
      </c>
      <c r="Y835" s="91" t="str">
        <f t="shared" si="334"/>
        <v/>
      </c>
    </row>
    <row r="836" spans="1:25" ht="12" customHeight="1" x14ac:dyDescent="0.25">
      <c r="A836" s="86" t="s">
        <v>764</v>
      </c>
      <c r="D836" s="86" t="s">
        <v>852</v>
      </c>
      <c r="F836" s="90">
        <v>550667</v>
      </c>
      <c r="G836" s="90">
        <f t="shared" ref="G836:U836" si="338">G832</f>
        <v>442342</v>
      </c>
      <c r="H836" s="90">
        <f t="shared" si="338"/>
        <v>82784</v>
      </c>
      <c r="I836" s="90">
        <f>I832</f>
        <v>424</v>
      </c>
      <c r="J836" s="90">
        <f t="shared" si="338"/>
        <v>4441</v>
      </c>
      <c r="K836" s="90">
        <f>K832</f>
        <v>204</v>
      </c>
      <c r="L836" s="90">
        <f t="shared" si="338"/>
        <v>766</v>
      </c>
      <c r="M836" s="90">
        <f t="shared" si="338"/>
        <v>256</v>
      </c>
      <c r="N836" s="90">
        <f t="shared" si="338"/>
        <v>20</v>
      </c>
      <c r="O836" s="90">
        <f t="shared" si="338"/>
        <v>1</v>
      </c>
      <c r="P836" s="90">
        <f>ROUND(P832/9,0)</f>
        <v>19255</v>
      </c>
      <c r="Q836" s="90">
        <f>ROUND(Q832/9,0)</f>
        <v>12</v>
      </c>
      <c r="R836" s="90">
        <f>ROUND(R832/9,0)</f>
        <v>148</v>
      </c>
      <c r="S836" s="90">
        <f t="shared" si="338"/>
        <v>4</v>
      </c>
      <c r="T836" s="90">
        <f t="shared" si="338"/>
        <v>10</v>
      </c>
      <c r="U836" s="90">
        <f t="shared" si="338"/>
        <v>0</v>
      </c>
      <c r="V836" s="90">
        <v>0</v>
      </c>
      <c r="W836" s="94">
        <f t="shared" si="332"/>
        <v>550667</v>
      </c>
      <c r="X836" s="87" t="str">
        <f t="shared" si="333"/>
        <v>ok</v>
      </c>
      <c r="Y836" s="91" t="str">
        <f t="shared" si="334"/>
        <v/>
      </c>
    </row>
    <row r="837" spans="1:25" ht="12" customHeight="1" x14ac:dyDescent="0.25">
      <c r="A837" s="86" t="s">
        <v>765</v>
      </c>
      <c r="D837" s="86" t="s">
        <v>904</v>
      </c>
      <c r="F837" s="90">
        <v>550186</v>
      </c>
      <c r="G837" s="90">
        <f>G836</f>
        <v>442342</v>
      </c>
      <c r="H837" s="90">
        <f>H836</f>
        <v>82784</v>
      </c>
      <c r="I837" s="90">
        <f>I836</f>
        <v>424</v>
      </c>
      <c r="J837" s="90">
        <f>J836</f>
        <v>4441</v>
      </c>
      <c r="K837" s="90">
        <v>0</v>
      </c>
      <c r="L837" s="90">
        <f>L836</f>
        <v>766</v>
      </c>
      <c r="M837" s="90">
        <v>0</v>
      </c>
      <c r="N837" s="90">
        <v>0</v>
      </c>
      <c r="O837" s="90">
        <v>0</v>
      </c>
      <c r="P837" s="90">
        <f t="shared" ref="P837:U837" si="339">P836</f>
        <v>19255</v>
      </c>
      <c r="Q837" s="90">
        <f t="shared" si="339"/>
        <v>12</v>
      </c>
      <c r="R837" s="90">
        <f t="shared" si="339"/>
        <v>148</v>
      </c>
      <c r="S837" s="90">
        <f t="shared" si="339"/>
        <v>4</v>
      </c>
      <c r="T837" s="90">
        <f t="shared" si="339"/>
        <v>10</v>
      </c>
      <c r="U837" s="90">
        <f t="shared" si="339"/>
        <v>0</v>
      </c>
      <c r="V837" s="90">
        <v>0</v>
      </c>
      <c r="W837" s="94">
        <f t="shared" si="332"/>
        <v>550186</v>
      </c>
      <c r="X837" s="87" t="str">
        <f t="shared" si="333"/>
        <v>ok</v>
      </c>
      <c r="Y837" s="91" t="str">
        <f t="shared" si="334"/>
        <v/>
      </c>
    </row>
    <row r="838" spans="1:25" ht="12" customHeight="1" x14ac:dyDescent="0.25">
      <c r="A838" s="86" t="s">
        <v>766</v>
      </c>
      <c r="D838" s="86" t="s">
        <v>905</v>
      </c>
      <c r="F838" s="90">
        <v>550646</v>
      </c>
      <c r="G838" s="90">
        <f>G836</f>
        <v>442342</v>
      </c>
      <c r="H838" s="90">
        <f t="shared" ref="H838:M838" si="340">H836</f>
        <v>82784</v>
      </c>
      <c r="I838" s="90">
        <f t="shared" si="340"/>
        <v>424</v>
      </c>
      <c r="J838" s="90">
        <f t="shared" si="340"/>
        <v>4441</v>
      </c>
      <c r="K838" s="90">
        <f t="shared" si="340"/>
        <v>204</v>
      </c>
      <c r="L838" s="90">
        <f t="shared" si="340"/>
        <v>766</v>
      </c>
      <c r="M838" s="90">
        <f t="shared" si="340"/>
        <v>256</v>
      </c>
      <c r="N838" s="90">
        <v>0</v>
      </c>
      <c r="O838" s="90">
        <v>0</v>
      </c>
      <c r="P838" s="90">
        <f t="shared" ref="P838:U838" si="341">P836</f>
        <v>19255</v>
      </c>
      <c r="Q838" s="90">
        <f t="shared" si="341"/>
        <v>12</v>
      </c>
      <c r="R838" s="90">
        <f t="shared" si="341"/>
        <v>148</v>
      </c>
      <c r="S838" s="90">
        <f t="shared" si="341"/>
        <v>4</v>
      </c>
      <c r="T838" s="90">
        <f t="shared" si="341"/>
        <v>10</v>
      </c>
      <c r="U838" s="90">
        <f t="shared" si="341"/>
        <v>0</v>
      </c>
      <c r="V838" s="90">
        <v>0</v>
      </c>
      <c r="W838" s="94">
        <f t="shared" si="332"/>
        <v>550646</v>
      </c>
      <c r="X838" s="87" t="str">
        <f t="shared" si="333"/>
        <v>ok</v>
      </c>
      <c r="Y838" s="91" t="str">
        <f t="shared" si="334"/>
        <v/>
      </c>
    </row>
    <row r="839" spans="1:25" ht="12" customHeight="1" x14ac:dyDescent="0.25">
      <c r="A839" s="86" t="s">
        <v>2177</v>
      </c>
      <c r="D839" s="86" t="s">
        <v>2178</v>
      </c>
      <c r="F839" s="90">
        <v>550186</v>
      </c>
      <c r="G839" s="90">
        <f>G837</f>
        <v>442342</v>
      </c>
      <c r="H839" s="90">
        <f t="shared" ref="H839:U839" si="342">H837</f>
        <v>82784</v>
      </c>
      <c r="I839" s="90">
        <f t="shared" si="342"/>
        <v>424</v>
      </c>
      <c r="J839" s="90">
        <f t="shared" si="342"/>
        <v>4441</v>
      </c>
      <c r="K839" s="90">
        <f t="shared" si="342"/>
        <v>0</v>
      </c>
      <c r="L839" s="90">
        <f t="shared" si="342"/>
        <v>766</v>
      </c>
      <c r="M839" s="90">
        <f t="shared" si="342"/>
        <v>0</v>
      </c>
      <c r="N839" s="90">
        <f t="shared" si="342"/>
        <v>0</v>
      </c>
      <c r="O839" s="90">
        <f t="shared" si="342"/>
        <v>0</v>
      </c>
      <c r="P839" s="90">
        <f t="shared" si="342"/>
        <v>19255</v>
      </c>
      <c r="Q839" s="90">
        <f t="shared" si="342"/>
        <v>12</v>
      </c>
      <c r="R839" s="90">
        <f t="shared" si="342"/>
        <v>148</v>
      </c>
      <c r="S839" s="90">
        <f t="shared" si="342"/>
        <v>4</v>
      </c>
      <c r="T839" s="90">
        <f t="shared" si="342"/>
        <v>10</v>
      </c>
      <c r="U839" s="90">
        <f t="shared" si="342"/>
        <v>0</v>
      </c>
      <c r="V839" s="90">
        <v>0</v>
      </c>
      <c r="W839" s="94">
        <f t="shared" si="332"/>
        <v>550186</v>
      </c>
      <c r="X839" s="87" t="str">
        <f t="shared" si="333"/>
        <v>ok</v>
      </c>
      <c r="Y839" s="91" t="str">
        <f t="shared" si="334"/>
        <v/>
      </c>
    </row>
    <row r="840" spans="1:25" ht="12" customHeight="1" x14ac:dyDescent="0.25">
      <c r="F840" s="221"/>
      <c r="G840" s="221"/>
      <c r="H840" s="221"/>
      <c r="I840" s="221"/>
      <c r="J840" s="221"/>
      <c r="K840" s="221"/>
      <c r="L840" s="221"/>
      <c r="M840" s="221"/>
      <c r="N840" s="221"/>
      <c r="O840" s="221"/>
      <c r="P840" s="221"/>
      <c r="Q840" s="221"/>
      <c r="R840" s="221"/>
      <c r="S840" s="221"/>
      <c r="T840" s="221"/>
      <c r="U840" s="221"/>
      <c r="V840" s="221"/>
      <c r="X840" s="222"/>
      <c r="Y840" s="98"/>
    </row>
    <row r="841" spans="1:25" ht="12" customHeight="1" x14ac:dyDescent="0.25">
      <c r="A841" s="288" t="s">
        <v>552</v>
      </c>
      <c r="F841" s="90"/>
      <c r="G841" s="90"/>
      <c r="H841" s="90"/>
      <c r="I841" s="90"/>
      <c r="J841" s="90"/>
      <c r="K841" s="90"/>
      <c r="L841" s="90"/>
      <c r="M841" s="90"/>
      <c r="N841" s="90"/>
      <c r="O841" s="90"/>
      <c r="P841" s="90"/>
      <c r="Q841" s="221"/>
      <c r="R841" s="221"/>
      <c r="S841" s="221"/>
      <c r="T841" s="221"/>
      <c r="U841" s="90"/>
      <c r="V841" s="105"/>
      <c r="X841" s="87"/>
    </row>
    <row r="842" spans="1:25" ht="12" customHeight="1" x14ac:dyDescent="0.25">
      <c r="A842" s="86" t="s">
        <v>2450</v>
      </c>
      <c r="F842" s="220">
        <v>705870.61038461537</v>
      </c>
      <c r="G842" s="220">
        <f>442137+130+3</f>
        <v>442270</v>
      </c>
      <c r="H842" s="220">
        <v>82742.610384615371</v>
      </c>
      <c r="I842" s="220">
        <f>187+237</f>
        <v>424</v>
      </c>
      <c r="J842" s="220">
        <f>4442</f>
        <v>4442</v>
      </c>
      <c r="K842" s="220">
        <f>204</f>
        <v>204</v>
      </c>
      <c r="L842" s="220">
        <f>765</f>
        <v>765</v>
      </c>
      <c r="M842" s="220">
        <f>256</f>
        <v>256</v>
      </c>
      <c r="N842" s="220">
        <f>20</f>
        <v>20</v>
      </c>
      <c r="O842" s="220">
        <f>1</f>
        <v>1</v>
      </c>
      <c r="P842" s="220">
        <f>P831</f>
        <v>173293</v>
      </c>
      <c r="Q842" s="220">
        <f>108</f>
        <v>108</v>
      </c>
      <c r="R842" s="220">
        <f>1331</f>
        <v>1331</v>
      </c>
      <c r="S842" s="220">
        <v>4</v>
      </c>
      <c r="T842" s="462">
        <f>10</f>
        <v>10</v>
      </c>
      <c r="U842" s="220">
        <f>U831</f>
        <v>0</v>
      </c>
      <c r="V842" s="90">
        <v>0</v>
      </c>
      <c r="W842" s="94">
        <f t="shared" ref="W842:W850" si="343">SUM(G842:V842)</f>
        <v>705870.61038461537</v>
      </c>
      <c r="X842" s="87" t="str">
        <f t="shared" ref="X842:X850" si="344">IF(ABS(F842-W842)&lt;0.01,"ok","err")</f>
        <v>ok</v>
      </c>
      <c r="Y842" s="91" t="str">
        <f t="shared" ref="Y842:Y850" si="345">IF(X842="err",W842-F842,"")</f>
        <v/>
      </c>
    </row>
    <row r="843" spans="1:25" ht="12" customHeight="1" x14ac:dyDescent="0.25">
      <c r="A843" s="86" t="s">
        <v>493</v>
      </c>
      <c r="F843" s="220">
        <v>705870.61038461537</v>
      </c>
      <c r="G843" s="220">
        <f>G842</f>
        <v>442270</v>
      </c>
      <c r="H843" s="220">
        <f>H842</f>
        <v>82742.610384615371</v>
      </c>
      <c r="I843" s="220">
        <f>I842</f>
        <v>424</v>
      </c>
      <c r="J843" s="220">
        <f t="shared" ref="J843:U843" si="346">J842</f>
        <v>4442</v>
      </c>
      <c r="K843" s="220">
        <f t="shared" si="346"/>
        <v>204</v>
      </c>
      <c r="L843" s="220">
        <f t="shared" si="346"/>
        <v>765</v>
      </c>
      <c r="M843" s="220">
        <f t="shared" si="346"/>
        <v>256</v>
      </c>
      <c r="N843" s="220">
        <f t="shared" si="346"/>
        <v>20</v>
      </c>
      <c r="O843" s="220">
        <f t="shared" si="346"/>
        <v>1</v>
      </c>
      <c r="P843" s="220">
        <f t="shared" si="346"/>
        <v>173293</v>
      </c>
      <c r="Q843" s="220">
        <f t="shared" si="346"/>
        <v>108</v>
      </c>
      <c r="R843" s="220">
        <f t="shared" si="346"/>
        <v>1331</v>
      </c>
      <c r="S843" s="220">
        <f t="shared" si="346"/>
        <v>4</v>
      </c>
      <c r="T843" s="462">
        <f t="shared" si="346"/>
        <v>10</v>
      </c>
      <c r="U843" s="220">
        <f t="shared" si="346"/>
        <v>0</v>
      </c>
      <c r="V843" s="90">
        <v>0</v>
      </c>
      <c r="W843" s="94">
        <f t="shared" si="343"/>
        <v>705870.61038461537</v>
      </c>
      <c r="X843" s="87" t="str">
        <f t="shared" si="344"/>
        <v>ok</v>
      </c>
      <c r="Y843" s="91" t="str">
        <f t="shared" si="345"/>
        <v/>
      </c>
    </row>
    <row r="844" spans="1:25" ht="12" customHeight="1" x14ac:dyDescent="0.25">
      <c r="A844" s="86" t="s">
        <v>763</v>
      </c>
      <c r="D844" s="86" t="s">
        <v>2443</v>
      </c>
      <c r="F844" s="220">
        <v>680755</v>
      </c>
      <c r="G844" s="90">
        <f>ROUND(G843,0)</f>
        <v>442270</v>
      </c>
      <c r="H844" s="90">
        <f>ROUND(H843*2,0)</f>
        <v>165485</v>
      </c>
      <c r="I844" s="90">
        <f>ROUND(I843*10,0)</f>
        <v>4240</v>
      </c>
      <c r="J844" s="90">
        <f>ROUND(J843*5,0)</f>
        <v>22210</v>
      </c>
      <c r="K844" s="90">
        <f>ROUND(K843*5,0)</f>
        <v>1020</v>
      </c>
      <c r="L844" s="90">
        <f>ROUND(L843*25,0)</f>
        <v>19125</v>
      </c>
      <c r="M844" s="90">
        <f>ROUND(M843*25,0)</f>
        <v>6400</v>
      </c>
      <c r="N844" s="90">
        <f>ROUND(N843*25,0)</f>
        <v>500</v>
      </c>
      <c r="O844" s="90">
        <f>ROUND(O843*50,0)</f>
        <v>50</v>
      </c>
      <c r="P844" s="90">
        <f>ROUND(P843*1/9,0)</f>
        <v>19255</v>
      </c>
      <c r="Q844" s="90">
        <f>ROUND(Q843*1/9,0)</f>
        <v>12</v>
      </c>
      <c r="R844" s="90">
        <f>ROUND(R843*1/9,0)</f>
        <v>148</v>
      </c>
      <c r="S844" s="90">
        <f>ROUND(S843*5,0)</f>
        <v>20</v>
      </c>
      <c r="T844" s="463">
        <f>ROUND(T843*2,0)</f>
        <v>20</v>
      </c>
      <c r="U844" s="90">
        <f>ROUND(U843*2,0)</f>
        <v>0</v>
      </c>
      <c r="V844" s="90">
        <v>0</v>
      </c>
      <c r="W844" s="94">
        <f t="shared" si="343"/>
        <v>680755</v>
      </c>
      <c r="X844" s="87" t="str">
        <f t="shared" si="344"/>
        <v>ok</v>
      </c>
      <c r="Y844" s="91" t="str">
        <f t="shared" si="345"/>
        <v/>
      </c>
    </row>
    <row r="845" spans="1:25" ht="12" customHeight="1" x14ac:dyDescent="0.25">
      <c r="A845" s="86" t="s">
        <v>385</v>
      </c>
      <c r="D845" s="86" t="s">
        <v>2444</v>
      </c>
      <c r="F845" s="220">
        <v>143087299.06384519</v>
      </c>
      <c r="G845" s="220">
        <v>0</v>
      </c>
      <c r="H845" s="220">
        <v>0</v>
      </c>
      <c r="I845" s="220">
        <v>0</v>
      </c>
      <c r="J845" s="220">
        <v>0</v>
      </c>
      <c r="K845" s="220">
        <v>0</v>
      </c>
      <c r="L845" s="220">
        <v>0</v>
      </c>
      <c r="M845" s="220">
        <v>0</v>
      </c>
      <c r="N845" s="220">
        <v>0</v>
      </c>
      <c r="O845" s="220">
        <v>0</v>
      </c>
      <c r="P845" s="220">
        <f>P834</f>
        <v>143087299.06384519</v>
      </c>
      <c r="Q845" s="220">
        <v>0</v>
      </c>
      <c r="R845" s="220">
        <v>0</v>
      </c>
      <c r="S845" s="220">
        <v>0</v>
      </c>
      <c r="T845" s="462">
        <v>0</v>
      </c>
      <c r="U845" s="220">
        <v>0</v>
      </c>
      <c r="V845" s="90">
        <v>0</v>
      </c>
      <c r="W845" s="94">
        <f t="shared" si="343"/>
        <v>143087299.06384519</v>
      </c>
      <c r="X845" s="87" t="str">
        <f t="shared" si="344"/>
        <v>ok</v>
      </c>
      <c r="Y845" s="91" t="str">
        <f t="shared" si="345"/>
        <v/>
      </c>
    </row>
    <row r="846" spans="1:25" ht="12" customHeight="1" x14ac:dyDescent="0.25">
      <c r="A846" s="86" t="s">
        <v>850</v>
      </c>
      <c r="D846" s="86" t="s">
        <v>2445</v>
      </c>
      <c r="F846" s="220">
        <v>705870.61038461537</v>
      </c>
      <c r="G846" s="220">
        <f>G842</f>
        <v>442270</v>
      </c>
      <c r="H846" s="220">
        <f>H842</f>
        <v>82742.610384615371</v>
      </c>
      <c r="I846" s="220">
        <f>I835</f>
        <v>424</v>
      </c>
      <c r="J846" s="220">
        <f t="shared" ref="J846:T846" si="347">J842</f>
        <v>4442</v>
      </c>
      <c r="K846" s="220">
        <f t="shared" si="347"/>
        <v>204</v>
      </c>
      <c r="L846" s="220">
        <f t="shared" si="347"/>
        <v>765</v>
      </c>
      <c r="M846" s="220">
        <f t="shared" si="347"/>
        <v>256</v>
      </c>
      <c r="N846" s="220">
        <f t="shared" si="347"/>
        <v>20</v>
      </c>
      <c r="O846" s="220">
        <f t="shared" si="347"/>
        <v>1</v>
      </c>
      <c r="P846" s="220">
        <f t="shared" si="347"/>
        <v>173293</v>
      </c>
      <c r="Q846" s="220">
        <f t="shared" si="347"/>
        <v>108</v>
      </c>
      <c r="R846" s="220">
        <f t="shared" si="347"/>
        <v>1331</v>
      </c>
      <c r="S846" s="220">
        <f t="shared" si="347"/>
        <v>4</v>
      </c>
      <c r="T846" s="462">
        <f t="shared" si="347"/>
        <v>10</v>
      </c>
      <c r="U846" s="220">
        <f>U835</f>
        <v>0</v>
      </c>
      <c r="V846" s="90">
        <v>0</v>
      </c>
      <c r="W846" s="94">
        <f t="shared" si="343"/>
        <v>705870.61038461537</v>
      </c>
      <c r="X846" s="87" t="str">
        <f t="shared" si="344"/>
        <v>ok</v>
      </c>
      <c r="Y846" s="91" t="str">
        <f t="shared" si="345"/>
        <v/>
      </c>
    </row>
    <row r="847" spans="1:25" ht="12" customHeight="1" x14ac:dyDescent="0.25">
      <c r="A847" s="86" t="s">
        <v>764</v>
      </c>
      <c r="D847" s="86" t="s">
        <v>2446</v>
      </c>
      <c r="F847" s="220">
        <v>550553.38816239312</v>
      </c>
      <c r="G847" s="220">
        <f>G842</f>
        <v>442270</v>
      </c>
      <c r="H847" s="220">
        <f>H842</f>
        <v>82742.610384615371</v>
      </c>
      <c r="I847" s="220">
        <f>I836</f>
        <v>424</v>
      </c>
      <c r="J847" s="220">
        <f t="shared" ref="J847:O847" si="348">J842</f>
        <v>4442</v>
      </c>
      <c r="K847" s="220">
        <f t="shared" si="348"/>
        <v>204</v>
      </c>
      <c r="L847" s="220">
        <f t="shared" si="348"/>
        <v>765</v>
      </c>
      <c r="M847" s="220">
        <f t="shared" si="348"/>
        <v>256</v>
      </c>
      <c r="N847" s="220">
        <f t="shared" si="348"/>
        <v>20</v>
      </c>
      <c r="O847" s="220">
        <f t="shared" si="348"/>
        <v>1</v>
      </c>
      <c r="P847" s="220">
        <f>P846/9</f>
        <v>19254.777777777777</v>
      </c>
      <c r="Q847" s="220">
        <f>Q844</f>
        <v>12</v>
      </c>
      <c r="R847" s="220">
        <f>R844</f>
        <v>148</v>
      </c>
      <c r="S847" s="220">
        <f>S842</f>
        <v>4</v>
      </c>
      <c r="T847" s="462">
        <f>T842</f>
        <v>10</v>
      </c>
      <c r="U847" s="220">
        <f>U836</f>
        <v>0</v>
      </c>
      <c r="V847" s="90">
        <v>0</v>
      </c>
      <c r="W847" s="94">
        <f t="shared" si="343"/>
        <v>550553.38816239312</v>
      </c>
      <c r="X847" s="87" t="str">
        <f t="shared" si="344"/>
        <v>ok</v>
      </c>
      <c r="Y847" s="91" t="str">
        <f t="shared" si="345"/>
        <v/>
      </c>
    </row>
    <row r="848" spans="1:25" ht="12" customHeight="1" x14ac:dyDescent="0.25">
      <c r="A848" s="86" t="s">
        <v>765</v>
      </c>
      <c r="D848" s="86" t="s">
        <v>2447</v>
      </c>
      <c r="F848" s="220">
        <v>544871.38816239312</v>
      </c>
      <c r="G848" s="220">
        <f>G842</f>
        <v>442270</v>
      </c>
      <c r="H848" s="220">
        <f>H842</f>
        <v>82742.610384615371</v>
      </c>
      <c r="I848" s="220">
        <f>I837</f>
        <v>424</v>
      </c>
      <c r="J848" s="220">
        <v>0</v>
      </c>
      <c r="K848" s="220">
        <v>0</v>
      </c>
      <c r="L848" s="220">
        <v>0</v>
      </c>
      <c r="M848" s="220">
        <v>0</v>
      </c>
      <c r="N848" s="220">
        <v>0</v>
      </c>
      <c r="O848" s="220">
        <v>0</v>
      </c>
      <c r="P848" s="220">
        <f>P847</f>
        <v>19254.777777777777</v>
      </c>
      <c r="Q848" s="220">
        <f>Q844</f>
        <v>12</v>
      </c>
      <c r="R848" s="220">
        <f>R844</f>
        <v>148</v>
      </c>
      <c r="S848" s="220">
        <v>0</v>
      </c>
      <c r="T848" s="462">
        <f>T844</f>
        <v>20</v>
      </c>
      <c r="U848" s="220">
        <f>U837</f>
        <v>0</v>
      </c>
      <c r="V848" s="90">
        <v>0</v>
      </c>
      <c r="W848" s="94">
        <f t="shared" si="343"/>
        <v>544871.38816239312</v>
      </c>
      <c r="X848" s="87" t="str">
        <f t="shared" si="344"/>
        <v>ok</v>
      </c>
      <c r="Y848" s="91" t="str">
        <f t="shared" si="345"/>
        <v/>
      </c>
    </row>
    <row r="849" spans="1:25" ht="12" customHeight="1" x14ac:dyDescent="0.25">
      <c r="A849" s="86" t="s">
        <v>766</v>
      </c>
      <c r="D849" s="86" t="s">
        <v>2448</v>
      </c>
      <c r="F849" s="220">
        <v>550532.38816239312</v>
      </c>
      <c r="G849" s="220">
        <f>G842</f>
        <v>442270</v>
      </c>
      <c r="H849" s="220">
        <f>H842</f>
        <v>82742.610384615371</v>
      </c>
      <c r="I849" s="220">
        <f>I838</f>
        <v>424</v>
      </c>
      <c r="J849" s="220">
        <f>J842</f>
        <v>4442</v>
      </c>
      <c r="K849" s="220">
        <f>K843</f>
        <v>204</v>
      </c>
      <c r="L849" s="220">
        <f>L842</f>
        <v>765</v>
      </c>
      <c r="M849" s="220">
        <f>M842</f>
        <v>256</v>
      </c>
      <c r="N849" s="220">
        <v>0</v>
      </c>
      <c r="O849" s="220">
        <v>0</v>
      </c>
      <c r="P849" s="220">
        <f>P847</f>
        <v>19254.777777777777</v>
      </c>
      <c r="Q849" s="220">
        <f>Q844</f>
        <v>12</v>
      </c>
      <c r="R849" s="220">
        <f>R844</f>
        <v>148</v>
      </c>
      <c r="S849" s="220">
        <f>S842</f>
        <v>4</v>
      </c>
      <c r="T849" s="462">
        <f>T842</f>
        <v>10</v>
      </c>
      <c r="U849" s="220">
        <f>U838</f>
        <v>0</v>
      </c>
      <c r="V849" s="90">
        <v>0</v>
      </c>
      <c r="W849" s="94">
        <f t="shared" si="343"/>
        <v>550532.38816239312</v>
      </c>
      <c r="X849" s="87" t="str">
        <f t="shared" si="344"/>
        <v>ok</v>
      </c>
      <c r="Y849" s="91" t="str">
        <f t="shared" si="345"/>
        <v/>
      </c>
    </row>
    <row r="850" spans="1:25" ht="12" customHeight="1" x14ac:dyDescent="0.25">
      <c r="A850" s="86" t="s">
        <v>2177</v>
      </c>
      <c r="D850" s="86" t="s">
        <v>2449</v>
      </c>
      <c r="F850" s="90">
        <v>550072.38816239312</v>
      </c>
      <c r="G850" s="90">
        <f>G842</f>
        <v>442270</v>
      </c>
      <c r="H850" s="90">
        <f>H842</f>
        <v>82742.610384615371</v>
      </c>
      <c r="I850" s="90">
        <f>I839</f>
        <v>424</v>
      </c>
      <c r="J850" s="90">
        <f>J842</f>
        <v>4442</v>
      </c>
      <c r="K850" s="90">
        <v>0</v>
      </c>
      <c r="L850" s="90">
        <f>L842</f>
        <v>765</v>
      </c>
      <c r="M850" s="90">
        <v>0</v>
      </c>
      <c r="N850" s="90">
        <v>0</v>
      </c>
      <c r="O850" s="90">
        <v>0</v>
      </c>
      <c r="P850" s="90">
        <f>P847</f>
        <v>19254.777777777777</v>
      </c>
      <c r="Q850" s="90">
        <f>Q844</f>
        <v>12</v>
      </c>
      <c r="R850" s="90">
        <f>R844</f>
        <v>148</v>
      </c>
      <c r="S850" s="90">
        <f>S842</f>
        <v>4</v>
      </c>
      <c r="T850" s="463">
        <f>T842</f>
        <v>10</v>
      </c>
      <c r="U850" s="90">
        <f>U839</f>
        <v>0</v>
      </c>
      <c r="V850" s="90">
        <v>0</v>
      </c>
      <c r="W850" s="94">
        <f t="shared" si="343"/>
        <v>550072.38816239312</v>
      </c>
      <c r="X850" s="87" t="str">
        <f t="shared" si="344"/>
        <v>ok</v>
      </c>
      <c r="Y850" s="91" t="str">
        <f t="shared" si="345"/>
        <v/>
      </c>
    </row>
    <row r="851" spans="1:25" ht="12" customHeight="1" x14ac:dyDescent="0.25">
      <c r="F851" s="90"/>
      <c r="G851" s="90"/>
      <c r="H851" s="90"/>
      <c r="I851" s="90"/>
      <c r="J851" s="90"/>
      <c r="K851" s="90"/>
      <c r="L851" s="90"/>
      <c r="M851" s="90"/>
      <c r="N851" s="90"/>
      <c r="O851" s="90"/>
      <c r="P851" s="90"/>
      <c r="Q851" s="90"/>
      <c r="R851" s="90"/>
      <c r="S851" s="90"/>
      <c r="T851" s="94"/>
      <c r="U851" s="94"/>
      <c r="V851" s="90"/>
      <c r="X851" s="87"/>
    </row>
    <row r="852" spans="1:25" ht="12" customHeight="1" x14ac:dyDescent="0.25">
      <c r="A852" s="22" t="s">
        <v>767</v>
      </c>
    </row>
    <row r="853" spans="1:25" ht="12" customHeight="1" x14ac:dyDescent="0.25">
      <c r="A853" s="86" t="s">
        <v>2253</v>
      </c>
      <c r="D853" s="86" t="s">
        <v>2250</v>
      </c>
      <c r="F853" s="90">
        <f>'Billing Det'!F39</f>
        <v>4393697.2737191701</v>
      </c>
      <c r="G853" s="90">
        <f>'Billing Det'!F8</f>
        <v>1942660.4689632247</v>
      </c>
      <c r="H853" s="90">
        <f>'Billing Det'!F10</f>
        <v>498640.93691638455</v>
      </c>
      <c r="I853" s="90">
        <f>'Billing Det'!F12</f>
        <v>51033.053505076692</v>
      </c>
      <c r="J853" s="90">
        <f>'Billing Det'!F14</f>
        <v>444831.27870906284</v>
      </c>
      <c r="K853" s="90">
        <f>'Billing Det'!F16</f>
        <v>19114.763124868594</v>
      </c>
      <c r="L853" s="90">
        <f>'Billing Det'!F18</f>
        <v>393526.60100076534</v>
      </c>
      <c r="M853" s="90">
        <f>'Billing Det'!F20</f>
        <v>640911.13921073684</v>
      </c>
      <c r="N853" s="90">
        <f>'Billing Det'!F22</f>
        <v>222254.12773437682</v>
      </c>
      <c r="O853" s="90">
        <f>'Billing Det'!F24</f>
        <v>148927.31322082225</v>
      </c>
      <c r="P853" s="90">
        <f>'Billing Det'!F26</f>
        <v>29995.599539766878</v>
      </c>
      <c r="Q853" s="90">
        <f>'Billing Det'!F28</f>
        <v>1091.3322415009927</v>
      </c>
      <c r="R853" s="90">
        <f>'Billing Det'!F30</f>
        <v>294.03156148068956</v>
      </c>
      <c r="S853" s="90">
        <f>'Billing Det'!F32</f>
        <v>414.04436710277866</v>
      </c>
      <c r="T853" s="90">
        <f>'Billing Det'!F34</f>
        <v>2.5836240000000004</v>
      </c>
      <c r="U853" s="90">
        <f>'Billing Det'!F36</f>
        <v>0</v>
      </c>
      <c r="V853" s="90">
        <v>0</v>
      </c>
      <c r="W853" s="94">
        <f>SUM(G853:V853)</f>
        <v>4393697.2737191701</v>
      </c>
      <c r="X853" s="87" t="str">
        <f>IF(ABS(F853-W853)&lt;0.01,"ok","err")</f>
        <v>ok</v>
      </c>
      <c r="Y853" s="91" t="str">
        <f>IF(X853="err",W853-F853,"")</f>
        <v/>
      </c>
    </row>
    <row r="854" spans="1:25" ht="12" customHeight="1" x14ac:dyDescent="0.25">
      <c r="A854" s="86" t="s">
        <v>2252</v>
      </c>
      <c r="D854" s="86" t="s">
        <v>2254</v>
      </c>
      <c r="F854" s="90">
        <v>4022515.8327639718</v>
      </c>
      <c r="G854" s="90">
        <f>G853</f>
        <v>1942660.4689632247</v>
      </c>
      <c r="H854" s="90">
        <f t="shared" ref="H854:M854" si="349">H853</f>
        <v>498640.93691638455</v>
      </c>
      <c r="I854" s="90">
        <f t="shared" si="349"/>
        <v>51033.053505076692</v>
      </c>
      <c r="J854" s="90">
        <f t="shared" si="349"/>
        <v>444831.27870906284</v>
      </c>
      <c r="K854" s="90">
        <f t="shared" si="349"/>
        <v>19114.763124868594</v>
      </c>
      <c r="L854" s="90">
        <f t="shared" si="349"/>
        <v>393526.60100076534</v>
      </c>
      <c r="M854" s="90">
        <f t="shared" si="349"/>
        <v>640911.13921073684</v>
      </c>
      <c r="N854" s="90">
        <v>0</v>
      </c>
      <c r="O854" s="90">
        <v>0</v>
      </c>
      <c r="P854" s="90">
        <f t="shared" ref="P854:U854" si="350">P853</f>
        <v>29995.599539766878</v>
      </c>
      <c r="Q854" s="90">
        <f t="shared" si="350"/>
        <v>1091.3322415009927</v>
      </c>
      <c r="R854" s="90">
        <f t="shared" si="350"/>
        <v>294.03156148068956</v>
      </c>
      <c r="S854" s="90">
        <f t="shared" si="350"/>
        <v>414.04436710277866</v>
      </c>
      <c r="T854" s="90">
        <f t="shared" si="350"/>
        <v>2.5836240000000004</v>
      </c>
      <c r="U854" s="90">
        <f t="shared" si="350"/>
        <v>0</v>
      </c>
      <c r="V854" s="90">
        <v>0</v>
      </c>
      <c r="W854" s="94">
        <f>SUM(G854:V854)</f>
        <v>4022515.8327639718</v>
      </c>
      <c r="X854" s="87" t="str">
        <f>IF(ABS(F854-W854)&lt;0.01,"ok","err")</f>
        <v>ok</v>
      </c>
      <c r="Y854" s="91" t="str">
        <f>IF(X854="err",W854-F854,"")</f>
        <v/>
      </c>
    </row>
    <row r="855" spans="1:25" ht="12" customHeight="1" x14ac:dyDescent="0.25">
      <c r="A855" s="86" t="s">
        <v>2251</v>
      </c>
      <c r="D855" s="86" t="s">
        <v>2179</v>
      </c>
      <c r="F855" s="90">
        <v>6314350.5153040346</v>
      </c>
      <c r="G855" s="90">
        <f>'Billing Det'!G8</f>
        <v>4316217.873064125</v>
      </c>
      <c r="H855" s="90">
        <f>'Billing Det'!G10</f>
        <v>805142.80538294511</v>
      </c>
      <c r="I855" s="90">
        <f>'Billing Det'!G12</f>
        <v>58360.99794267011</v>
      </c>
      <c r="J855" s="90">
        <f>'Billing Det'!G14</f>
        <v>594859.36407179828</v>
      </c>
      <c r="K855" s="90">
        <v>0</v>
      </c>
      <c r="L855" s="90">
        <f>'Billing Det'!G18</f>
        <v>507680.84211596829</v>
      </c>
      <c r="M855" s="90">
        <v>0</v>
      </c>
      <c r="N855" s="90">
        <v>0</v>
      </c>
      <c r="O855" s="90">
        <v>0</v>
      </c>
      <c r="P855" s="90">
        <f>'Billing Det'!G26</f>
        <v>29995.599539766878</v>
      </c>
      <c r="Q855" s="90">
        <f>'Billing Det'!G28</f>
        <v>1091.3322415009927</v>
      </c>
      <c r="R855" s="90">
        <f>'Billing Det'!G30</f>
        <v>294.03156148068956</v>
      </c>
      <c r="S855" s="90">
        <f>'Billing Det'!G32</f>
        <v>705.08575977897306</v>
      </c>
      <c r="T855" s="90">
        <f>'Billing Det'!G34</f>
        <v>2.5836240000000004</v>
      </c>
      <c r="U855" s="90">
        <f>'Billing Det'!G36</f>
        <v>0</v>
      </c>
      <c r="V855" s="90">
        <v>0</v>
      </c>
      <c r="W855" s="94">
        <f>SUM(G855:V855)</f>
        <v>6314350.5153040346</v>
      </c>
      <c r="X855" s="87" t="str">
        <f>IF(ABS(F855-W855)&lt;0.01,"ok","err")</f>
        <v>ok</v>
      </c>
      <c r="Y855" s="91" t="str">
        <f>IF(X855="err",W855-F855,"")</f>
        <v/>
      </c>
    </row>
    <row r="856" spans="1:25" ht="12" customHeight="1" x14ac:dyDescent="0.25">
      <c r="A856" s="86" t="s">
        <v>735</v>
      </c>
      <c r="D856" s="86" t="s">
        <v>734</v>
      </c>
      <c r="F856" s="90">
        <v>5211105.2233564882</v>
      </c>
      <c r="G856" s="90">
        <f>G855</f>
        <v>4316217.873064125</v>
      </c>
      <c r="H856" s="90">
        <f>H855</f>
        <v>805142.80538294511</v>
      </c>
      <c r="I856" s="90">
        <f>I855</f>
        <v>58360.99794267011</v>
      </c>
      <c r="J856" s="90">
        <v>0</v>
      </c>
      <c r="K856" s="90">
        <v>0</v>
      </c>
      <c r="L856" s="90">
        <v>0</v>
      </c>
      <c r="M856" s="90">
        <v>0</v>
      </c>
      <c r="N856" s="90">
        <v>0</v>
      </c>
      <c r="O856" s="90">
        <v>0</v>
      </c>
      <c r="P856" s="90">
        <f>P855</f>
        <v>29995.599539766878</v>
      </c>
      <c r="Q856" s="90">
        <f>Q855</f>
        <v>1091.3322415009927</v>
      </c>
      <c r="R856" s="90">
        <f>R855</f>
        <v>294.03156148068956</v>
      </c>
      <c r="S856" s="90">
        <v>0</v>
      </c>
      <c r="T856" s="90">
        <f>T855</f>
        <v>2.5836240000000004</v>
      </c>
      <c r="U856" s="90">
        <f>U855</f>
        <v>0</v>
      </c>
      <c r="V856" s="90">
        <v>0</v>
      </c>
      <c r="W856" s="94">
        <f>SUM(G856:V856)</f>
        <v>5211105.2233564882</v>
      </c>
      <c r="X856" s="87" t="str">
        <f>IF(ABS(F856-W856)&lt;0.01,"ok","err")</f>
        <v>ok</v>
      </c>
      <c r="Y856" s="91" t="str">
        <f>IF(X856="err",W856-F856,"")</f>
        <v/>
      </c>
    </row>
    <row r="857" spans="1:25" ht="12" customHeight="1" x14ac:dyDescent="0.25">
      <c r="A857" s="86" t="s">
        <v>2347</v>
      </c>
      <c r="D857" s="86" t="s">
        <v>2269</v>
      </c>
      <c r="F857" s="90">
        <f>'Billing Det'!E39</f>
        <v>2463590.9027471277</v>
      </c>
      <c r="G857" s="90">
        <f>'Billing Det'!E8</f>
        <v>1011037.2510929377</v>
      </c>
      <c r="H857" s="90">
        <f>'Billing Det'!E10</f>
        <v>272317.21231124201</v>
      </c>
      <c r="I857" s="90">
        <f>'Billing Det'!E12</f>
        <v>17473.851647119453</v>
      </c>
      <c r="J857" s="90">
        <f>'Billing Det'!E14</f>
        <v>253946.70088653482</v>
      </c>
      <c r="K857" s="90">
        <f>'Billing Det'!E16</f>
        <v>11032.760543498471</v>
      </c>
      <c r="L857" s="90">
        <f>'Billing Det'!E18</f>
        <v>244227.26935782068</v>
      </c>
      <c r="M857" s="90">
        <f>'Billing Det'!E20</f>
        <v>447085.04602882155</v>
      </c>
      <c r="N857" s="90">
        <f>'Billing Det'!E22</f>
        <v>145532.91289106099</v>
      </c>
      <c r="O857" s="90">
        <f>'Billing Det'!E24</f>
        <v>60264.978990539406</v>
      </c>
      <c r="P857" s="90">
        <f>'Billing Det'!E26</f>
        <v>392.81061927535228</v>
      </c>
      <c r="Q857" s="90">
        <f>'Billing Det'!E28</f>
        <v>14.291659449941212</v>
      </c>
      <c r="R857" s="90">
        <f>'Billing Det'!E30</f>
        <v>233.70122555804252</v>
      </c>
      <c r="S857" s="90">
        <f>'Billing Det'!E32</f>
        <v>30.081348263269305</v>
      </c>
      <c r="T857" s="90">
        <f>'Billing Det'!E34</f>
        <v>2.0341450058514727</v>
      </c>
      <c r="U857" s="90">
        <f>'Billing Det'!E36</f>
        <v>0</v>
      </c>
      <c r="V857" s="90">
        <v>0</v>
      </c>
      <c r="W857" s="94">
        <f>SUM(G857:V857)</f>
        <v>2463590.9027471277</v>
      </c>
      <c r="X857" s="87" t="str">
        <f>IF(ABS(F857-W857)&lt;0.01,"ok","err")</f>
        <v>ok</v>
      </c>
      <c r="Y857" s="91" t="str">
        <f>IF(X857="err",W857-F857,"")</f>
        <v/>
      </c>
    </row>
    <row r="858" spans="1:25" ht="12" customHeight="1" x14ac:dyDescent="0.25">
      <c r="F858" s="90"/>
      <c r="G858" s="90"/>
      <c r="H858" s="90"/>
      <c r="I858" s="90"/>
      <c r="J858" s="90"/>
      <c r="K858" s="90"/>
      <c r="L858" s="90"/>
      <c r="M858" s="90"/>
      <c r="N858" s="90"/>
      <c r="O858" s="90"/>
      <c r="P858" s="90"/>
      <c r="Q858" s="90"/>
      <c r="R858" s="90"/>
      <c r="S858" s="90"/>
      <c r="T858" s="90"/>
      <c r="U858" s="90"/>
      <c r="V858" s="90"/>
      <c r="X858" s="87"/>
      <c r="Y858" s="91"/>
    </row>
    <row r="859" spans="1:25" ht="12" customHeight="1" x14ac:dyDescent="0.25">
      <c r="A859" s="81" t="s">
        <v>2413</v>
      </c>
      <c r="F859" s="107"/>
      <c r="G859" s="106"/>
      <c r="H859" s="106"/>
      <c r="I859" s="106"/>
      <c r="J859" s="106"/>
      <c r="K859" s="106"/>
      <c r="L859" s="106"/>
      <c r="M859" s="106"/>
      <c r="N859" s="106"/>
      <c r="O859" s="106"/>
      <c r="P859" s="106"/>
      <c r="Q859" s="106"/>
      <c r="R859" s="106"/>
      <c r="S859" s="106"/>
      <c r="T859" s="106"/>
      <c r="U859" s="106"/>
      <c r="V859" s="106"/>
      <c r="X859" s="87"/>
    </row>
    <row r="860" spans="1:25" ht="12" customHeight="1" x14ac:dyDescent="0.25">
      <c r="A860" s="86" t="s">
        <v>2367</v>
      </c>
      <c r="D860" s="86" t="s">
        <v>2359</v>
      </c>
      <c r="F860" s="90">
        <f>F857</f>
        <v>2463590.9027471277</v>
      </c>
      <c r="G860" s="90">
        <f>G857</f>
        <v>1011037.2510929377</v>
      </c>
      <c r="H860" s="90">
        <f t="shared" ref="H860:V860" si="351">H857</f>
        <v>272317.21231124201</v>
      </c>
      <c r="I860" s="90">
        <f t="shared" si="351"/>
        <v>17473.851647119453</v>
      </c>
      <c r="J860" s="90">
        <f t="shared" si="351"/>
        <v>253946.70088653482</v>
      </c>
      <c r="K860" s="90">
        <f t="shared" si="351"/>
        <v>11032.760543498471</v>
      </c>
      <c r="L860" s="90">
        <f t="shared" si="351"/>
        <v>244227.26935782068</v>
      </c>
      <c r="M860" s="90">
        <f t="shared" si="351"/>
        <v>447085.04602882155</v>
      </c>
      <c r="N860" s="90">
        <f t="shared" si="351"/>
        <v>145532.91289106099</v>
      </c>
      <c r="O860" s="90">
        <f t="shared" si="351"/>
        <v>60264.978990539406</v>
      </c>
      <c r="P860" s="90">
        <f t="shared" si="351"/>
        <v>392.81061927535228</v>
      </c>
      <c r="Q860" s="90">
        <f t="shared" si="351"/>
        <v>14.291659449941212</v>
      </c>
      <c r="R860" s="90">
        <f t="shared" si="351"/>
        <v>233.70122555804252</v>
      </c>
      <c r="S860" s="90">
        <f t="shared" si="351"/>
        <v>30.081348263269305</v>
      </c>
      <c r="T860" s="90">
        <f t="shared" si="351"/>
        <v>2.0341450058514727</v>
      </c>
      <c r="U860" s="90">
        <f t="shared" si="351"/>
        <v>0</v>
      </c>
      <c r="V860" s="90">
        <f t="shared" si="351"/>
        <v>0</v>
      </c>
      <c r="W860" s="94">
        <f>SUM(G860:V860)</f>
        <v>2463590.9027471277</v>
      </c>
      <c r="X860" s="87" t="str">
        <f t="shared" ref="X860:X865" si="352">IF(ABS(F860-W860)&lt;0.01,"ok","err")</f>
        <v>ok</v>
      </c>
      <c r="Y860" s="91" t="str">
        <f t="shared" ref="Y860:Y865" si="353">IF(X860="err",W860-F860,"")</f>
        <v/>
      </c>
    </row>
    <row r="861" spans="1:25" ht="12" customHeight="1" x14ac:dyDescent="0.25">
      <c r="A861" s="86" t="s">
        <v>2368</v>
      </c>
      <c r="F861" s="91">
        <f>F8</f>
        <v>6073014122.7946768</v>
      </c>
      <c r="G861" s="90"/>
      <c r="H861" s="90"/>
      <c r="I861" s="90"/>
      <c r="J861" s="90"/>
      <c r="K861" s="90"/>
      <c r="L861" s="90"/>
      <c r="M861" s="90"/>
      <c r="N861" s="90"/>
      <c r="O861" s="90"/>
      <c r="P861" s="90"/>
      <c r="Q861" s="90"/>
      <c r="R861" s="90"/>
      <c r="S861" s="90"/>
      <c r="T861" s="90"/>
      <c r="U861" s="90"/>
      <c r="V861" s="90">
        <f>V858</f>
        <v>0</v>
      </c>
      <c r="W861" s="94">
        <f>F861</f>
        <v>6073014122.7946768</v>
      </c>
      <c r="X861" s="87" t="str">
        <f t="shared" si="352"/>
        <v>ok</v>
      </c>
      <c r="Y861" s="91" t="str">
        <f t="shared" si="353"/>
        <v/>
      </c>
    </row>
    <row r="862" spans="1:25" ht="12" customHeight="1" x14ac:dyDescent="0.25">
      <c r="A862" s="86" t="s">
        <v>849</v>
      </c>
      <c r="F862" s="91">
        <v>3728601.1500000004</v>
      </c>
      <c r="G862" s="91"/>
      <c r="H862" s="91"/>
      <c r="I862" s="91"/>
      <c r="J862" s="91"/>
      <c r="K862" s="91"/>
      <c r="L862" s="91"/>
      <c r="M862" s="91"/>
      <c r="N862" s="91"/>
      <c r="O862" s="91"/>
      <c r="P862" s="91"/>
      <c r="Q862" s="91"/>
      <c r="R862" s="91"/>
      <c r="S862" s="91"/>
      <c r="T862" s="91"/>
      <c r="U862" s="91">
        <f>2795756.74+529301.18</f>
        <v>3325057.9200000004</v>
      </c>
      <c r="V862" s="91">
        <f>403543.23</f>
        <v>403543.23</v>
      </c>
      <c r="W862" s="94">
        <f>SUM(G862:V862)</f>
        <v>3728601.1500000004</v>
      </c>
      <c r="X862" s="87" t="str">
        <f t="shared" si="352"/>
        <v>ok</v>
      </c>
      <c r="Y862" s="91" t="str">
        <f t="shared" si="353"/>
        <v/>
      </c>
    </row>
    <row r="863" spans="1:25" ht="12" customHeight="1" x14ac:dyDescent="0.25">
      <c r="A863" s="86" t="s">
        <v>2369</v>
      </c>
      <c r="E863" s="86" t="s">
        <v>2359</v>
      </c>
      <c r="F863" s="91">
        <f>F861-F862</f>
        <v>6069285521.6446772</v>
      </c>
      <c r="G863" s="89">
        <f t="shared" ref="G863:V863" si="354">IF(VLOOKUP($E863,$D$5:$AJ$997,3,)=0,0,(VLOOKUP($E863,$D$5:$AJ$997,G$1,)/VLOOKUP($E863,$D$5:$AJ$997,3,))*$F863)</f>
        <v>2490784384.314497</v>
      </c>
      <c r="H863" s="89">
        <f t="shared" si="354"/>
        <v>670878802.21195447</v>
      </c>
      <c r="I863" s="89">
        <f t="shared" si="354"/>
        <v>43048460.152604669</v>
      </c>
      <c r="J863" s="89">
        <f t="shared" si="354"/>
        <v>625621337.22827744</v>
      </c>
      <c r="K863" s="89">
        <f t="shared" si="354"/>
        <v>27180232.625376381</v>
      </c>
      <c r="L863" s="89">
        <f t="shared" si="354"/>
        <v>601676612.88704765</v>
      </c>
      <c r="M863" s="89">
        <f t="shared" si="354"/>
        <v>1101435629.5035782</v>
      </c>
      <c r="N863" s="89">
        <f t="shared" si="354"/>
        <v>358533878.39172244</v>
      </c>
      <c r="O863" s="89">
        <f t="shared" si="354"/>
        <v>148468385.73792419</v>
      </c>
      <c r="P863" s="89">
        <f t="shared" si="354"/>
        <v>967725.52685501054</v>
      </c>
      <c r="Q863" s="89">
        <f t="shared" si="354"/>
        <v>35208.833448394929</v>
      </c>
      <c r="R863" s="89">
        <f t="shared" si="354"/>
        <v>575744.72412948112</v>
      </c>
      <c r="S863" s="89">
        <f t="shared" si="354"/>
        <v>74108.201683253079</v>
      </c>
      <c r="T863" s="89">
        <f t="shared" si="354"/>
        <v>5011.3055780379264</v>
      </c>
      <c r="U863" s="89">
        <f t="shared" si="354"/>
        <v>0</v>
      </c>
      <c r="V863" s="89">
        <f t="shared" si="354"/>
        <v>0</v>
      </c>
      <c r="W863" s="94">
        <f>SUM(G863:V863)</f>
        <v>6069285521.6446772</v>
      </c>
      <c r="X863" s="87" t="str">
        <f t="shared" si="352"/>
        <v>ok</v>
      </c>
      <c r="Y863" s="91" t="str">
        <f t="shared" si="353"/>
        <v/>
      </c>
    </row>
    <row r="864" spans="1:25" ht="12" customHeight="1" x14ac:dyDescent="0.25">
      <c r="A864" s="86" t="s">
        <v>2370</v>
      </c>
      <c r="D864" s="86" t="s">
        <v>2360</v>
      </c>
      <c r="F864" s="91">
        <f>F862+F863</f>
        <v>6073014122.7946768</v>
      </c>
      <c r="G864" s="91">
        <f>G862+G863</f>
        <v>2490784384.314497</v>
      </c>
      <c r="H864" s="91">
        <f t="shared" ref="H864:V864" si="355">H862+H863</f>
        <v>670878802.21195447</v>
      </c>
      <c r="I864" s="91">
        <f t="shared" si="355"/>
        <v>43048460.152604669</v>
      </c>
      <c r="J864" s="91">
        <f t="shared" si="355"/>
        <v>625621337.22827744</v>
      </c>
      <c r="K864" s="91">
        <f t="shared" si="355"/>
        <v>27180232.625376381</v>
      </c>
      <c r="L864" s="91">
        <f t="shared" si="355"/>
        <v>601676612.88704765</v>
      </c>
      <c r="M864" s="91">
        <f t="shared" si="355"/>
        <v>1101435629.5035782</v>
      </c>
      <c r="N864" s="91">
        <f t="shared" si="355"/>
        <v>358533878.39172244</v>
      </c>
      <c r="O864" s="91">
        <f t="shared" si="355"/>
        <v>148468385.73792419</v>
      </c>
      <c r="P864" s="91">
        <f t="shared" si="355"/>
        <v>967725.52685501054</v>
      </c>
      <c r="Q864" s="91">
        <f t="shared" si="355"/>
        <v>35208.833448394929</v>
      </c>
      <c r="R864" s="91">
        <f t="shared" si="355"/>
        <v>575744.72412948112</v>
      </c>
      <c r="S864" s="91">
        <f t="shared" si="355"/>
        <v>74108.201683253079</v>
      </c>
      <c r="T864" s="91">
        <f t="shared" si="355"/>
        <v>5011.3055780379264</v>
      </c>
      <c r="U864" s="91">
        <f t="shared" si="355"/>
        <v>3325057.9200000004</v>
      </c>
      <c r="V864" s="91">
        <f t="shared" si="355"/>
        <v>403543.23</v>
      </c>
      <c r="W864" s="94">
        <f>SUM(G864:V864)</f>
        <v>6073014122.7946768</v>
      </c>
      <c r="X864" s="87" t="str">
        <f t="shared" si="352"/>
        <v>ok</v>
      </c>
      <c r="Y864" s="91" t="str">
        <f t="shared" si="353"/>
        <v/>
      </c>
    </row>
    <row r="865" spans="1:25" ht="12" customHeight="1" x14ac:dyDescent="0.25">
      <c r="A865" s="86" t="s">
        <v>2371</v>
      </c>
      <c r="D865" s="86" t="s">
        <v>2361</v>
      </c>
      <c r="E865" s="86" t="s">
        <v>2360</v>
      </c>
      <c r="F865" s="107">
        <v>1</v>
      </c>
      <c r="G865" s="106">
        <f t="shared" ref="G865:V865" si="356">IF(VLOOKUP($E865,$D$5:$AJ$997,3,)=0,0,(VLOOKUP($E865,$D$5:$AJ$997,G$1,)/VLOOKUP($E865,$D$5:$AJ$997,3,))*$F865)</f>
        <v>0.41013973192742864</v>
      </c>
      <c r="H865" s="106">
        <f t="shared" si="356"/>
        <v>0.11046883617376305</v>
      </c>
      <c r="I865" s="106">
        <f t="shared" si="356"/>
        <v>7.088483458489744E-3</v>
      </c>
      <c r="J865" s="106">
        <f t="shared" si="356"/>
        <v>0.1030166116163055</v>
      </c>
      <c r="K865" s="106">
        <f t="shared" si="356"/>
        <v>4.4755754022301848E-3</v>
      </c>
      <c r="L865" s="106">
        <f t="shared" si="356"/>
        <v>9.907380432867631E-2</v>
      </c>
      <c r="M865" s="106">
        <f t="shared" si="356"/>
        <v>0.18136556366128126</v>
      </c>
      <c r="N865" s="106">
        <f t="shared" si="356"/>
        <v>5.9037221245046685E-2</v>
      </c>
      <c r="O865" s="106">
        <f t="shared" si="356"/>
        <v>2.4447232088701629E-2</v>
      </c>
      <c r="P865" s="106">
        <f t="shared" si="356"/>
        <v>1.5934847298028069E-4</v>
      </c>
      <c r="Q865" s="106">
        <f t="shared" si="356"/>
        <v>5.7975879417505038E-6</v>
      </c>
      <c r="R865" s="106">
        <f t="shared" si="356"/>
        <v>9.4803784823825699E-5</v>
      </c>
      <c r="S865" s="106">
        <f t="shared" si="356"/>
        <v>1.2202869972768976E-5</v>
      </c>
      <c r="T865" s="106">
        <f t="shared" si="356"/>
        <v>8.2517601255500232E-7</v>
      </c>
      <c r="U865" s="106">
        <f t="shared" si="356"/>
        <v>5.4751361560639292E-4</v>
      </c>
      <c r="V865" s="106">
        <f t="shared" si="356"/>
        <v>6.6448590739370396E-5</v>
      </c>
      <c r="W865" s="98">
        <f>SUM(G865:V865)</f>
        <v>0.99999999999999978</v>
      </c>
      <c r="X865" s="87" t="str">
        <f t="shared" si="352"/>
        <v>ok</v>
      </c>
      <c r="Y865" s="91" t="str">
        <f t="shared" si="353"/>
        <v/>
      </c>
    </row>
    <row r="866" spans="1:25" ht="12" customHeight="1" x14ac:dyDescent="0.25">
      <c r="F866" s="107"/>
      <c r="G866" s="106"/>
      <c r="H866" s="106"/>
      <c r="I866" s="106"/>
      <c r="J866" s="106"/>
      <c r="K866" s="106"/>
      <c r="L866" s="106"/>
      <c r="M866" s="106"/>
      <c r="N866" s="106"/>
      <c r="O866" s="106"/>
      <c r="P866" s="106"/>
      <c r="Q866" s="106"/>
      <c r="R866" s="106"/>
      <c r="S866" s="106"/>
      <c r="T866" s="106"/>
      <c r="U866" s="106"/>
      <c r="V866" s="106"/>
      <c r="X866" s="87"/>
    </row>
    <row r="867" spans="1:25" ht="12" customHeight="1" x14ac:dyDescent="0.25">
      <c r="A867" s="86" t="s">
        <v>2362</v>
      </c>
      <c r="D867" s="86" t="s">
        <v>2372</v>
      </c>
      <c r="F867" s="90">
        <f>F857</f>
        <v>2463590.9027471277</v>
      </c>
      <c r="G867" s="90">
        <f t="shared" ref="G867:V867" si="357">G857</f>
        <v>1011037.2510929377</v>
      </c>
      <c r="H867" s="90">
        <f t="shared" si="357"/>
        <v>272317.21231124201</v>
      </c>
      <c r="I867" s="90">
        <f t="shared" si="357"/>
        <v>17473.851647119453</v>
      </c>
      <c r="J867" s="90">
        <f t="shared" si="357"/>
        <v>253946.70088653482</v>
      </c>
      <c r="K867" s="90">
        <f t="shared" si="357"/>
        <v>11032.760543498471</v>
      </c>
      <c r="L867" s="90">
        <f t="shared" si="357"/>
        <v>244227.26935782068</v>
      </c>
      <c r="M867" s="90">
        <f t="shared" si="357"/>
        <v>447085.04602882155</v>
      </c>
      <c r="N867" s="90">
        <f t="shared" si="357"/>
        <v>145532.91289106099</v>
      </c>
      <c r="O867" s="90">
        <f t="shared" si="357"/>
        <v>60264.978990539406</v>
      </c>
      <c r="P867" s="90">
        <f t="shared" si="357"/>
        <v>392.81061927535228</v>
      </c>
      <c r="Q867" s="90">
        <f t="shared" si="357"/>
        <v>14.291659449941212</v>
      </c>
      <c r="R867" s="90">
        <f t="shared" si="357"/>
        <v>233.70122555804252</v>
      </c>
      <c r="S867" s="90">
        <f t="shared" si="357"/>
        <v>30.081348263269305</v>
      </c>
      <c r="T867" s="90">
        <f t="shared" si="357"/>
        <v>2.0341450058514727</v>
      </c>
      <c r="U867" s="90">
        <f t="shared" si="357"/>
        <v>0</v>
      </c>
      <c r="V867" s="90">
        <f t="shared" si="357"/>
        <v>0</v>
      </c>
      <c r="W867" s="94">
        <f>SUM(G867:V867)</f>
        <v>2463590.9027471277</v>
      </c>
      <c r="X867" s="87" t="str">
        <f t="shared" ref="X867:X872" si="358">IF(ABS(F867-W867)&lt;0.01,"ok","err")</f>
        <v>ok</v>
      </c>
      <c r="Y867" s="91" t="str">
        <f t="shared" ref="Y867:Y872" si="359">IF(X867="err",W867-F867,"")</f>
        <v/>
      </c>
    </row>
    <row r="868" spans="1:25" ht="12" customHeight="1" x14ac:dyDescent="0.25">
      <c r="A868" s="86" t="s">
        <v>2363</v>
      </c>
      <c r="F868" s="91">
        <f>F66</f>
        <v>3680027941.1597633</v>
      </c>
      <c r="G868" s="90"/>
      <c r="H868" s="90"/>
      <c r="I868" s="90"/>
      <c r="J868" s="90"/>
      <c r="K868" s="90"/>
      <c r="L868" s="90"/>
      <c r="M868" s="90"/>
      <c r="N868" s="90"/>
      <c r="O868" s="90"/>
      <c r="P868" s="90"/>
      <c r="Q868" s="90"/>
      <c r="R868" s="90"/>
      <c r="S868" s="90"/>
      <c r="T868" s="90"/>
      <c r="U868" s="90"/>
      <c r="V868" s="90"/>
      <c r="W868" s="94">
        <f>F868</f>
        <v>3680027941.1597633</v>
      </c>
      <c r="X868" s="87" t="str">
        <f t="shared" si="358"/>
        <v>ok</v>
      </c>
      <c r="Y868" s="91" t="str">
        <f t="shared" si="359"/>
        <v/>
      </c>
    </row>
    <row r="869" spans="1:25" ht="12" customHeight="1" x14ac:dyDescent="0.25">
      <c r="A869" s="86" t="s">
        <v>849</v>
      </c>
      <c r="F869" s="91">
        <v>3513379.5900000003</v>
      </c>
      <c r="G869" s="91"/>
      <c r="H869" s="91"/>
      <c r="I869" s="91"/>
      <c r="J869" s="91"/>
      <c r="K869" s="91"/>
      <c r="L869" s="91"/>
      <c r="M869" s="91"/>
      <c r="N869" s="91"/>
      <c r="O869" s="91"/>
      <c r="P869" s="91"/>
      <c r="Q869" s="91"/>
      <c r="R869" s="91"/>
      <c r="S869" s="91"/>
      <c r="T869" s="91"/>
      <c r="U869" s="91">
        <f>U862-183105.13</f>
        <v>3141952.7900000005</v>
      </c>
      <c r="V869" s="91">
        <f>V862-32116.43</f>
        <v>371426.8</v>
      </c>
      <c r="W869" s="94">
        <f>SUM(G869:V869)</f>
        <v>3513379.5900000003</v>
      </c>
      <c r="X869" s="87" t="str">
        <f t="shared" si="358"/>
        <v>ok</v>
      </c>
      <c r="Y869" s="91" t="str">
        <f t="shared" si="359"/>
        <v/>
      </c>
    </row>
    <row r="870" spans="1:25" ht="12" customHeight="1" x14ac:dyDescent="0.25">
      <c r="A870" s="86" t="s">
        <v>2364</v>
      </c>
      <c r="E870" s="86" t="s">
        <v>2372</v>
      </c>
      <c r="F870" s="91">
        <f>F868-F869</f>
        <v>3676514561.5697632</v>
      </c>
      <c r="G870" s="89">
        <f t="shared" ref="G870:V870" si="360">IF(VLOOKUP($E870,$D$5:$AJ$997,3,)=0,0,(VLOOKUP($E870,$D$5:$AJ$997,G$1,)/VLOOKUP($E870,$D$5:$AJ$997,3,))*$F870)</f>
        <v>1508811049.6705251</v>
      </c>
      <c r="H870" s="89">
        <f t="shared" si="360"/>
        <v>406389792.76630765</v>
      </c>
      <c r="I870" s="89">
        <f t="shared" si="360"/>
        <v>26076922.899702147</v>
      </c>
      <c r="J870" s="89">
        <f t="shared" si="360"/>
        <v>378974748.86388576</v>
      </c>
      <c r="K870" s="89">
        <f t="shared" si="360"/>
        <v>16464626.796297239</v>
      </c>
      <c r="L870" s="89">
        <f t="shared" si="360"/>
        <v>364470055.12368256</v>
      </c>
      <c r="M870" s="89">
        <f t="shared" si="360"/>
        <v>667202773.05463302</v>
      </c>
      <c r="N870" s="89">
        <f t="shared" si="360"/>
        <v>217184546.68549713</v>
      </c>
      <c r="O870" s="89">
        <f t="shared" si="360"/>
        <v>89935821.959867105</v>
      </c>
      <c r="P870" s="89">
        <f t="shared" si="360"/>
        <v>586206.89015156042</v>
      </c>
      <c r="Q870" s="89">
        <f t="shared" si="360"/>
        <v>21328.011082568217</v>
      </c>
      <c r="R870" s="89">
        <f t="shared" si="360"/>
        <v>348761.62185156241</v>
      </c>
      <c r="S870" s="89">
        <f t="shared" si="360"/>
        <v>44891.590888015533</v>
      </c>
      <c r="T870" s="89">
        <f t="shared" si="360"/>
        <v>3035.6353914191163</v>
      </c>
      <c r="U870" s="89">
        <f t="shared" si="360"/>
        <v>0</v>
      </c>
      <c r="V870" s="89">
        <f t="shared" si="360"/>
        <v>0</v>
      </c>
      <c r="W870" s="94">
        <f>SUM(G870:V870)</f>
        <v>3676514561.5697622</v>
      </c>
      <c r="X870" s="87" t="str">
        <f t="shared" si="358"/>
        <v>ok</v>
      </c>
      <c r="Y870" s="91" t="str">
        <f t="shared" si="359"/>
        <v/>
      </c>
    </row>
    <row r="871" spans="1:25" ht="12" customHeight="1" x14ac:dyDescent="0.25">
      <c r="A871" s="86" t="s">
        <v>2365</v>
      </c>
      <c r="D871" s="86" t="s">
        <v>2373</v>
      </c>
      <c r="F871" s="91">
        <f t="shared" ref="F871:V871" si="361">F869+F870</f>
        <v>3680027941.1597633</v>
      </c>
      <c r="G871" s="91">
        <f t="shared" si="361"/>
        <v>1508811049.6705251</v>
      </c>
      <c r="H871" s="91">
        <f t="shared" si="361"/>
        <v>406389792.76630765</v>
      </c>
      <c r="I871" s="91">
        <f t="shared" si="361"/>
        <v>26076922.899702147</v>
      </c>
      <c r="J871" s="91">
        <f t="shared" si="361"/>
        <v>378974748.86388576</v>
      </c>
      <c r="K871" s="91">
        <f t="shared" si="361"/>
        <v>16464626.796297239</v>
      </c>
      <c r="L871" s="91">
        <f t="shared" si="361"/>
        <v>364470055.12368256</v>
      </c>
      <c r="M871" s="91">
        <f t="shared" si="361"/>
        <v>667202773.05463302</v>
      </c>
      <c r="N871" s="91">
        <f t="shared" si="361"/>
        <v>217184546.68549713</v>
      </c>
      <c r="O871" s="91">
        <f t="shared" si="361"/>
        <v>89935821.959867105</v>
      </c>
      <c r="P871" s="91">
        <f t="shared" si="361"/>
        <v>586206.89015156042</v>
      </c>
      <c r="Q871" s="91">
        <f t="shared" si="361"/>
        <v>21328.011082568217</v>
      </c>
      <c r="R871" s="91">
        <f t="shared" si="361"/>
        <v>348761.62185156241</v>
      </c>
      <c r="S871" s="91">
        <f t="shared" si="361"/>
        <v>44891.590888015533</v>
      </c>
      <c r="T871" s="91">
        <f t="shared" si="361"/>
        <v>3035.6353914191163</v>
      </c>
      <c r="U871" s="91">
        <f t="shared" si="361"/>
        <v>3141952.7900000005</v>
      </c>
      <c r="V871" s="91">
        <f t="shared" si="361"/>
        <v>371426.8</v>
      </c>
      <c r="W871" s="94">
        <f>SUM(G871:V871)</f>
        <v>3680027941.1597624</v>
      </c>
      <c r="X871" s="87" t="str">
        <f t="shared" si="358"/>
        <v>ok</v>
      </c>
      <c r="Y871" s="91" t="str">
        <f t="shared" si="359"/>
        <v/>
      </c>
    </row>
    <row r="872" spans="1:25" ht="12" customHeight="1" x14ac:dyDescent="0.25">
      <c r="A872" s="86" t="s">
        <v>2366</v>
      </c>
      <c r="D872" s="86" t="s">
        <v>2374</v>
      </c>
      <c r="E872" s="86" t="s">
        <v>2373</v>
      </c>
      <c r="F872" s="107">
        <v>1</v>
      </c>
      <c r="G872" s="106">
        <f t="shared" ref="G872:V872" si="362">IF(VLOOKUP($E872,$D$5:$AJ$997,3,)=0,0,(VLOOKUP($E872,$D$5:$AJ$997,G$1,)/VLOOKUP($E872,$D$5:$AJ$997,3,))*$F872)</f>
        <v>0.40999988961905059</v>
      </c>
      <c r="H872" s="106">
        <f t="shared" si="362"/>
        <v>0.1104311704324271</v>
      </c>
      <c r="I872" s="106">
        <f t="shared" si="362"/>
        <v>7.0860665507566731E-3</v>
      </c>
      <c r="J872" s="106">
        <f t="shared" si="362"/>
        <v>0.10298148680481257</v>
      </c>
      <c r="K872" s="106">
        <f t="shared" si="362"/>
        <v>4.4740493984152738E-3</v>
      </c>
      <c r="L872" s="106">
        <f t="shared" si="362"/>
        <v>9.904002386699802E-2</v>
      </c>
      <c r="M872" s="106">
        <f t="shared" si="362"/>
        <v>0.18130372478757964</v>
      </c>
      <c r="N872" s="106">
        <f t="shared" si="362"/>
        <v>5.9017091760735725E-2</v>
      </c>
      <c r="O872" s="106">
        <f t="shared" si="362"/>
        <v>2.443889649694447E-2</v>
      </c>
      <c r="P872" s="106">
        <f t="shared" si="362"/>
        <v>1.5929414111100931E-4</v>
      </c>
      <c r="Q872" s="106">
        <f t="shared" si="362"/>
        <v>5.7956111811060543E-6</v>
      </c>
      <c r="R872" s="106">
        <f t="shared" si="362"/>
        <v>9.47714602790896E-5</v>
      </c>
      <c r="S872" s="106">
        <f t="shared" si="362"/>
        <v>1.2198709250524853E-5</v>
      </c>
      <c r="T872" s="106">
        <f t="shared" si="362"/>
        <v>8.2489465839828212E-7</v>
      </c>
      <c r="U872" s="106">
        <f t="shared" si="362"/>
        <v>8.5378503648257946E-4</v>
      </c>
      <c r="V872" s="106">
        <f t="shared" si="362"/>
        <v>1.0093042931705148E-4</v>
      </c>
      <c r="W872" s="98">
        <f>SUM(G872:V872)</f>
        <v>0.99999999999999978</v>
      </c>
      <c r="X872" s="87" t="str">
        <f t="shared" si="358"/>
        <v>ok</v>
      </c>
      <c r="Y872" s="91" t="str">
        <f t="shared" si="359"/>
        <v/>
      </c>
    </row>
    <row r="873" spans="1:25" ht="12" customHeight="1" x14ac:dyDescent="0.25">
      <c r="F873" s="107"/>
      <c r="G873" s="106"/>
      <c r="H873" s="106"/>
      <c r="I873" s="106"/>
      <c r="J873" s="106"/>
      <c r="K873" s="106"/>
      <c r="L873" s="106"/>
      <c r="M873" s="106"/>
      <c r="N873" s="106"/>
      <c r="O873" s="106"/>
      <c r="P873" s="106"/>
      <c r="Q873" s="106"/>
      <c r="R873" s="106"/>
      <c r="S873" s="106"/>
      <c r="T873" s="106"/>
      <c r="U873" s="106"/>
      <c r="V873" s="106"/>
      <c r="X873" s="87"/>
    </row>
    <row r="874" spans="1:25" ht="12" customHeight="1" x14ac:dyDescent="0.25">
      <c r="A874" s="86" t="s">
        <v>2375</v>
      </c>
      <c r="D874" s="86" t="s">
        <v>2380</v>
      </c>
      <c r="F874" s="90">
        <f>F857</f>
        <v>2463590.9027471277</v>
      </c>
      <c r="G874" s="90">
        <f t="shared" ref="G874:V874" si="363">G857</f>
        <v>1011037.2510929377</v>
      </c>
      <c r="H874" s="90">
        <f t="shared" si="363"/>
        <v>272317.21231124201</v>
      </c>
      <c r="I874" s="90">
        <f t="shared" si="363"/>
        <v>17473.851647119453</v>
      </c>
      <c r="J874" s="90">
        <f t="shared" si="363"/>
        <v>253946.70088653482</v>
      </c>
      <c r="K874" s="90">
        <f t="shared" si="363"/>
        <v>11032.760543498471</v>
      </c>
      <c r="L874" s="90">
        <f t="shared" si="363"/>
        <v>244227.26935782068</v>
      </c>
      <c r="M874" s="90">
        <f t="shared" si="363"/>
        <v>447085.04602882155</v>
      </c>
      <c r="N874" s="90">
        <f t="shared" si="363"/>
        <v>145532.91289106099</v>
      </c>
      <c r="O874" s="90">
        <f t="shared" si="363"/>
        <v>60264.978990539406</v>
      </c>
      <c r="P874" s="90">
        <f t="shared" si="363"/>
        <v>392.81061927535228</v>
      </c>
      <c r="Q874" s="90">
        <f t="shared" si="363"/>
        <v>14.291659449941212</v>
      </c>
      <c r="R874" s="90">
        <f t="shared" si="363"/>
        <v>233.70122555804252</v>
      </c>
      <c r="S874" s="90">
        <f t="shared" si="363"/>
        <v>30.081348263269305</v>
      </c>
      <c r="T874" s="90">
        <f t="shared" si="363"/>
        <v>2.0341450058514727</v>
      </c>
      <c r="U874" s="90">
        <f t="shared" si="363"/>
        <v>0</v>
      </c>
      <c r="V874" s="90">
        <f t="shared" si="363"/>
        <v>0</v>
      </c>
      <c r="W874" s="94">
        <f>SUM(G874:V874)</f>
        <v>2463590.9027471277</v>
      </c>
      <c r="X874" s="87" t="str">
        <f t="shared" ref="X874:X879" si="364">IF(ABS(F874-W874)&lt;0.01,"ok","err")</f>
        <v>ok</v>
      </c>
      <c r="Y874" s="91" t="str">
        <f t="shared" ref="Y874:Y879" si="365">IF(X874="err",W874-F874,"")</f>
        <v/>
      </c>
    </row>
    <row r="875" spans="1:25" ht="12" customHeight="1" x14ac:dyDescent="0.25">
      <c r="A875" s="86" t="s">
        <v>2376</v>
      </c>
      <c r="F875" s="91">
        <f>F123</f>
        <v>2975438420.0715351</v>
      </c>
      <c r="G875" s="90"/>
      <c r="H875" s="90"/>
      <c r="I875" s="90"/>
      <c r="J875" s="90"/>
      <c r="K875" s="90"/>
      <c r="L875" s="90"/>
      <c r="M875" s="90"/>
      <c r="N875" s="90"/>
      <c r="O875" s="90"/>
      <c r="P875" s="90"/>
      <c r="Q875" s="90"/>
      <c r="R875" s="90"/>
      <c r="S875" s="90"/>
      <c r="T875" s="90"/>
      <c r="U875" s="90"/>
      <c r="V875" s="90"/>
      <c r="W875" s="94">
        <f>F875</f>
        <v>2975438420.0715351</v>
      </c>
      <c r="X875" s="87" t="str">
        <f t="shared" si="364"/>
        <v>ok</v>
      </c>
      <c r="Y875" s="91" t="str">
        <f t="shared" si="365"/>
        <v/>
      </c>
    </row>
    <row r="876" spans="1:25" ht="12" customHeight="1" x14ac:dyDescent="0.25">
      <c r="A876" s="86" t="s">
        <v>849</v>
      </c>
      <c r="F876" s="91">
        <v>2867903.8000000007</v>
      </c>
      <c r="G876" s="91"/>
      <c r="H876" s="91"/>
      <c r="I876" s="91"/>
      <c r="J876" s="91"/>
      <c r="K876" s="91"/>
      <c r="L876" s="91"/>
      <c r="M876" s="91"/>
      <c r="N876" s="91"/>
      <c r="O876" s="91"/>
      <c r="P876" s="91"/>
      <c r="Q876" s="91"/>
      <c r="R876" s="91"/>
      <c r="S876" s="91"/>
      <c r="T876" s="91"/>
      <c r="U876" s="91">
        <f>U869-220020.59-(U862/($U$862+$V$862))*386829</f>
        <v>2576969.3631635425</v>
      </c>
      <c r="V876" s="91">
        <f>V869-38626.2-(V862/($U$862+$V$862))*386829</f>
        <v>290934.43683645804</v>
      </c>
      <c r="W876" s="94">
        <f>SUM(G876:V876)</f>
        <v>2867903.8000000007</v>
      </c>
      <c r="X876" s="87" t="str">
        <f t="shared" si="364"/>
        <v>ok</v>
      </c>
      <c r="Y876" s="91" t="str">
        <f t="shared" si="365"/>
        <v/>
      </c>
    </row>
    <row r="877" spans="1:25" ht="12" customHeight="1" x14ac:dyDescent="0.25">
      <c r="A877" s="86" t="s">
        <v>2377</v>
      </c>
      <c r="E877" s="86" t="s">
        <v>2380</v>
      </c>
      <c r="F877" s="91">
        <f>F875-F876</f>
        <v>2972570516.2715349</v>
      </c>
      <c r="G877" s="89">
        <f t="shared" ref="G877:V877" si="366">IF(VLOOKUP($E877,$D$5:$AJ$997,3,)=0,0,(VLOOKUP($E877,$D$5:$AJ$997,G$1,)/VLOOKUP($E877,$D$5:$AJ$997,3,))*$F877)</f>
        <v>1219918258.3844647</v>
      </c>
      <c r="H877" s="89">
        <f t="shared" si="366"/>
        <v>328578139.93671095</v>
      </c>
      <c r="I877" s="89">
        <f t="shared" si="366"/>
        <v>21083961.68942244</v>
      </c>
      <c r="J877" s="89">
        <f t="shared" si="366"/>
        <v>306412267.92889446</v>
      </c>
      <c r="K877" s="89">
        <f t="shared" si="366"/>
        <v>13312136.632797811</v>
      </c>
      <c r="L877" s="89">
        <f t="shared" si="366"/>
        <v>294684795.00919878</v>
      </c>
      <c r="M877" s="89">
        <f t="shared" si="366"/>
        <v>539453131.04104686</v>
      </c>
      <c r="N877" s="89">
        <f t="shared" si="366"/>
        <v>175600115.06970802</v>
      </c>
      <c r="O877" s="89">
        <f t="shared" si="366"/>
        <v>72715766.043478012</v>
      </c>
      <c r="P877" s="89">
        <f t="shared" si="366"/>
        <v>473965.56954088091</v>
      </c>
      <c r="Q877" s="89">
        <f t="shared" si="366"/>
        <v>17244.326345789126</v>
      </c>
      <c r="R877" s="89">
        <f t="shared" si="366"/>
        <v>281984.06315582455</v>
      </c>
      <c r="S877" s="89">
        <f t="shared" si="366"/>
        <v>36296.175975231949</v>
      </c>
      <c r="T877" s="89">
        <f t="shared" si="366"/>
        <v>2454.4007949828538</v>
      </c>
      <c r="U877" s="89">
        <f t="shared" si="366"/>
        <v>0</v>
      </c>
      <c r="V877" s="89">
        <f t="shared" si="366"/>
        <v>0</v>
      </c>
      <c r="W877" s="94">
        <f>SUM(G877:V877)</f>
        <v>2972570516.2715344</v>
      </c>
      <c r="X877" s="87" t="str">
        <f t="shared" si="364"/>
        <v>ok</v>
      </c>
      <c r="Y877" s="91" t="str">
        <f t="shared" si="365"/>
        <v/>
      </c>
    </row>
    <row r="878" spans="1:25" ht="12" customHeight="1" x14ac:dyDescent="0.25">
      <c r="A878" s="86" t="s">
        <v>2378</v>
      </c>
      <c r="D878" s="86" t="s">
        <v>2381</v>
      </c>
      <c r="F878" s="91">
        <f t="shared" ref="F878:V878" si="367">F876+F877</f>
        <v>2975438420.0715351</v>
      </c>
      <c r="G878" s="91">
        <f t="shared" si="367"/>
        <v>1219918258.3844647</v>
      </c>
      <c r="H878" s="91">
        <f t="shared" si="367"/>
        <v>328578139.93671095</v>
      </c>
      <c r="I878" s="91">
        <f t="shared" si="367"/>
        <v>21083961.68942244</v>
      </c>
      <c r="J878" s="91">
        <f t="shared" si="367"/>
        <v>306412267.92889446</v>
      </c>
      <c r="K878" s="91">
        <f t="shared" si="367"/>
        <v>13312136.632797811</v>
      </c>
      <c r="L878" s="91">
        <f t="shared" si="367"/>
        <v>294684795.00919878</v>
      </c>
      <c r="M878" s="91">
        <f t="shared" si="367"/>
        <v>539453131.04104686</v>
      </c>
      <c r="N878" s="91">
        <f t="shared" si="367"/>
        <v>175600115.06970802</v>
      </c>
      <c r="O878" s="91">
        <f t="shared" si="367"/>
        <v>72715766.043478012</v>
      </c>
      <c r="P878" s="91">
        <f t="shared" si="367"/>
        <v>473965.56954088091</v>
      </c>
      <c r="Q878" s="91">
        <f t="shared" si="367"/>
        <v>17244.326345789126</v>
      </c>
      <c r="R878" s="91">
        <f t="shared" si="367"/>
        <v>281984.06315582455</v>
      </c>
      <c r="S878" s="91">
        <f t="shared" si="367"/>
        <v>36296.175975231949</v>
      </c>
      <c r="T878" s="91">
        <f t="shared" si="367"/>
        <v>2454.4007949828538</v>
      </c>
      <c r="U878" s="91">
        <f t="shared" si="367"/>
        <v>2576969.3631635425</v>
      </c>
      <c r="V878" s="91">
        <f t="shared" si="367"/>
        <v>290934.43683645804</v>
      </c>
      <c r="W878" s="94">
        <f>SUM(G878:V878)</f>
        <v>2975438420.0715342</v>
      </c>
      <c r="X878" s="87" t="str">
        <f t="shared" si="364"/>
        <v>ok</v>
      </c>
      <c r="Y878" s="91" t="str">
        <f t="shared" si="365"/>
        <v/>
      </c>
    </row>
    <row r="879" spans="1:25" ht="12" customHeight="1" x14ac:dyDescent="0.25">
      <c r="A879" s="86" t="s">
        <v>2379</v>
      </c>
      <c r="D879" s="86" t="s">
        <v>2382</v>
      </c>
      <c r="E879" s="86" t="s">
        <v>2381</v>
      </c>
      <c r="F879" s="107">
        <v>1</v>
      </c>
      <c r="G879" s="106">
        <f t="shared" ref="G879:V879" si="368">IF(VLOOKUP($E879,$D$5:$AJ$997,3,)=0,0,(VLOOKUP($E879,$D$5:$AJ$997,G$1,)/VLOOKUP($E879,$D$5:$AJ$997,3,))*$F879)</f>
        <v>0.40999613709200394</v>
      </c>
      <c r="H879" s="106">
        <f t="shared" si="368"/>
        <v>0.11043015971031635</v>
      </c>
      <c r="I879" s="106">
        <f t="shared" si="368"/>
        <v>7.0860016954797343E-3</v>
      </c>
      <c r="J879" s="106">
        <f t="shared" si="368"/>
        <v>0.10298054426598677</v>
      </c>
      <c r="K879" s="106">
        <f t="shared" si="368"/>
        <v>4.474008449644796E-3</v>
      </c>
      <c r="L879" s="106">
        <f t="shared" si="368"/>
        <v>9.903911740244116E-2</v>
      </c>
      <c r="M879" s="106">
        <f t="shared" si="368"/>
        <v>0.18130206540388674</v>
      </c>
      <c r="N879" s="106">
        <f t="shared" si="368"/>
        <v>5.9016551606363363E-2</v>
      </c>
      <c r="O879" s="106">
        <f t="shared" si="368"/>
        <v>2.4438672819762065E-2</v>
      </c>
      <c r="P879" s="106">
        <f t="shared" si="368"/>
        <v>1.5929268317019509E-4</v>
      </c>
      <c r="Q879" s="106">
        <f t="shared" si="368"/>
        <v>5.7955581367315076E-6</v>
      </c>
      <c r="R879" s="106">
        <f t="shared" si="368"/>
        <v>9.4770592882592781E-5</v>
      </c>
      <c r="S879" s="106">
        <f t="shared" si="368"/>
        <v>1.2198597601747483E-5</v>
      </c>
      <c r="T879" s="106">
        <f t="shared" si="368"/>
        <v>8.2488710854377066E-7</v>
      </c>
      <c r="U879" s="106">
        <f t="shared" si="368"/>
        <v>8.6608055666014666E-4</v>
      </c>
      <c r="V879" s="106">
        <f t="shared" si="368"/>
        <v>9.7778678555029017E-5</v>
      </c>
      <c r="W879" s="98">
        <f>SUM(G879:V879)</f>
        <v>0.99999999999999978</v>
      </c>
      <c r="X879" s="87" t="str">
        <f t="shared" si="364"/>
        <v>ok</v>
      </c>
      <c r="Y879" s="91" t="str">
        <f t="shared" si="365"/>
        <v/>
      </c>
    </row>
    <row r="880" spans="1:25" ht="12" customHeight="1" x14ac:dyDescent="0.25">
      <c r="F880" s="107"/>
      <c r="G880" s="106"/>
      <c r="H880" s="106"/>
      <c r="I880" s="106"/>
      <c r="J880" s="106"/>
      <c r="K880" s="106"/>
      <c r="L880" s="106"/>
      <c r="M880" s="106"/>
      <c r="N880" s="106"/>
      <c r="O880" s="106"/>
      <c r="P880" s="106"/>
      <c r="Q880" s="106"/>
      <c r="R880" s="106"/>
      <c r="S880" s="106"/>
      <c r="T880" s="106"/>
      <c r="U880" s="106"/>
      <c r="V880" s="106"/>
      <c r="W880" s="98"/>
      <c r="X880" s="87"/>
      <c r="Y880" s="91"/>
    </row>
    <row r="881" spans="1:25" ht="12" customHeight="1" x14ac:dyDescent="0.25">
      <c r="A881" s="86" t="s">
        <v>2383</v>
      </c>
      <c r="D881" s="86" t="s">
        <v>2398</v>
      </c>
      <c r="F881" s="90">
        <f>F857</f>
        <v>2463590.9027471277</v>
      </c>
      <c r="G881" s="90">
        <f t="shared" ref="G881:V881" si="369">G857</f>
        <v>1011037.2510929377</v>
      </c>
      <c r="H881" s="90">
        <f t="shared" si="369"/>
        <v>272317.21231124201</v>
      </c>
      <c r="I881" s="90">
        <f t="shared" si="369"/>
        <v>17473.851647119453</v>
      </c>
      <c r="J881" s="90">
        <f t="shared" si="369"/>
        <v>253946.70088653482</v>
      </c>
      <c r="K881" s="90">
        <f t="shared" si="369"/>
        <v>11032.760543498471</v>
      </c>
      <c r="L881" s="90">
        <f t="shared" si="369"/>
        <v>244227.26935782068</v>
      </c>
      <c r="M881" s="90">
        <f t="shared" si="369"/>
        <v>447085.04602882155</v>
      </c>
      <c r="N881" s="90">
        <f t="shared" si="369"/>
        <v>145532.91289106099</v>
      </c>
      <c r="O881" s="90">
        <f t="shared" si="369"/>
        <v>60264.978990539406</v>
      </c>
      <c r="P881" s="90">
        <f t="shared" si="369"/>
        <v>392.81061927535228</v>
      </c>
      <c r="Q881" s="90">
        <f t="shared" si="369"/>
        <v>14.291659449941212</v>
      </c>
      <c r="R881" s="90">
        <f t="shared" si="369"/>
        <v>233.70122555804252</v>
      </c>
      <c r="S881" s="90">
        <f t="shared" si="369"/>
        <v>30.081348263269305</v>
      </c>
      <c r="T881" s="90">
        <f t="shared" si="369"/>
        <v>2.0341450058514727</v>
      </c>
      <c r="U881" s="90">
        <f t="shared" si="369"/>
        <v>0</v>
      </c>
      <c r="V881" s="90">
        <f t="shared" si="369"/>
        <v>0</v>
      </c>
      <c r="W881" s="94">
        <f>SUM(G881:V881)</f>
        <v>2463590.9027471277</v>
      </c>
      <c r="X881" s="87" t="str">
        <f t="shared" ref="X881:X886" si="370">IF(ABS(F881-W881)&lt;0.01,"ok","err")</f>
        <v>ok</v>
      </c>
      <c r="Y881" s="91" t="str">
        <f t="shared" ref="Y881:Y886" si="371">IF(X881="err",W881-F881,"")</f>
        <v/>
      </c>
    </row>
    <row r="882" spans="1:25" ht="12" customHeight="1" x14ac:dyDescent="0.25">
      <c r="A882" s="86" t="s">
        <v>2384</v>
      </c>
      <c r="F882" s="91">
        <f>F180</f>
        <v>133195931.14461496</v>
      </c>
      <c r="G882" s="90"/>
      <c r="H882" s="90"/>
      <c r="I882" s="90"/>
      <c r="J882" s="90"/>
      <c r="K882" s="90"/>
      <c r="L882" s="90"/>
      <c r="M882" s="90"/>
      <c r="N882" s="90"/>
      <c r="O882" s="90"/>
      <c r="P882" s="90"/>
      <c r="Q882" s="90"/>
      <c r="R882" s="90"/>
      <c r="S882" s="90"/>
      <c r="T882" s="90"/>
      <c r="U882" s="90"/>
      <c r="V882" s="90">
        <f>V879</f>
        <v>9.7778678555029017E-5</v>
      </c>
      <c r="W882" s="94">
        <f>F882</f>
        <v>133195931.14461496</v>
      </c>
      <c r="X882" s="87" t="str">
        <f t="shared" si="370"/>
        <v>ok</v>
      </c>
      <c r="Y882" s="91" t="str">
        <f t="shared" si="371"/>
        <v/>
      </c>
    </row>
    <row r="883" spans="1:25" ht="12" customHeight="1" x14ac:dyDescent="0.25">
      <c r="A883" s="86" t="s">
        <v>849</v>
      </c>
      <c r="F883" s="91">
        <v>91514</v>
      </c>
      <c r="G883" s="91"/>
      <c r="H883" s="91"/>
      <c r="I883" s="91"/>
      <c r="J883" s="91"/>
      <c r="K883" s="91"/>
      <c r="L883" s="91"/>
      <c r="M883" s="91"/>
      <c r="N883" s="91"/>
      <c r="O883" s="91"/>
      <c r="P883" s="91"/>
      <c r="Q883" s="91"/>
      <c r="R883" s="91"/>
      <c r="S883" s="91"/>
      <c r="T883" s="91"/>
      <c r="U883" s="91">
        <f>91514</f>
        <v>91514</v>
      </c>
      <c r="V883" s="91"/>
      <c r="W883" s="94">
        <f>SUM(G883:V883)</f>
        <v>91514</v>
      </c>
      <c r="X883" s="87" t="str">
        <f t="shared" si="370"/>
        <v>ok</v>
      </c>
      <c r="Y883" s="91" t="str">
        <f t="shared" si="371"/>
        <v/>
      </c>
    </row>
    <row r="884" spans="1:25" ht="12" customHeight="1" x14ac:dyDescent="0.25">
      <c r="A884" s="86" t="s">
        <v>2385</v>
      </c>
      <c r="E884" s="86" t="s">
        <v>2398</v>
      </c>
      <c r="F884" s="91">
        <f>F882-F883</f>
        <v>133104417.14461496</v>
      </c>
      <c r="G884" s="89">
        <f t="shared" ref="G884:V884" si="372">IF(VLOOKUP($E884,$D$5:$AJ$997,3,)=0,0,(VLOOKUP($E884,$D$5:$AJ$997,G$1,)/VLOOKUP($E884,$D$5:$AJ$997,3,))*$F884)</f>
        <v>54624947.619410954</v>
      </c>
      <c r="H884" s="89">
        <f t="shared" si="372"/>
        <v>14712923.230360998</v>
      </c>
      <c r="I884" s="89">
        <f t="shared" si="372"/>
        <v>944088.09359044733</v>
      </c>
      <c r="J884" s="89">
        <f t="shared" si="372"/>
        <v>13720389.846223425</v>
      </c>
      <c r="K884" s="89">
        <f t="shared" si="372"/>
        <v>596084.82885731885</v>
      </c>
      <c r="L884" s="89">
        <f t="shared" si="372"/>
        <v>13195262.371867234</v>
      </c>
      <c r="M884" s="89">
        <f t="shared" si="372"/>
        <v>24155388.136634905</v>
      </c>
      <c r="N884" s="89">
        <f t="shared" si="372"/>
        <v>7862942.4731688155</v>
      </c>
      <c r="O884" s="89">
        <f t="shared" si="372"/>
        <v>3256033.6595753268</v>
      </c>
      <c r="P884" s="89">
        <f t="shared" si="372"/>
        <v>21223.015748498943</v>
      </c>
      <c r="Q884" s="89">
        <f t="shared" si="372"/>
        <v>772.15864005364494</v>
      </c>
      <c r="R884" s="89">
        <f t="shared" si="372"/>
        <v>12626.554749491355</v>
      </c>
      <c r="S884" s="89">
        <f t="shared" si="372"/>
        <v>1625.2537395887673</v>
      </c>
      <c r="T884" s="89">
        <f t="shared" si="372"/>
        <v>109.9020478966596</v>
      </c>
      <c r="U884" s="89">
        <f t="shared" si="372"/>
        <v>0</v>
      </c>
      <c r="V884" s="89">
        <f t="shared" si="372"/>
        <v>0</v>
      </c>
      <c r="W884" s="94">
        <f>SUM(G884:V884)</f>
        <v>133104417.14461498</v>
      </c>
      <c r="X884" s="87" t="str">
        <f t="shared" si="370"/>
        <v>ok</v>
      </c>
      <c r="Y884" s="91" t="str">
        <f t="shared" si="371"/>
        <v/>
      </c>
    </row>
    <row r="885" spans="1:25" ht="12" customHeight="1" x14ac:dyDescent="0.25">
      <c r="A885" s="86" t="s">
        <v>2386</v>
      </c>
      <c r="D885" s="86" t="s">
        <v>2399</v>
      </c>
      <c r="F885" s="91">
        <f t="shared" ref="F885:V885" si="373">F883+F884</f>
        <v>133195931.14461496</v>
      </c>
      <c r="G885" s="91">
        <f t="shared" si="373"/>
        <v>54624947.619410954</v>
      </c>
      <c r="H885" s="91">
        <f t="shared" si="373"/>
        <v>14712923.230360998</v>
      </c>
      <c r="I885" s="91">
        <f t="shared" si="373"/>
        <v>944088.09359044733</v>
      </c>
      <c r="J885" s="91">
        <f t="shared" si="373"/>
        <v>13720389.846223425</v>
      </c>
      <c r="K885" s="91">
        <f t="shared" si="373"/>
        <v>596084.82885731885</v>
      </c>
      <c r="L885" s="91">
        <f t="shared" si="373"/>
        <v>13195262.371867234</v>
      </c>
      <c r="M885" s="91">
        <f t="shared" si="373"/>
        <v>24155388.136634905</v>
      </c>
      <c r="N885" s="91">
        <f t="shared" si="373"/>
        <v>7862942.4731688155</v>
      </c>
      <c r="O885" s="91">
        <f t="shared" si="373"/>
        <v>3256033.6595753268</v>
      </c>
      <c r="P885" s="91">
        <f t="shared" si="373"/>
        <v>21223.015748498943</v>
      </c>
      <c r="Q885" s="91">
        <f t="shared" si="373"/>
        <v>772.15864005364494</v>
      </c>
      <c r="R885" s="91">
        <f t="shared" si="373"/>
        <v>12626.554749491355</v>
      </c>
      <c r="S885" s="91">
        <f t="shared" si="373"/>
        <v>1625.2537395887673</v>
      </c>
      <c r="T885" s="91">
        <f t="shared" si="373"/>
        <v>109.9020478966596</v>
      </c>
      <c r="U885" s="91">
        <f t="shared" si="373"/>
        <v>91514</v>
      </c>
      <c r="V885" s="91">
        <f t="shared" si="373"/>
        <v>0</v>
      </c>
      <c r="W885" s="94">
        <f>SUM(G885:V885)</f>
        <v>133195931.14461498</v>
      </c>
      <c r="X885" s="87" t="str">
        <f t="shared" si="370"/>
        <v>ok</v>
      </c>
      <c r="Y885" s="91" t="str">
        <f t="shared" si="371"/>
        <v/>
      </c>
    </row>
    <row r="886" spans="1:25" ht="12" customHeight="1" x14ac:dyDescent="0.25">
      <c r="A886" s="86" t="s">
        <v>2387</v>
      </c>
      <c r="D886" s="86" t="s">
        <v>2400</v>
      </c>
      <c r="E886" s="86" t="s">
        <v>2399</v>
      </c>
      <c r="F886" s="107">
        <v>1</v>
      </c>
      <c r="G886" s="106">
        <f t="shared" ref="G886:V886" si="374">IF(VLOOKUP($E886,$D$5:$AJ$997,3,)=0,0,(VLOOKUP($E886,$D$5:$AJ$997,G$1,)/VLOOKUP($E886,$D$5:$AJ$997,3,))*$F886)</f>
        <v>0.4101097319564736</v>
      </c>
      <c r="H886" s="106">
        <f t="shared" si="374"/>
        <v>0.11046075584986691</v>
      </c>
      <c r="I886" s="106">
        <f t="shared" si="374"/>
        <v>7.0879649661776947E-3</v>
      </c>
      <c r="J886" s="106">
        <f t="shared" si="374"/>
        <v>0.10300907639083037</v>
      </c>
      <c r="K886" s="106">
        <f t="shared" si="374"/>
        <v>4.4752480329908204E-3</v>
      </c>
      <c r="L886" s="106">
        <f t="shared" si="374"/>
        <v>9.9066557502726776E-2</v>
      </c>
      <c r="M886" s="106">
        <f t="shared" si="374"/>
        <v>0.18135229754434953</v>
      </c>
      <c r="N886" s="106">
        <f t="shared" si="374"/>
        <v>5.9032902924277576E-2</v>
      </c>
      <c r="O886" s="106">
        <f t="shared" si="374"/>
        <v>2.4445443878012684E-2</v>
      </c>
      <c r="P886" s="106">
        <f t="shared" si="374"/>
        <v>1.5933681731956554E-4</v>
      </c>
      <c r="Q886" s="106">
        <f t="shared" si="374"/>
        <v>5.7971638729360904E-6</v>
      </c>
      <c r="R886" s="106">
        <f t="shared" si="374"/>
        <v>9.4796850331578918E-5</v>
      </c>
      <c r="S886" s="106">
        <f t="shared" si="374"/>
        <v>1.2201977384911095E-5</v>
      </c>
      <c r="T886" s="106">
        <f t="shared" si="374"/>
        <v>8.2511565445145266E-7</v>
      </c>
      <c r="U886" s="106">
        <f t="shared" si="374"/>
        <v>6.8706302973054335E-4</v>
      </c>
      <c r="V886" s="106">
        <f t="shared" si="374"/>
        <v>0</v>
      </c>
      <c r="W886" s="98">
        <f>SUM(G886:V886)</f>
        <v>1</v>
      </c>
      <c r="X886" s="87" t="str">
        <f t="shared" si="370"/>
        <v>ok</v>
      </c>
      <c r="Y886" s="91" t="str">
        <f t="shared" si="371"/>
        <v/>
      </c>
    </row>
    <row r="887" spans="1:25" ht="12" customHeight="1" x14ac:dyDescent="0.25">
      <c r="F887" s="107"/>
      <c r="G887" s="106"/>
      <c r="H887" s="106"/>
      <c r="I887" s="106"/>
      <c r="J887" s="106"/>
      <c r="K887" s="106"/>
      <c r="L887" s="106"/>
      <c r="M887" s="106"/>
      <c r="N887" s="106"/>
      <c r="O887" s="106"/>
      <c r="P887" s="106"/>
      <c r="Q887" s="106"/>
      <c r="R887" s="106"/>
      <c r="S887" s="106"/>
      <c r="T887" s="106"/>
      <c r="U887" s="106"/>
      <c r="V887" s="106"/>
      <c r="W887" s="98"/>
      <c r="X887" s="87"/>
      <c r="Y887" s="91"/>
    </row>
    <row r="888" spans="1:25" ht="12" customHeight="1" x14ac:dyDescent="0.25">
      <c r="A888" s="86" t="s">
        <v>2388</v>
      </c>
      <c r="D888" s="86" t="s">
        <v>2401</v>
      </c>
      <c r="F888" s="90">
        <f>F857</f>
        <v>2463590.9027471277</v>
      </c>
      <c r="G888" s="90">
        <f t="shared" ref="G888:V888" si="375">G857</f>
        <v>1011037.2510929377</v>
      </c>
      <c r="H888" s="90">
        <f t="shared" si="375"/>
        <v>272317.21231124201</v>
      </c>
      <c r="I888" s="90">
        <f t="shared" si="375"/>
        <v>17473.851647119453</v>
      </c>
      <c r="J888" s="90">
        <f t="shared" si="375"/>
        <v>253946.70088653482</v>
      </c>
      <c r="K888" s="90">
        <f t="shared" si="375"/>
        <v>11032.760543498471</v>
      </c>
      <c r="L888" s="90">
        <f t="shared" si="375"/>
        <v>244227.26935782068</v>
      </c>
      <c r="M888" s="90">
        <f t="shared" si="375"/>
        <v>447085.04602882155</v>
      </c>
      <c r="N888" s="90">
        <f t="shared" si="375"/>
        <v>145532.91289106099</v>
      </c>
      <c r="O888" s="90">
        <f t="shared" si="375"/>
        <v>60264.978990539406</v>
      </c>
      <c r="P888" s="90">
        <f t="shared" si="375"/>
        <v>392.81061927535228</v>
      </c>
      <c r="Q888" s="90">
        <f t="shared" si="375"/>
        <v>14.291659449941212</v>
      </c>
      <c r="R888" s="90">
        <f t="shared" si="375"/>
        <v>233.70122555804252</v>
      </c>
      <c r="S888" s="90">
        <f t="shared" si="375"/>
        <v>30.081348263269305</v>
      </c>
      <c r="T888" s="90">
        <f t="shared" si="375"/>
        <v>2.0341450058514727</v>
      </c>
      <c r="U888" s="90">
        <f t="shared" si="375"/>
        <v>0</v>
      </c>
      <c r="V888" s="90">
        <f t="shared" si="375"/>
        <v>0</v>
      </c>
      <c r="W888" s="94">
        <f>SUM(G888:V888)</f>
        <v>2463590.9027471277</v>
      </c>
      <c r="X888" s="87" t="str">
        <f t="shared" ref="X888:X893" si="376">IF(ABS(F888-W888)&lt;0.01,"ok","err")</f>
        <v>ok</v>
      </c>
      <c r="Y888" s="91" t="str">
        <f t="shared" ref="Y888:Y893" si="377">IF(X888="err",W888-F888,"")</f>
        <v/>
      </c>
    </row>
    <row r="889" spans="1:25" ht="12" customHeight="1" x14ac:dyDescent="0.25">
      <c r="A889" s="86" t="s">
        <v>2389</v>
      </c>
      <c r="F889" s="91">
        <f>F294</f>
        <v>288540355.83999676</v>
      </c>
      <c r="G889" s="90"/>
      <c r="H889" s="90"/>
      <c r="I889" s="90"/>
      <c r="J889" s="90"/>
      <c r="K889" s="90"/>
      <c r="L889" s="90"/>
      <c r="M889" s="90"/>
      <c r="N889" s="90"/>
      <c r="O889" s="90"/>
      <c r="P889" s="90"/>
      <c r="Q889" s="90"/>
      <c r="R889" s="90"/>
      <c r="S889" s="90"/>
      <c r="T889" s="90"/>
      <c r="U889" s="90"/>
      <c r="V889" s="90">
        <f>V886</f>
        <v>0</v>
      </c>
      <c r="W889" s="94">
        <f>F889</f>
        <v>288540355.83999676</v>
      </c>
      <c r="X889" s="87" t="str">
        <f t="shared" si="376"/>
        <v>ok</v>
      </c>
      <c r="Y889" s="91" t="str">
        <f t="shared" si="377"/>
        <v/>
      </c>
    </row>
    <row r="890" spans="1:25" ht="12" customHeight="1" x14ac:dyDescent="0.25">
      <c r="A890" s="86" t="s">
        <v>849</v>
      </c>
      <c r="F890" s="91">
        <v>120930.99280325</v>
      </c>
      <c r="G890" s="91"/>
      <c r="H890" s="91"/>
      <c r="I890" s="91"/>
      <c r="J890" s="91"/>
      <c r="K890" s="91"/>
      <c r="L890" s="91"/>
      <c r="M890" s="91"/>
      <c r="N890" s="91"/>
      <c r="O890" s="91"/>
      <c r="P890" s="91"/>
      <c r="Q890" s="91"/>
      <c r="R890" s="91"/>
      <c r="S890" s="91"/>
      <c r="T890" s="91"/>
      <c r="U890" s="91">
        <f>106487.13</f>
        <v>106487.13</v>
      </c>
      <c r="V890" s="91">
        <f>14443.86</f>
        <v>14443.86</v>
      </c>
      <c r="W890" s="94">
        <f>SUM(G890:V890)</f>
        <v>120930.99</v>
      </c>
      <c r="X890" s="87" t="str">
        <f t="shared" si="376"/>
        <v>ok</v>
      </c>
      <c r="Y890" s="91" t="str">
        <f t="shared" si="377"/>
        <v/>
      </c>
    </row>
    <row r="891" spans="1:25" ht="12" customHeight="1" x14ac:dyDescent="0.25">
      <c r="A891" s="86" t="s">
        <v>2390</v>
      </c>
      <c r="E891" s="86" t="s">
        <v>2401</v>
      </c>
      <c r="F891" s="91">
        <f>F889-F890</f>
        <v>288419424.84719348</v>
      </c>
      <c r="G891" s="89">
        <f t="shared" ref="G891:V891" si="378">IF(VLOOKUP($E891,$D$5:$AJ$997,3,)=0,0,(VLOOKUP($E891,$D$5:$AJ$997,G$1,)/VLOOKUP($E891,$D$5:$AJ$997,3,))*$F891)</f>
        <v>118364937.18748069</v>
      </c>
      <c r="H891" s="89">
        <f t="shared" si="378"/>
        <v>31880931.880053017</v>
      </c>
      <c r="I891" s="89">
        <f t="shared" si="378"/>
        <v>2045712.312181192</v>
      </c>
      <c r="J891" s="89">
        <f t="shared" si="378"/>
        <v>29730245.118969984</v>
      </c>
      <c r="K891" s="89">
        <f t="shared" si="378"/>
        <v>1291635.8989978207</v>
      </c>
      <c r="L891" s="89">
        <f t="shared" si="378"/>
        <v>28592364.292966161</v>
      </c>
      <c r="M891" s="89">
        <f t="shared" si="378"/>
        <v>52341487.25327123</v>
      </c>
      <c r="N891" s="89">
        <f t="shared" si="378"/>
        <v>17037942.048564605</v>
      </c>
      <c r="O891" s="89">
        <f t="shared" si="378"/>
        <v>7055388.3599332664</v>
      </c>
      <c r="P891" s="89">
        <f t="shared" si="378"/>
        <v>45987.42947091323</v>
      </c>
      <c r="Q891" s="89">
        <f t="shared" si="378"/>
        <v>1673.1642392686244</v>
      </c>
      <c r="R891" s="89">
        <f t="shared" si="378"/>
        <v>27360.051129582149</v>
      </c>
      <c r="S891" s="89">
        <f t="shared" si="378"/>
        <v>3521.706933990411</v>
      </c>
      <c r="T891" s="89">
        <f t="shared" si="378"/>
        <v>238.1430017415893</v>
      </c>
      <c r="U891" s="89">
        <f t="shared" si="378"/>
        <v>0</v>
      </c>
      <c r="V891" s="89">
        <f t="shared" si="378"/>
        <v>0</v>
      </c>
      <c r="W891" s="94">
        <f>SUM(G891:V891)</f>
        <v>288419424.84719342</v>
      </c>
      <c r="X891" s="87" t="str">
        <f t="shared" si="376"/>
        <v>ok</v>
      </c>
      <c r="Y891" s="91" t="str">
        <f t="shared" si="377"/>
        <v/>
      </c>
    </row>
    <row r="892" spans="1:25" ht="12" customHeight="1" x14ac:dyDescent="0.25">
      <c r="A892" s="86" t="s">
        <v>2391</v>
      </c>
      <c r="D892" s="86" t="s">
        <v>2402</v>
      </c>
      <c r="F892" s="91">
        <f t="shared" ref="F892:V892" si="379">F890+F891</f>
        <v>288540355.83999676</v>
      </c>
      <c r="G892" s="91">
        <f t="shared" si="379"/>
        <v>118364937.18748069</v>
      </c>
      <c r="H892" s="91">
        <f t="shared" si="379"/>
        <v>31880931.880053017</v>
      </c>
      <c r="I892" s="91">
        <f t="shared" si="379"/>
        <v>2045712.312181192</v>
      </c>
      <c r="J892" s="91">
        <f t="shared" si="379"/>
        <v>29730245.118969984</v>
      </c>
      <c r="K892" s="91">
        <f t="shared" si="379"/>
        <v>1291635.8989978207</v>
      </c>
      <c r="L892" s="91">
        <f t="shared" si="379"/>
        <v>28592364.292966161</v>
      </c>
      <c r="M892" s="91">
        <f t="shared" si="379"/>
        <v>52341487.25327123</v>
      </c>
      <c r="N892" s="91">
        <f t="shared" si="379"/>
        <v>17037942.048564605</v>
      </c>
      <c r="O892" s="91">
        <f t="shared" si="379"/>
        <v>7055388.3599332664</v>
      </c>
      <c r="P892" s="91">
        <f t="shared" si="379"/>
        <v>45987.42947091323</v>
      </c>
      <c r="Q892" s="91">
        <f t="shared" si="379"/>
        <v>1673.1642392686244</v>
      </c>
      <c r="R892" s="91">
        <f t="shared" si="379"/>
        <v>27360.051129582149</v>
      </c>
      <c r="S892" s="91">
        <f t="shared" si="379"/>
        <v>3521.706933990411</v>
      </c>
      <c r="T892" s="91">
        <f t="shared" si="379"/>
        <v>238.1430017415893</v>
      </c>
      <c r="U892" s="91">
        <f t="shared" si="379"/>
        <v>106487.13</v>
      </c>
      <c r="V892" s="91">
        <f t="shared" si="379"/>
        <v>14443.86</v>
      </c>
      <c r="W892" s="94">
        <f>SUM(G892:V892)</f>
        <v>288540355.83719343</v>
      </c>
      <c r="X892" s="87" t="str">
        <f t="shared" si="376"/>
        <v>ok</v>
      </c>
      <c r="Y892" s="91" t="str">
        <f t="shared" si="377"/>
        <v/>
      </c>
    </row>
    <row r="893" spans="1:25" ht="12" customHeight="1" x14ac:dyDescent="0.25">
      <c r="A893" s="86" t="s">
        <v>2392</v>
      </c>
      <c r="D893" s="86" t="s">
        <v>2403</v>
      </c>
      <c r="E893" s="86" t="s">
        <v>2402</v>
      </c>
      <c r="F893" s="107">
        <v>1</v>
      </c>
      <c r="G893" s="106">
        <f t="shared" ref="G893:V893" si="380">IF(VLOOKUP($E893,$D$5:$AJ$997,3,)=0,0,(VLOOKUP($E893,$D$5:$AJ$997,G$1,)/VLOOKUP($E893,$D$5:$AJ$997,3,))*$F893)</f>
        <v>0.41021969645423595</v>
      </c>
      <c r="H893" s="106">
        <f t="shared" si="380"/>
        <v>0.11049037417050887</v>
      </c>
      <c r="I893" s="106">
        <f t="shared" si="380"/>
        <v>7.0898654929073199E-3</v>
      </c>
      <c r="J893" s="106">
        <f t="shared" si="380"/>
        <v>0.10303669666040126</v>
      </c>
      <c r="K893" s="106">
        <f t="shared" si="380"/>
        <v>4.4764480006189043E-3</v>
      </c>
      <c r="L893" s="106">
        <f t="shared" si="380"/>
        <v>9.9093120647641336E-2</v>
      </c>
      <c r="M893" s="106">
        <f t="shared" si="380"/>
        <v>0.18140092432094998</v>
      </c>
      <c r="N893" s="106">
        <f t="shared" si="380"/>
        <v>5.9048731672087469E-2</v>
      </c>
      <c r="O893" s="106">
        <f t="shared" si="380"/>
        <v>2.4451998540702104E-2</v>
      </c>
      <c r="P893" s="106">
        <f t="shared" si="380"/>
        <v>1.5937954099015E-4</v>
      </c>
      <c r="Q893" s="106">
        <f t="shared" si="380"/>
        <v>5.7987182915808084E-6</v>
      </c>
      <c r="R893" s="106">
        <f t="shared" si="380"/>
        <v>9.4822268621426461E-5</v>
      </c>
      <c r="S893" s="106">
        <f t="shared" si="380"/>
        <v>1.2205249153928716E-5</v>
      </c>
      <c r="T893" s="106">
        <f t="shared" si="380"/>
        <v>8.2533689628374161E-7</v>
      </c>
      <c r="U893" s="106">
        <f t="shared" si="380"/>
        <v>3.6905454590570314E-4</v>
      </c>
      <c r="V893" s="106">
        <f t="shared" si="380"/>
        <v>5.0058370372321517E-5</v>
      </c>
      <c r="W893" s="98">
        <f>SUM(G893:V893)</f>
        <v>0.99999999999028455</v>
      </c>
      <c r="X893" s="87" t="str">
        <f t="shared" si="376"/>
        <v>ok</v>
      </c>
      <c r="Y893" s="91" t="str">
        <f t="shared" si="377"/>
        <v/>
      </c>
    </row>
    <row r="894" spans="1:25" ht="12" customHeight="1" x14ac:dyDescent="0.25">
      <c r="F894" s="107"/>
      <c r="G894" s="106"/>
      <c r="H894" s="106"/>
      <c r="I894" s="106"/>
      <c r="J894" s="106"/>
      <c r="K894" s="106"/>
      <c r="L894" s="106"/>
      <c r="M894" s="106"/>
      <c r="N894" s="106"/>
      <c r="O894" s="106"/>
      <c r="P894" s="106"/>
      <c r="Q894" s="106"/>
      <c r="R894" s="106"/>
      <c r="S894" s="106"/>
      <c r="T894" s="106"/>
      <c r="U894" s="106"/>
      <c r="V894" s="106"/>
      <c r="W894" s="98"/>
      <c r="X894" s="87"/>
      <c r="Y894" s="91"/>
    </row>
    <row r="895" spans="1:25" ht="12" customHeight="1" x14ac:dyDescent="0.25">
      <c r="A895" s="86" t="s">
        <v>2393</v>
      </c>
      <c r="D895" s="86" t="s">
        <v>2404</v>
      </c>
      <c r="F895" s="90">
        <f>F857</f>
        <v>2463590.9027471277</v>
      </c>
      <c r="G895" s="90">
        <f t="shared" ref="G895:V895" si="381">G857</f>
        <v>1011037.2510929377</v>
      </c>
      <c r="H895" s="90">
        <f t="shared" si="381"/>
        <v>272317.21231124201</v>
      </c>
      <c r="I895" s="90">
        <f t="shared" si="381"/>
        <v>17473.851647119453</v>
      </c>
      <c r="J895" s="90">
        <f t="shared" si="381"/>
        <v>253946.70088653482</v>
      </c>
      <c r="K895" s="90">
        <f t="shared" si="381"/>
        <v>11032.760543498471</v>
      </c>
      <c r="L895" s="90">
        <f t="shared" si="381"/>
        <v>244227.26935782068</v>
      </c>
      <c r="M895" s="90">
        <f t="shared" si="381"/>
        <v>447085.04602882155</v>
      </c>
      <c r="N895" s="90">
        <f t="shared" si="381"/>
        <v>145532.91289106099</v>
      </c>
      <c r="O895" s="90">
        <f t="shared" si="381"/>
        <v>60264.978990539406</v>
      </c>
      <c r="P895" s="90">
        <f t="shared" si="381"/>
        <v>392.81061927535228</v>
      </c>
      <c r="Q895" s="90">
        <f t="shared" si="381"/>
        <v>14.291659449941212</v>
      </c>
      <c r="R895" s="90">
        <f t="shared" si="381"/>
        <v>233.70122555804252</v>
      </c>
      <c r="S895" s="90">
        <f t="shared" si="381"/>
        <v>30.081348263269305</v>
      </c>
      <c r="T895" s="90">
        <f t="shared" si="381"/>
        <v>2.0341450058514727</v>
      </c>
      <c r="U895" s="90">
        <f t="shared" si="381"/>
        <v>0</v>
      </c>
      <c r="V895" s="90">
        <f t="shared" si="381"/>
        <v>0</v>
      </c>
      <c r="W895" s="94">
        <f>SUM(G895:V895)</f>
        <v>2463590.9027471277</v>
      </c>
      <c r="X895" s="87" t="str">
        <f t="shared" ref="X895:X900" si="382">IF(ABS(F895-W895)&lt;0.01,"ok","err")</f>
        <v>ok</v>
      </c>
      <c r="Y895" s="91" t="str">
        <f t="shared" ref="Y895:Y900" si="383">IF(X895="err",W895-F895,"")</f>
        <v/>
      </c>
    </row>
    <row r="896" spans="1:25" ht="12" customHeight="1" x14ac:dyDescent="0.25">
      <c r="A896" s="86" t="s">
        <v>2394</v>
      </c>
      <c r="F896" s="91">
        <f>F408</f>
        <v>22386637.187066048</v>
      </c>
      <c r="G896" s="90"/>
      <c r="H896" s="90"/>
      <c r="I896" s="90"/>
      <c r="J896" s="90"/>
      <c r="K896" s="90"/>
      <c r="L896" s="90"/>
      <c r="M896" s="90"/>
      <c r="N896" s="90"/>
      <c r="O896" s="90"/>
      <c r="P896" s="90"/>
      <c r="Q896" s="90"/>
      <c r="R896" s="90"/>
      <c r="S896" s="90"/>
      <c r="T896" s="90"/>
      <c r="U896" s="90"/>
      <c r="V896" s="90">
        <f>V893</f>
        <v>5.0058370372321517E-5</v>
      </c>
      <c r="W896" s="94">
        <f>F896</f>
        <v>22386637.187066048</v>
      </c>
      <c r="X896" s="87" t="str">
        <f t="shared" si="382"/>
        <v>ok</v>
      </c>
      <c r="Y896" s="91" t="str">
        <f t="shared" si="383"/>
        <v/>
      </c>
    </row>
    <row r="897" spans="1:25" ht="12" customHeight="1" x14ac:dyDescent="0.25">
      <c r="A897" s="86" t="s">
        <v>849</v>
      </c>
      <c r="F897" s="91">
        <f>4038.948689961+569.386976219062</f>
        <v>4608.3356661800626</v>
      </c>
      <c r="G897" s="91"/>
      <c r="H897" s="91"/>
      <c r="I897" s="91"/>
      <c r="J897" s="91"/>
      <c r="K897" s="91"/>
      <c r="L897" s="91"/>
      <c r="M897" s="91"/>
      <c r="N897" s="91"/>
      <c r="O897" s="91"/>
      <c r="P897" s="91"/>
      <c r="Q897" s="91"/>
      <c r="R897" s="91"/>
      <c r="S897" s="91"/>
      <c r="T897" s="91"/>
      <c r="U897" s="91">
        <f>4038.948689961</f>
        <v>4038.9486899610001</v>
      </c>
      <c r="V897" s="91">
        <v>569.38697621906249</v>
      </c>
      <c r="W897" s="94">
        <f>SUM(G897:V897)</f>
        <v>4608.3356661800626</v>
      </c>
      <c r="X897" s="87" t="str">
        <f t="shared" si="382"/>
        <v>ok</v>
      </c>
      <c r="Y897" s="91" t="str">
        <f t="shared" si="383"/>
        <v/>
      </c>
    </row>
    <row r="898" spans="1:25" ht="12" customHeight="1" x14ac:dyDescent="0.25">
      <c r="A898" s="86" t="s">
        <v>2395</v>
      </c>
      <c r="E898" s="86" t="s">
        <v>2404</v>
      </c>
      <c r="F898" s="91">
        <f>F896-F897</f>
        <v>22382028.851399869</v>
      </c>
      <c r="G898" s="89">
        <f t="shared" ref="G898:V898" si="384">IF(VLOOKUP($E898,$D$5:$AJ$997,3,)=0,0,(VLOOKUP($E898,$D$5:$AJ$997,G$1,)/VLOOKUP($E898,$D$5:$AJ$997,3,))*$F898)</f>
        <v>9185398.8008190319</v>
      </c>
      <c r="H898" s="89">
        <f t="shared" si="384"/>
        <v>2474035.6428035637</v>
      </c>
      <c r="I898" s="89">
        <f t="shared" si="384"/>
        <v>158752.10907573835</v>
      </c>
      <c r="J898" s="89">
        <f t="shared" si="384"/>
        <v>2307137.2684572889</v>
      </c>
      <c r="K898" s="89">
        <f t="shared" si="384"/>
        <v>100233.99766568925</v>
      </c>
      <c r="L898" s="89">
        <f t="shared" si="384"/>
        <v>2218835.0277515338</v>
      </c>
      <c r="M898" s="89">
        <f t="shared" si="384"/>
        <v>4061823.0843798686</v>
      </c>
      <c r="N898" s="89">
        <f t="shared" si="384"/>
        <v>1322184.5605631117</v>
      </c>
      <c r="O898" s="89">
        <f t="shared" si="384"/>
        <v>547514.80734531325</v>
      </c>
      <c r="P898" s="89">
        <f t="shared" si="384"/>
        <v>3568.7331869724871</v>
      </c>
      <c r="Q898" s="89">
        <f t="shared" si="384"/>
        <v>129.84149835359216</v>
      </c>
      <c r="R898" s="89">
        <f t="shared" si="384"/>
        <v>2123.2046145384375</v>
      </c>
      <c r="S898" s="89">
        <f t="shared" si="384"/>
        <v>273.29277923811571</v>
      </c>
      <c r="T898" s="89">
        <f t="shared" si="384"/>
        <v>18.480459624254351</v>
      </c>
      <c r="U898" s="89">
        <f t="shared" si="384"/>
        <v>0</v>
      </c>
      <c r="V898" s="89">
        <f t="shared" si="384"/>
        <v>0</v>
      </c>
      <c r="W898" s="94">
        <f>SUM(G898:V898)</f>
        <v>22382028.851399858</v>
      </c>
      <c r="X898" s="87" t="str">
        <f t="shared" si="382"/>
        <v>ok</v>
      </c>
      <c r="Y898" s="91" t="str">
        <f t="shared" si="383"/>
        <v/>
      </c>
    </row>
    <row r="899" spans="1:25" ht="12" customHeight="1" x14ac:dyDescent="0.25">
      <c r="A899" s="86" t="s">
        <v>2396</v>
      </c>
      <c r="D899" s="86" t="s">
        <v>2405</v>
      </c>
      <c r="F899" s="91">
        <f t="shared" ref="F899:V899" si="385">F897+F898</f>
        <v>22386637.187066048</v>
      </c>
      <c r="G899" s="91">
        <f t="shared" si="385"/>
        <v>9185398.8008190319</v>
      </c>
      <c r="H899" s="91">
        <f t="shared" si="385"/>
        <v>2474035.6428035637</v>
      </c>
      <c r="I899" s="91">
        <f t="shared" si="385"/>
        <v>158752.10907573835</v>
      </c>
      <c r="J899" s="91">
        <f t="shared" si="385"/>
        <v>2307137.2684572889</v>
      </c>
      <c r="K899" s="91">
        <f t="shared" si="385"/>
        <v>100233.99766568925</v>
      </c>
      <c r="L899" s="91">
        <f t="shared" si="385"/>
        <v>2218835.0277515338</v>
      </c>
      <c r="M899" s="91">
        <f t="shared" si="385"/>
        <v>4061823.0843798686</v>
      </c>
      <c r="N899" s="91">
        <f t="shared" si="385"/>
        <v>1322184.5605631117</v>
      </c>
      <c r="O899" s="91">
        <f t="shared" si="385"/>
        <v>547514.80734531325</v>
      </c>
      <c r="P899" s="91">
        <f t="shared" si="385"/>
        <v>3568.7331869724871</v>
      </c>
      <c r="Q899" s="91">
        <f t="shared" si="385"/>
        <v>129.84149835359216</v>
      </c>
      <c r="R899" s="91">
        <f t="shared" si="385"/>
        <v>2123.2046145384375</v>
      </c>
      <c r="S899" s="91">
        <f t="shared" si="385"/>
        <v>273.29277923811571</v>
      </c>
      <c r="T899" s="91">
        <f t="shared" si="385"/>
        <v>18.480459624254351</v>
      </c>
      <c r="U899" s="91">
        <f t="shared" si="385"/>
        <v>4038.9486899610001</v>
      </c>
      <c r="V899" s="91">
        <f t="shared" si="385"/>
        <v>569.38697621906249</v>
      </c>
      <c r="W899" s="94">
        <f>SUM(G899:V899)</f>
        <v>22386637.187066037</v>
      </c>
      <c r="X899" s="87" t="str">
        <f t="shared" si="382"/>
        <v>ok</v>
      </c>
      <c r="Y899" s="91" t="str">
        <f t="shared" si="383"/>
        <v/>
      </c>
    </row>
    <row r="900" spans="1:25" ht="12" customHeight="1" x14ac:dyDescent="0.25">
      <c r="A900" s="86" t="s">
        <v>2397</v>
      </c>
      <c r="D900" s="86" t="s">
        <v>2406</v>
      </c>
      <c r="E900" s="86" t="s">
        <v>2405</v>
      </c>
      <c r="F900" s="107">
        <v>1</v>
      </c>
      <c r="G900" s="106">
        <f t="shared" ref="G900:V900" si="386">IF(VLOOKUP($E900,$D$5:$AJ$997,3,)=0,0,(VLOOKUP($E900,$D$5:$AJ$997,G$1,)/VLOOKUP($E900,$D$5:$AJ$997,3,))*$F900)</f>
        <v>0.41030721693769734</v>
      </c>
      <c r="H900" s="106">
        <f t="shared" si="386"/>
        <v>0.11051394732179542</v>
      </c>
      <c r="I900" s="106">
        <f t="shared" si="386"/>
        <v>7.0913781176325085E-3</v>
      </c>
      <c r="J900" s="106">
        <f t="shared" si="386"/>
        <v>0.1030586795675701</v>
      </c>
      <c r="K900" s="106">
        <f t="shared" si="386"/>
        <v>4.4774030520135363E-3</v>
      </c>
      <c r="L900" s="106">
        <f t="shared" si="386"/>
        <v>9.9114262191798641E-2</v>
      </c>
      <c r="M900" s="106">
        <f t="shared" si="386"/>
        <v>0.18143962625733712</v>
      </c>
      <c r="N900" s="106">
        <f t="shared" si="386"/>
        <v>5.9061329734999592E-2</v>
      </c>
      <c r="O900" s="106">
        <f t="shared" si="386"/>
        <v>2.4457215381220442E-2</v>
      </c>
      <c r="P900" s="106">
        <f t="shared" si="386"/>
        <v>1.5941354465843284E-4</v>
      </c>
      <c r="Q900" s="106">
        <f t="shared" si="386"/>
        <v>5.7999554497005251E-6</v>
      </c>
      <c r="R900" s="106">
        <f t="shared" si="386"/>
        <v>9.4842498978146017E-5</v>
      </c>
      <c r="S900" s="106">
        <f t="shared" si="386"/>
        <v>1.2207853147144917E-5</v>
      </c>
      <c r="T900" s="106">
        <f t="shared" si="386"/>
        <v>8.2551298213433758E-7</v>
      </c>
      <c r="U900" s="106">
        <f t="shared" si="386"/>
        <v>1.804178383832707E-4</v>
      </c>
      <c r="V900" s="106">
        <f t="shared" si="386"/>
        <v>2.5434234336366861E-5</v>
      </c>
      <c r="W900" s="98">
        <f>SUM(G900:V900)</f>
        <v>0.99999999999999978</v>
      </c>
      <c r="X900" s="87" t="str">
        <f t="shared" si="382"/>
        <v>ok</v>
      </c>
      <c r="Y900" s="91" t="str">
        <f t="shared" si="383"/>
        <v/>
      </c>
    </row>
    <row r="901" spans="1:25" ht="12" customHeight="1" x14ac:dyDescent="0.25">
      <c r="F901" s="107"/>
      <c r="G901" s="106"/>
      <c r="H901" s="106"/>
      <c r="I901" s="106"/>
      <c r="J901" s="106"/>
      <c r="K901" s="106"/>
      <c r="L901" s="106"/>
      <c r="M901" s="106"/>
      <c r="N901" s="106"/>
      <c r="O901" s="106"/>
      <c r="P901" s="106"/>
      <c r="Q901" s="106"/>
      <c r="R901" s="106"/>
      <c r="S901" s="106"/>
      <c r="T901" s="106"/>
      <c r="U901" s="106"/>
      <c r="V901" s="106"/>
      <c r="W901" s="98"/>
      <c r="X901" s="87"/>
      <c r="Y901" s="91"/>
    </row>
    <row r="902" spans="1:25" ht="12" customHeight="1" x14ac:dyDescent="0.25">
      <c r="A902" s="22" t="s">
        <v>2412</v>
      </c>
      <c r="F902" s="107"/>
      <c r="G902" s="106"/>
      <c r="H902" s="106"/>
      <c r="I902" s="106"/>
      <c r="J902" s="106"/>
      <c r="K902" s="106"/>
      <c r="L902" s="106"/>
      <c r="M902" s="106"/>
      <c r="N902" s="106"/>
      <c r="O902" s="106"/>
      <c r="P902" s="106"/>
      <c r="Q902" s="106"/>
      <c r="R902" s="106"/>
      <c r="S902" s="106"/>
      <c r="T902" s="106"/>
      <c r="U902" s="106"/>
      <c r="V902" s="106"/>
      <c r="W902" s="98"/>
      <c r="X902" s="87"/>
      <c r="Y902" s="91"/>
    </row>
    <row r="903" spans="1:25" ht="12" customHeight="1" x14ac:dyDescent="0.25">
      <c r="A903" s="86" t="s">
        <v>2407</v>
      </c>
      <c r="D903" s="86" t="s">
        <v>2414</v>
      </c>
      <c r="F903" s="90">
        <f>Meters!$G$45</f>
        <v>49194750.258011505</v>
      </c>
      <c r="G903" s="90">
        <f>Meters!$G$10</f>
        <v>29720264.149388038</v>
      </c>
      <c r="H903" s="90">
        <f>Meters!$G$12+Meters!$G$14</f>
        <v>11993012.715613034</v>
      </c>
      <c r="I903" s="90">
        <f>Meters!$G$16+Meters!$G$18</f>
        <v>244802.63237858255</v>
      </c>
      <c r="J903" s="90">
        <f>Meters!$G$20</f>
        <v>3749766.7077880916</v>
      </c>
      <c r="K903" s="90">
        <f>Meters!$G$22</f>
        <v>733308.08051836654</v>
      </c>
      <c r="L903" s="90">
        <f>Meters!$G$24</f>
        <v>670690.66895021172</v>
      </c>
      <c r="M903" s="90">
        <f>Meters!$G$26</f>
        <v>1299034.4739233158</v>
      </c>
      <c r="N903" s="90">
        <f>Meters!$G$28</f>
        <v>644052.01482892304</v>
      </c>
      <c r="O903" s="90">
        <f>Meters!$G$30</f>
        <v>39757.048914100007</v>
      </c>
      <c r="P903" s="90">
        <f>Meters!$G$32</f>
        <v>0</v>
      </c>
      <c r="Q903" s="90">
        <f>Meters!$G$34</f>
        <v>7256.3489603999997</v>
      </c>
      <c r="R903" s="90">
        <f>Meters!$G$36</f>
        <v>89427.782095300005</v>
      </c>
      <c r="S903" s="90">
        <f>Meters!$G$38</f>
        <v>3377.634653152787</v>
      </c>
      <c r="T903" s="90">
        <f>Meters!$G$40</f>
        <v>0</v>
      </c>
      <c r="U903" s="90">
        <f>Meters!$G$42</f>
        <v>0</v>
      </c>
      <c r="V903" s="106">
        <v>0</v>
      </c>
      <c r="W903" s="94">
        <f>SUM(G903:V903)</f>
        <v>49194750.258011512</v>
      </c>
      <c r="X903" s="87" t="str">
        <f t="shared" ref="X903:X908" si="387">IF(ABS(F903-W903)&lt;0.01,"ok","err")</f>
        <v>ok</v>
      </c>
      <c r="Y903" s="91" t="str">
        <f t="shared" ref="Y903:Y908" si="388">IF(X903="err",W903-F903,"")</f>
        <v/>
      </c>
    </row>
    <row r="904" spans="1:25" ht="12" customHeight="1" x14ac:dyDescent="0.25">
      <c r="A904" s="86" t="s">
        <v>2408</v>
      </c>
      <c r="F904" s="91">
        <f>F45</f>
        <v>77142556.667383939</v>
      </c>
      <c r="G904" s="90"/>
      <c r="H904" s="90"/>
      <c r="I904" s="90"/>
      <c r="J904" s="90"/>
      <c r="K904" s="90"/>
      <c r="L904" s="90"/>
      <c r="M904" s="90"/>
      <c r="N904" s="90"/>
      <c r="O904" s="90"/>
      <c r="P904" s="90"/>
      <c r="Q904" s="90"/>
      <c r="R904" s="90"/>
      <c r="S904" s="90"/>
      <c r="T904" s="90"/>
      <c r="U904" s="90"/>
      <c r="V904" s="90">
        <f>V900</f>
        <v>2.5434234336366861E-5</v>
      </c>
      <c r="W904" s="94">
        <f>F904</f>
        <v>77142556.667383939</v>
      </c>
      <c r="X904" s="87" t="str">
        <f t="shared" si="387"/>
        <v>ok</v>
      </c>
      <c r="Y904" s="91" t="str">
        <f t="shared" si="388"/>
        <v/>
      </c>
    </row>
    <row r="905" spans="1:25" ht="12" customHeight="1" x14ac:dyDescent="0.25">
      <c r="A905" s="86" t="s">
        <v>849</v>
      </c>
      <c r="F905" s="91">
        <v>159233.81</v>
      </c>
      <c r="G905" s="91"/>
      <c r="H905" s="91"/>
      <c r="I905" s="91"/>
      <c r="J905" s="91"/>
      <c r="K905" s="91"/>
      <c r="L905" s="91"/>
      <c r="M905" s="91"/>
      <c r="N905" s="91"/>
      <c r="O905" s="91"/>
      <c r="P905" s="91"/>
      <c r="Q905" s="91"/>
      <c r="R905" s="91"/>
      <c r="S905" s="91"/>
      <c r="T905" s="91">
        <v>159233.81</v>
      </c>
      <c r="U905" s="91">
        <v>0</v>
      </c>
      <c r="V905" s="91"/>
      <c r="W905" s="94">
        <f>SUM(G905:V905)</f>
        <v>159233.81</v>
      </c>
      <c r="X905" s="87" t="str">
        <f t="shared" si="387"/>
        <v>ok</v>
      </c>
      <c r="Y905" s="91" t="str">
        <f t="shared" si="388"/>
        <v/>
      </c>
    </row>
    <row r="906" spans="1:25" ht="12" customHeight="1" x14ac:dyDescent="0.25">
      <c r="A906" s="86" t="s">
        <v>2409</v>
      </c>
      <c r="E906" s="86" t="s">
        <v>2414</v>
      </c>
      <c r="F906" s="91">
        <f>F904-F905</f>
        <v>76983322.857383937</v>
      </c>
      <c r="G906" s="89">
        <f t="shared" ref="G906:V906" si="389">IF(VLOOKUP($E906,$D$5:$AJ$997,3,)=0,0,(VLOOKUP($E906,$D$5:$AJ$997,G$1,)/VLOOKUP($E906,$D$5:$AJ$997,3,))*$F906)</f>
        <v>46508309.899316363</v>
      </c>
      <c r="H906" s="89">
        <f t="shared" si="389"/>
        <v>18767489.72352783</v>
      </c>
      <c r="I906" s="89">
        <f t="shared" si="389"/>
        <v>383083.96700659767</v>
      </c>
      <c r="J906" s="89">
        <f t="shared" si="389"/>
        <v>5867892.398915261</v>
      </c>
      <c r="K906" s="89">
        <f t="shared" si="389"/>
        <v>1147530.8324648007</v>
      </c>
      <c r="L906" s="89">
        <f t="shared" si="389"/>
        <v>1049542.8076051781</v>
      </c>
      <c r="M906" s="89">
        <f t="shared" si="389"/>
        <v>2032818.3349731425</v>
      </c>
      <c r="N906" s="89">
        <f t="shared" si="389"/>
        <v>1007856.8126575489</v>
      </c>
      <c r="O906" s="89">
        <f t="shared" si="389"/>
        <v>62214.559812965694</v>
      </c>
      <c r="P906" s="89">
        <f t="shared" si="389"/>
        <v>0</v>
      </c>
      <c r="Q906" s="89">
        <f t="shared" si="389"/>
        <v>11355.233065612381</v>
      </c>
      <c r="R906" s="89">
        <f t="shared" si="389"/>
        <v>139942.73342898223</v>
      </c>
      <c r="S906" s="89">
        <f t="shared" si="389"/>
        <v>5285.5546096730877</v>
      </c>
      <c r="T906" s="89">
        <f t="shared" si="389"/>
        <v>0</v>
      </c>
      <c r="U906" s="89">
        <f t="shared" si="389"/>
        <v>0</v>
      </c>
      <c r="V906" s="89">
        <f t="shared" si="389"/>
        <v>0</v>
      </c>
      <c r="W906" s="94">
        <f>SUM(G906:V906)</f>
        <v>76983322.857383937</v>
      </c>
      <c r="X906" s="87" t="str">
        <f t="shared" si="387"/>
        <v>ok</v>
      </c>
      <c r="Y906" s="91" t="str">
        <f t="shared" si="388"/>
        <v/>
      </c>
    </row>
    <row r="907" spans="1:25" ht="12" customHeight="1" x14ac:dyDescent="0.25">
      <c r="A907" s="86" t="s">
        <v>2410</v>
      </c>
      <c r="D907" s="86" t="s">
        <v>2415</v>
      </c>
      <c r="F907" s="91">
        <f t="shared" ref="F907:V907" si="390">F905+F906</f>
        <v>77142556.667383939</v>
      </c>
      <c r="G907" s="91">
        <f t="shared" si="390"/>
        <v>46508309.899316363</v>
      </c>
      <c r="H907" s="91">
        <f t="shared" si="390"/>
        <v>18767489.72352783</v>
      </c>
      <c r="I907" s="91">
        <f t="shared" si="390"/>
        <v>383083.96700659767</v>
      </c>
      <c r="J907" s="91">
        <f t="shared" si="390"/>
        <v>5867892.398915261</v>
      </c>
      <c r="K907" s="91">
        <f t="shared" si="390"/>
        <v>1147530.8324648007</v>
      </c>
      <c r="L907" s="91">
        <f t="shared" si="390"/>
        <v>1049542.8076051781</v>
      </c>
      <c r="M907" s="91">
        <f t="shared" si="390"/>
        <v>2032818.3349731425</v>
      </c>
      <c r="N907" s="91">
        <f t="shared" si="390"/>
        <v>1007856.8126575489</v>
      </c>
      <c r="O907" s="91">
        <f t="shared" si="390"/>
        <v>62214.559812965694</v>
      </c>
      <c r="P907" s="91">
        <f t="shared" si="390"/>
        <v>0</v>
      </c>
      <c r="Q907" s="91">
        <f t="shared" si="390"/>
        <v>11355.233065612381</v>
      </c>
      <c r="R907" s="91">
        <f t="shared" si="390"/>
        <v>139942.73342898223</v>
      </c>
      <c r="S907" s="91">
        <f t="shared" si="390"/>
        <v>5285.5546096730877</v>
      </c>
      <c r="T907" s="91">
        <f t="shared" si="390"/>
        <v>159233.81</v>
      </c>
      <c r="U907" s="91">
        <f t="shared" si="390"/>
        <v>0</v>
      </c>
      <c r="V907" s="91">
        <f t="shared" si="390"/>
        <v>0</v>
      </c>
      <c r="W907" s="94">
        <f>SUM(G907:V907)</f>
        <v>77142556.667383939</v>
      </c>
      <c r="X907" s="87" t="str">
        <f t="shared" si="387"/>
        <v>ok</v>
      </c>
      <c r="Y907" s="91" t="str">
        <f t="shared" si="388"/>
        <v/>
      </c>
    </row>
    <row r="908" spans="1:25" ht="12" customHeight="1" x14ac:dyDescent="0.25">
      <c r="A908" s="86" t="s">
        <v>2411</v>
      </c>
      <c r="D908" s="86" t="s">
        <v>2416</v>
      </c>
      <c r="E908" s="86" t="s">
        <v>2415</v>
      </c>
      <c r="F908" s="107">
        <v>1</v>
      </c>
      <c r="G908" s="106">
        <f t="shared" ref="G908:V908" si="391">IF(VLOOKUP($E908,$D$5:$AJ$997,3,)=0,0,(VLOOKUP($E908,$D$5:$AJ$997,G$1,)/VLOOKUP($E908,$D$5:$AJ$997,3,))*$F908)</f>
        <v>0.60288784697461539</v>
      </c>
      <c r="H908" s="106">
        <f t="shared" si="391"/>
        <v>0.24328322179478362</v>
      </c>
      <c r="I908" s="106">
        <f t="shared" si="391"/>
        <v>4.9659226185404162E-3</v>
      </c>
      <c r="J908" s="106">
        <f t="shared" si="391"/>
        <v>7.6065568117166388E-2</v>
      </c>
      <c r="K908" s="106">
        <f t="shared" si="391"/>
        <v>1.4875457620786627E-2</v>
      </c>
      <c r="L908" s="106">
        <f t="shared" si="391"/>
        <v>1.3605237536143618E-2</v>
      </c>
      <c r="M908" s="106">
        <f t="shared" si="391"/>
        <v>2.6351451426973808E-2</v>
      </c>
      <c r="N908" s="106">
        <f t="shared" si="391"/>
        <v>1.3064861422769946E-2</v>
      </c>
      <c r="O908" s="106">
        <f t="shared" si="391"/>
        <v>8.0648817592624802E-4</v>
      </c>
      <c r="P908" s="106">
        <f t="shared" si="391"/>
        <v>0</v>
      </c>
      <c r="Q908" s="106">
        <f t="shared" si="391"/>
        <v>1.4719803900942527E-4</v>
      </c>
      <c r="R908" s="106">
        <f t="shared" si="391"/>
        <v>1.8140795363106024E-3</v>
      </c>
      <c r="S908" s="106">
        <f t="shared" si="391"/>
        <v>6.8516715520109707E-5</v>
      </c>
      <c r="T908" s="106">
        <f t="shared" si="391"/>
        <v>2.0641500214540393E-3</v>
      </c>
      <c r="U908" s="106">
        <f t="shared" si="391"/>
        <v>0</v>
      </c>
      <c r="V908" s="106">
        <f t="shared" si="391"/>
        <v>0</v>
      </c>
      <c r="W908" s="98">
        <f>SUM(G908:V908)</f>
        <v>1.0000000000000004</v>
      </c>
      <c r="X908" s="87" t="str">
        <f t="shared" si="387"/>
        <v>ok</v>
      </c>
      <c r="Y908" s="91" t="str">
        <f t="shared" si="388"/>
        <v/>
      </c>
    </row>
    <row r="909" spans="1:25" ht="12" customHeight="1" x14ac:dyDescent="0.25">
      <c r="F909" s="107"/>
      <c r="G909" s="106"/>
      <c r="H909" s="106"/>
      <c r="I909" s="106"/>
      <c r="J909" s="106"/>
      <c r="K909" s="106"/>
      <c r="L909" s="106"/>
      <c r="M909" s="106"/>
      <c r="N909" s="106"/>
      <c r="O909" s="106"/>
      <c r="P909" s="106"/>
      <c r="Q909" s="106"/>
      <c r="R909" s="106"/>
      <c r="S909" s="106"/>
      <c r="T909" s="106"/>
      <c r="U909" s="106"/>
      <c r="V909" s="106"/>
      <c r="W909" s="98"/>
      <c r="X909" s="87"/>
      <c r="Y909" s="91"/>
    </row>
    <row r="910" spans="1:25" ht="12" customHeight="1" x14ac:dyDescent="0.25">
      <c r="A910" s="86" t="s">
        <v>2417</v>
      </c>
      <c r="D910" s="86" t="s">
        <v>2427</v>
      </c>
      <c r="F910" s="90">
        <f>Meters!$G$45</f>
        <v>49194750.258011505</v>
      </c>
      <c r="G910" s="90">
        <f>Meters!$G$10</f>
        <v>29720264.149388038</v>
      </c>
      <c r="H910" s="90">
        <f>Meters!$G$12+Meters!$G$14</f>
        <v>11993012.715613034</v>
      </c>
      <c r="I910" s="90">
        <f>Meters!$G$16+Meters!$G$18</f>
        <v>244802.63237858255</v>
      </c>
      <c r="J910" s="90">
        <f>Meters!$G$20</f>
        <v>3749766.7077880916</v>
      </c>
      <c r="K910" s="90">
        <f>Meters!$G$22</f>
        <v>733308.08051836654</v>
      </c>
      <c r="L910" s="90">
        <f>Meters!$G$24</f>
        <v>670690.66895021172</v>
      </c>
      <c r="M910" s="90">
        <f>Meters!$G$26</f>
        <v>1299034.4739233158</v>
      </c>
      <c r="N910" s="90">
        <f>Meters!$G$28</f>
        <v>644052.01482892304</v>
      </c>
      <c r="O910" s="90">
        <f>Meters!$G$30</f>
        <v>39757.048914100007</v>
      </c>
      <c r="P910" s="90">
        <f>Meters!$G$32</f>
        <v>0</v>
      </c>
      <c r="Q910" s="90">
        <f>Meters!$G$34</f>
        <v>7256.3489603999997</v>
      </c>
      <c r="R910" s="90">
        <f>Meters!$G$36</f>
        <v>89427.782095300005</v>
      </c>
      <c r="S910" s="90">
        <f>Meters!$G$38</f>
        <v>3377.634653152787</v>
      </c>
      <c r="T910" s="90">
        <f>Meters!$G$40</f>
        <v>0</v>
      </c>
      <c r="U910" s="90">
        <f>Meters!$G$42</f>
        <v>0</v>
      </c>
      <c r="V910" s="106">
        <v>0</v>
      </c>
      <c r="W910" s="94">
        <f>SUM(G910:V910)</f>
        <v>49194750.258011512</v>
      </c>
      <c r="X910" s="87" t="str">
        <f t="shared" ref="X910:X915" si="392">IF(ABS(F910-W910)&lt;0.01,"ok","err")</f>
        <v>ok</v>
      </c>
      <c r="Y910" s="91" t="str">
        <f t="shared" ref="Y910:Y915" si="393">IF(X910="err",W910-F910,"")</f>
        <v/>
      </c>
    </row>
    <row r="911" spans="1:25" ht="12" customHeight="1" x14ac:dyDescent="0.25">
      <c r="A911" s="86" t="s">
        <v>2418</v>
      </c>
      <c r="F911" s="91">
        <f>F103</f>
        <v>53653152.478743747</v>
      </c>
      <c r="G911" s="90"/>
      <c r="H911" s="90"/>
      <c r="I911" s="90"/>
      <c r="J911" s="90"/>
      <c r="K911" s="90"/>
      <c r="L911" s="90"/>
      <c r="M911" s="90"/>
      <c r="N911" s="90"/>
      <c r="O911" s="90"/>
      <c r="P911" s="90"/>
      <c r="Q911" s="90"/>
      <c r="R911" s="90"/>
      <c r="S911" s="90"/>
      <c r="T911" s="90"/>
      <c r="U911" s="90"/>
      <c r="V911" s="90">
        <f>V907</f>
        <v>0</v>
      </c>
      <c r="W911" s="94">
        <f>F911</f>
        <v>53653152.478743747</v>
      </c>
      <c r="X911" s="87" t="str">
        <f t="shared" si="392"/>
        <v>ok</v>
      </c>
      <c r="Y911" s="91" t="str">
        <f t="shared" si="393"/>
        <v/>
      </c>
    </row>
    <row r="912" spans="1:25" ht="12" customHeight="1" x14ac:dyDescent="0.25">
      <c r="A912" s="86" t="s">
        <v>849</v>
      </c>
      <c r="F912" s="91">
        <v>120012.82</v>
      </c>
      <c r="G912" s="91"/>
      <c r="H912" s="91"/>
      <c r="I912" s="91"/>
      <c r="J912" s="91"/>
      <c r="K912" s="91"/>
      <c r="L912" s="91"/>
      <c r="M912" s="91"/>
      <c r="N912" s="91"/>
      <c r="O912" s="91"/>
      <c r="P912" s="91"/>
      <c r="Q912" s="91"/>
      <c r="R912" s="91"/>
      <c r="S912" s="91"/>
      <c r="T912" s="91">
        <f>T905-39220.99</f>
        <v>120012.82</v>
      </c>
      <c r="U912" s="91">
        <v>0</v>
      </c>
      <c r="V912" s="91"/>
      <c r="W912" s="94">
        <f>SUM(G912:V912)</f>
        <v>120012.82</v>
      </c>
      <c r="X912" s="87" t="str">
        <f t="shared" si="392"/>
        <v>ok</v>
      </c>
      <c r="Y912" s="91" t="str">
        <f t="shared" si="393"/>
        <v/>
      </c>
    </row>
    <row r="913" spans="1:25" ht="12" customHeight="1" x14ac:dyDescent="0.25">
      <c r="A913" s="86" t="s">
        <v>2419</v>
      </c>
      <c r="E913" s="86" t="s">
        <v>2427</v>
      </c>
      <c r="F913" s="91">
        <f>F911-F912</f>
        <v>53533139.658743747</v>
      </c>
      <c r="G913" s="89">
        <f t="shared" ref="G913:V913" si="394">IF(VLOOKUP($E913,$D$5:$AJ$997,3,)=0,0,(VLOOKUP($E913,$D$5:$AJ$997,G$1,)/VLOOKUP($E913,$D$5:$AJ$997,3,))*$F913)</f>
        <v>32341236.474614337</v>
      </c>
      <c r="H913" s="89">
        <f t="shared" si="394"/>
        <v>13050653.195041817</v>
      </c>
      <c r="I913" s="89">
        <f t="shared" si="394"/>
        <v>266391.30068185617</v>
      </c>
      <c r="J913" s="89">
        <f t="shared" si="394"/>
        <v>4080451.3449692144</v>
      </c>
      <c r="K913" s="89">
        <f t="shared" si="394"/>
        <v>797977.09473851882</v>
      </c>
      <c r="L913" s="89">
        <f t="shared" si="394"/>
        <v>729837.57535959559</v>
      </c>
      <c r="M913" s="89">
        <f t="shared" si="394"/>
        <v>1413593.7991215752</v>
      </c>
      <c r="N913" s="89">
        <f t="shared" si="394"/>
        <v>700849.71011143969</v>
      </c>
      <c r="O913" s="89">
        <f t="shared" si="394"/>
        <v>43263.145778271719</v>
      </c>
      <c r="P913" s="89">
        <f t="shared" si="394"/>
        <v>0</v>
      </c>
      <c r="Q913" s="89">
        <f t="shared" si="394"/>
        <v>7896.272270361047</v>
      </c>
      <c r="R913" s="89">
        <f t="shared" si="394"/>
        <v>97314.244368986605</v>
      </c>
      <c r="S913" s="89">
        <f t="shared" si="394"/>
        <v>3675.5016877841422</v>
      </c>
      <c r="T913" s="89">
        <f t="shared" si="394"/>
        <v>0</v>
      </c>
      <c r="U913" s="89">
        <f t="shared" si="394"/>
        <v>0</v>
      </c>
      <c r="V913" s="89">
        <f t="shared" si="394"/>
        <v>0</v>
      </c>
      <c r="W913" s="94">
        <f>SUM(G913:V913)</f>
        <v>53533139.658743761</v>
      </c>
      <c r="X913" s="87" t="str">
        <f t="shared" si="392"/>
        <v>ok</v>
      </c>
      <c r="Y913" s="91" t="str">
        <f t="shared" si="393"/>
        <v/>
      </c>
    </row>
    <row r="914" spans="1:25" ht="12" customHeight="1" x14ac:dyDescent="0.25">
      <c r="A914" s="86" t="s">
        <v>2420</v>
      </c>
      <c r="D914" s="86" t="s">
        <v>2428</v>
      </c>
      <c r="F914" s="91">
        <f t="shared" ref="F914:V914" si="395">F912+F913</f>
        <v>53653152.478743747</v>
      </c>
      <c r="G914" s="91">
        <f t="shared" si="395"/>
        <v>32341236.474614337</v>
      </c>
      <c r="H914" s="91">
        <f t="shared" si="395"/>
        <v>13050653.195041817</v>
      </c>
      <c r="I914" s="91">
        <f t="shared" si="395"/>
        <v>266391.30068185617</v>
      </c>
      <c r="J914" s="91">
        <f t="shared" si="395"/>
        <v>4080451.3449692144</v>
      </c>
      <c r="K914" s="91">
        <f t="shared" si="395"/>
        <v>797977.09473851882</v>
      </c>
      <c r="L914" s="91">
        <f t="shared" si="395"/>
        <v>729837.57535959559</v>
      </c>
      <c r="M914" s="91">
        <f t="shared" si="395"/>
        <v>1413593.7991215752</v>
      </c>
      <c r="N914" s="91">
        <f t="shared" si="395"/>
        <v>700849.71011143969</v>
      </c>
      <c r="O914" s="91">
        <f t="shared" si="395"/>
        <v>43263.145778271719</v>
      </c>
      <c r="P914" s="91">
        <f t="shared" si="395"/>
        <v>0</v>
      </c>
      <c r="Q914" s="91">
        <f t="shared" si="395"/>
        <v>7896.272270361047</v>
      </c>
      <c r="R914" s="91">
        <f t="shared" si="395"/>
        <v>97314.244368986605</v>
      </c>
      <c r="S914" s="91">
        <f t="shared" si="395"/>
        <v>3675.5016877841422</v>
      </c>
      <c r="T914" s="91">
        <f t="shared" si="395"/>
        <v>120012.82</v>
      </c>
      <c r="U914" s="91">
        <f t="shared" si="395"/>
        <v>0</v>
      </c>
      <c r="V914" s="91">
        <f t="shared" si="395"/>
        <v>0</v>
      </c>
      <c r="W914" s="94">
        <f>SUM(G914:V914)</f>
        <v>53653152.478743762</v>
      </c>
      <c r="X914" s="87" t="str">
        <f t="shared" si="392"/>
        <v>ok</v>
      </c>
      <c r="Y914" s="91" t="str">
        <f t="shared" si="393"/>
        <v/>
      </c>
    </row>
    <row r="915" spans="1:25" ht="12" customHeight="1" x14ac:dyDescent="0.25">
      <c r="A915" s="86" t="s">
        <v>2421</v>
      </c>
      <c r="D915" s="86" t="s">
        <v>2429</v>
      </c>
      <c r="E915" s="86" t="s">
        <v>2428</v>
      </c>
      <c r="F915" s="107">
        <v>1</v>
      </c>
      <c r="G915" s="106">
        <f t="shared" ref="G915:V915" si="396">IF(VLOOKUP($E915,$D$5:$AJ$997,3,)=0,0,(VLOOKUP($E915,$D$5:$AJ$997,G$1,)/VLOOKUP($E915,$D$5:$AJ$997,3,))*$F915)</f>
        <v>0.60278352679140812</v>
      </c>
      <c r="H915" s="106">
        <f t="shared" si="396"/>
        <v>0.24324112549047722</v>
      </c>
      <c r="I915" s="106">
        <f t="shared" si="396"/>
        <v>4.9650633443653622E-3</v>
      </c>
      <c r="J915" s="106">
        <f t="shared" si="396"/>
        <v>7.6052406176613824E-2</v>
      </c>
      <c r="K915" s="106">
        <f t="shared" si="396"/>
        <v>1.4872883658693879E-2</v>
      </c>
      <c r="L915" s="106">
        <f t="shared" si="396"/>
        <v>1.3602883365497339E-2</v>
      </c>
      <c r="M915" s="106">
        <f t="shared" si="396"/>
        <v>2.6346891726103352E-2</v>
      </c>
      <c r="N915" s="106">
        <f t="shared" si="396"/>
        <v>1.3062600755642488E-2</v>
      </c>
      <c r="O915" s="106">
        <f t="shared" si="396"/>
        <v>8.0634862593417355E-4</v>
      </c>
      <c r="P915" s="106">
        <f t="shared" si="396"/>
        <v>0</v>
      </c>
      <c r="Q915" s="106">
        <f t="shared" si="396"/>
        <v>1.4717256872258128E-4</v>
      </c>
      <c r="R915" s="106">
        <f t="shared" si="396"/>
        <v>1.8137656386088491E-3</v>
      </c>
      <c r="S915" s="106">
        <f t="shared" si="396"/>
        <v>6.8504859788812947E-5</v>
      </c>
      <c r="T915" s="106">
        <f t="shared" si="396"/>
        <v>2.2368269981441736E-3</v>
      </c>
      <c r="U915" s="106">
        <f t="shared" si="396"/>
        <v>0</v>
      </c>
      <c r="V915" s="106">
        <f t="shared" si="396"/>
        <v>0</v>
      </c>
      <c r="W915" s="98">
        <f>SUM(G915:V915)</f>
        <v>1</v>
      </c>
      <c r="X915" s="87" t="str">
        <f t="shared" si="392"/>
        <v>ok</v>
      </c>
      <c r="Y915" s="91" t="str">
        <f t="shared" si="393"/>
        <v/>
      </c>
    </row>
    <row r="916" spans="1:25" ht="12" customHeight="1" x14ac:dyDescent="0.25">
      <c r="F916" s="107"/>
      <c r="G916" s="106"/>
      <c r="H916" s="106"/>
      <c r="I916" s="106"/>
      <c r="J916" s="106"/>
      <c r="K916" s="106"/>
      <c r="L916" s="106"/>
      <c r="M916" s="106"/>
      <c r="N916" s="106"/>
      <c r="O916" s="106"/>
      <c r="P916" s="106"/>
      <c r="Q916" s="106"/>
      <c r="R916" s="106"/>
      <c r="S916" s="106"/>
      <c r="T916" s="106"/>
      <c r="U916" s="106"/>
      <c r="V916" s="106"/>
      <c r="W916" s="98"/>
      <c r="X916" s="87"/>
      <c r="Y916" s="91"/>
    </row>
    <row r="917" spans="1:25" ht="12" customHeight="1" x14ac:dyDescent="0.25">
      <c r="A917" s="86" t="s">
        <v>2422</v>
      </c>
      <c r="D917" s="86" t="s">
        <v>2430</v>
      </c>
      <c r="F917" s="90">
        <f>Meters!$G$45</f>
        <v>49194750.258011505</v>
      </c>
      <c r="G917" s="90">
        <f>Meters!$G$10</f>
        <v>29720264.149388038</v>
      </c>
      <c r="H917" s="90">
        <f>Meters!$G$12+Meters!$G$14</f>
        <v>11993012.715613034</v>
      </c>
      <c r="I917" s="90">
        <f>Meters!$G$16+Meters!$G$18</f>
        <v>244802.63237858255</v>
      </c>
      <c r="J917" s="90">
        <f>Meters!$G$20</f>
        <v>3749766.7077880916</v>
      </c>
      <c r="K917" s="90">
        <f>Meters!$G$22</f>
        <v>733308.08051836654</v>
      </c>
      <c r="L917" s="90">
        <f>Meters!$G$24</f>
        <v>670690.66895021172</v>
      </c>
      <c r="M917" s="90">
        <f>Meters!$G$26</f>
        <v>1299034.4739233158</v>
      </c>
      <c r="N917" s="90">
        <f>Meters!$G$28</f>
        <v>644052.01482892304</v>
      </c>
      <c r="O917" s="90">
        <f>Meters!$G$30</f>
        <v>39757.048914100007</v>
      </c>
      <c r="P917" s="90">
        <f>Meters!$G$32</f>
        <v>0</v>
      </c>
      <c r="Q917" s="90">
        <f>Meters!$G$34</f>
        <v>7256.3489603999997</v>
      </c>
      <c r="R917" s="90">
        <f>Meters!$G$36</f>
        <v>89427.782095300005</v>
      </c>
      <c r="S917" s="90">
        <f>Meters!$G$38</f>
        <v>3377.634653152787</v>
      </c>
      <c r="T917" s="90">
        <f>Meters!$G$40</f>
        <v>0</v>
      </c>
      <c r="U917" s="90">
        <f>Meters!$G$42</f>
        <v>0</v>
      </c>
      <c r="V917" s="106">
        <v>0</v>
      </c>
      <c r="W917" s="94">
        <f>SUM(G917:V917)</f>
        <v>49194750.258011512</v>
      </c>
      <c r="X917" s="87" t="str">
        <f t="shared" ref="X917:X922" si="397">IF(ABS(F917-W917)&lt;0.01,"ok","err")</f>
        <v>ok</v>
      </c>
      <c r="Y917" s="91" t="str">
        <f t="shared" ref="Y917:Y922" si="398">IF(X917="err",W917-F917,"")</f>
        <v/>
      </c>
    </row>
    <row r="918" spans="1:25" ht="12" customHeight="1" x14ac:dyDescent="0.25">
      <c r="A918" s="86" t="s">
        <v>2423</v>
      </c>
      <c r="F918" s="91">
        <f>F160</f>
        <v>45031431.200968683</v>
      </c>
      <c r="G918" s="90"/>
      <c r="H918" s="90"/>
      <c r="I918" s="90"/>
      <c r="J918" s="90"/>
      <c r="K918" s="90"/>
      <c r="L918" s="90"/>
      <c r="M918" s="90"/>
      <c r="N918" s="90"/>
      <c r="O918" s="90"/>
      <c r="P918" s="90"/>
      <c r="Q918" s="90"/>
      <c r="R918" s="90"/>
      <c r="S918" s="90"/>
      <c r="T918" s="90"/>
      <c r="U918" s="90"/>
      <c r="V918" s="90">
        <f>V914</f>
        <v>0</v>
      </c>
      <c r="W918" s="94">
        <f>F918</f>
        <v>45031431.200968683</v>
      </c>
      <c r="X918" s="87" t="str">
        <f t="shared" si="397"/>
        <v>ok</v>
      </c>
      <c r="Y918" s="91" t="str">
        <f t="shared" si="398"/>
        <v/>
      </c>
    </row>
    <row r="919" spans="1:25" ht="12" customHeight="1" x14ac:dyDescent="0.25">
      <c r="A919" s="86" t="s">
        <v>849</v>
      </c>
      <c r="F919" s="91">
        <v>89398.82</v>
      </c>
      <c r="G919" s="91"/>
      <c r="H919" s="91"/>
      <c r="I919" s="91"/>
      <c r="J919" s="91"/>
      <c r="K919" s="91"/>
      <c r="L919" s="91"/>
      <c r="M919" s="91"/>
      <c r="N919" s="91"/>
      <c r="O919" s="91"/>
      <c r="P919" s="91"/>
      <c r="Q919" s="91"/>
      <c r="R919" s="91"/>
      <c r="S919" s="91"/>
      <c r="T919" s="91">
        <f>T912-30614</f>
        <v>89398.82</v>
      </c>
      <c r="U919" s="91">
        <v>0</v>
      </c>
      <c r="V919" s="91"/>
      <c r="W919" s="94">
        <f>SUM(G919:V919)</f>
        <v>89398.82</v>
      </c>
      <c r="X919" s="87" t="str">
        <f t="shared" si="397"/>
        <v>ok</v>
      </c>
      <c r="Y919" s="91" t="str">
        <f t="shared" si="398"/>
        <v/>
      </c>
    </row>
    <row r="920" spans="1:25" ht="12" customHeight="1" x14ac:dyDescent="0.25">
      <c r="A920" s="86" t="s">
        <v>2424</v>
      </c>
      <c r="E920" s="86" t="s">
        <v>2430</v>
      </c>
      <c r="F920" s="91">
        <f>F918-F919</f>
        <v>44942032.380968682</v>
      </c>
      <c r="G920" s="89">
        <f t="shared" ref="G920:V920" si="399">IF(VLOOKUP($E920,$D$5:$AJ$997,3,)=0,0,(VLOOKUP($E920,$D$5:$AJ$997,G$1,)/VLOOKUP($E920,$D$5:$AJ$997,3,))*$F920)</f>
        <v>27151048.979158483</v>
      </c>
      <c r="H920" s="89">
        <f t="shared" si="399"/>
        <v>10956257.791402731</v>
      </c>
      <c r="I920" s="89">
        <f t="shared" si="399"/>
        <v>223640.28221716473</v>
      </c>
      <c r="J920" s="89">
        <f t="shared" si="399"/>
        <v>3425612.2029005815</v>
      </c>
      <c r="K920" s="89">
        <f t="shared" si="399"/>
        <v>669916.10541849199</v>
      </c>
      <c r="L920" s="89">
        <f t="shared" si="399"/>
        <v>612711.75488212216</v>
      </c>
      <c r="M920" s="89">
        <f t="shared" si="399"/>
        <v>1186737.3873200775</v>
      </c>
      <c r="N920" s="89">
        <f t="shared" si="399"/>
        <v>588375.9212855401</v>
      </c>
      <c r="O920" s="89">
        <f t="shared" si="399"/>
        <v>36320.188034255931</v>
      </c>
      <c r="P920" s="89">
        <f t="shared" si="399"/>
        <v>0</v>
      </c>
      <c r="Q920" s="89">
        <f t="shared" si="399"/>
        <v>6629.0624149026244</v>
      </c>
      <c r="R920" s="89">
        <f t="shared" si="399"/>
        <v>81697.056242920313</v>
      </c>
      <c r="S920" s="89">
        <f t="shared" si="399"/>
        <v>3085.6496914191325</v>
      </c>
      <c r="T920" s="89">
        <f t="shared" si="399"/>
        <v>0</v>
      </c>
      <c r="U920" s="89">
        <f t="shared" si="399"/>
        <v>0</v>
      </c>
      <c r="V920" s="89">
        <f t="shared" si="399"/>
        <v>0</v>
      </c>
      <c r="W920" s="94">
        <f>SUM(G920:V920)</f>
        <v>44942032.38096869</v>
      </c>
      <c r="X920" s="87" t="str">
        <f t="shared" si="397"/>
        <v>ok</v>
      </c>
      <c r="Y920" s="91" t="str">
        <f t="shared" si="398"/>
        <v/>
      </c>
    </row>
    <row r="921" spans="1:25" ht="12" customHeight="1" x14ac:dyDescent="0.25">
      <c r="A921" s="86" t="s">
        <v>2425</v>
      </c>
      <c r="D921" s="86" t="s">
        <v>2431</v>
      </c>
      <c r="F921" s="91">
        <f t="shared" ref="F921:V921" si="400">F919+F920</f>
        <v>45031431.200968683</v>
      </c>
      <c r="G921" s="91">
        <f t="shared" si="400"/>
        <v>27151048.979158483</v>
      </c>
      <c r="H921" s="91">
        <f t="shared" si="400"/>
        <v>10956257.791402731</v>
      </c>
      <c r="I921" s="91">
        <f t="shared" si="400"/>
        <v>223640.28221716473</v>
      </c>
      <c r="J921" s="91">
        <f t="shared" si="400"/>
        <v>3425612.2029005815</v>
      </c>
      <c r="K921" s="91">
        <f t="shared" si="400"/>
        <v>669916.10541849199</v>
      </c>
      <c r="L921" s="91">
        <f t="shared" si="400"/>
        <v>612711.75488212216</v>
      </c>
      <c r="M921" s="91">
        <f t="shared" si="400"/>
        <v>1186737.3873200775</v>
      </c>
      <c r="N921" s="91">
        <f t="shared" si="400"/>
        <v>588375.9212855401</v>
      </c>
      <c r="O921" s="91">
        <f t="shared" si="400"/>
        <v>36320.188034255931</v>
      </c>
      <c r="P921" s="91">
        <f t="shared" si="400"/>
        <v>0</v>
      </c>
      <c r="Q921" s="91">
        <f t="shared" si="400"/>
        <v>6629.0624149026244</v>
      </c>
      <c r="R921" s="91">
        <f t="shared" si="400"/>
        <v>81697.056242920313</v>
      </c>
      <c r="S921" s="91">
        <f t="shared" si="400"/>
        <v>3085.6496914191325</v>
      </c>
      <c r="T921" s="91">
        <f t="shared" si="400"/>
        <v>89398.82</v>
      </c>
      <c r="U921" s="91">
        <f t="shared" si="400"/>
        <v>0</v>
      </c>
      <c r="V921" s="91">
        <f t="shared" si="400"/>
        <v>0</v>
      </c>
      <c r="W921" s="94">
        <f>SUM(G921:V921)</f>
        <v>45031431.20096869</v>
      </c>
      <c r="X921" s="87" t="str">
        <f t="shared" si="397"/>
        <v>ok</v>
      </c>
      <c r="Y921" s="91" t="str">
        <f t="shared" si="398"/>
        <v/>
      </c>
    </row>
    <row r="922" spans="1:25" ht="12" customHeight="1" x14ac:dyDescent="0.25">
      <c r="A922" s="86" t="s">
        <v>2426</v>
      </c>
      <c r="D922" s="86" t="s">
        <v>2432</v>
      </c>
      <c r="E922" s="86" t="s">
        <v>2431</v>
      </c>
      <c r="F922" s="107">
        <v>1</v>
      </c>
      <c r="G922" s="106">
        <f t="shared" ref="G922:V922" si="401">IF(VLOOKUP($E922,$D$5:$AJ$997,3,)=0,0,(VLOOKUP($E922,$D$5:$AJ$997,G$1,)/VLOOKUP($E922,$D$5:$AJ$997,3,))*$F922)</f>
        <v>0.60293551093207165</v>
      </c>
      <c r="H922" s="106">
        <f t="shared" si="401"/>
        <v>0.24330245562275285</v>
      </c>
      <c r="I922" s="106">
        <f t="shared" si="401"/>
        <v>4.9663152214525653E-3</v>
      </c>
      <c r="J922" s="106">
        <f t="shared" si="401"/>
        <v>7.6071581816100312E-2</v>
      </c>
      <c r="K922" s="106">
        <f t="shared" si="401"/>
        <v>1.4876633665689072E-2</v>
      </c>
      <c r="L922" s="106">
        <f t="shared" si="401"/>
        <v>1.3606313158195646E-2</v>
      </c>
      <c r="M922" s="106">
        <f t="shared" si="401"/>
        <v>2.6353534757175324E-2</v>
      </c>
      <c r="N922" s="106">
        <f t="shared" si="401"/>
        <v>1.3065894323005292E-2</v>
      </c>
      <c r="O922" s="106">
        <f t="shared" si="401"/>
        <v>8.0655193640557967E-4</v>
      </c>
      <c r="P922" s="106">
        <f t="shared" si="401"/>
        <v>0</v>
      </c>
      <c r="Q922" s="106">
        <f t="shared" si="401"/>
        <v>1.4720967639953724E-4</v>
      </c>
      <c r="R922" s="106">
        <f t="shared" si="401"/>
        <v>1.8142229563683711E-3</v>
      </c>
      <c r="S922" s="106">
        <f t="shared" si="401"/>
        <v>6.8522132411211396E-5</v>
      </c>
      <c r="T922" s="106">
        <f t="shared" si="401"/>
        <v>1.9852538019728078E-3</v>
      </c>
      <c r="U922" s="106">
        <f t="shared" si="401"/>
        <v>0</v>
      </c>
      <c r="V922" s="106">
        <f t="shared" si="401"/>
        <v>0</v>
      </c>
      <c r="W922" s="98">
        <f>SUM(G922:V922)</f>
        <v>1.0000000000000002</v>
      </c>
      <c r="X922" s="87" t="str">
        <f t="shared" si="397"/>
        <v>ok</v>
      </c>
      <c r="Y922" s="91" t="str">
        <f t="shared" si="398"/>
        <v/>
      </c>
    </row>
    <row r="923" spans="1:25" ht="12" customHeight="1" x14ac:dyDescent="0.25">
      <c r="F923" s="107"/>
      <c r="G923" s="106"/>
      <c r="H923" s="106"/>
      <c r="I923" s="106"/>
      <c r="J923" s="106"/>
      <c r="K923" s="106"/>
      <c r="L923" s="106"/>
      <c r="M923" s="106"/>
      <c r="N923" s="106"/>
      <c r="O923" s="106"/>
      <c r="P923" s="106"/>
      <c r="Q923" s="106"/>
      <c r="R923" s="106"/>
      <c r="S923" s="106"/>
      <c r="T923" s="106"/>
      <c r="U923" s="106"/>
      <c r="V923" s="106"/>
      <c r="W923" s="98"/>
      <c r="X923" s="87"/>
      <c r="Y923" s="91"/>
    </row>
    <row r="924" spans="1:25" ht="12" customHeight="1" x14ac:dyDescent="0.25">
      <c r="A924" s="86" t="s">
        <v>2433</v>
      </c>
      <c r="D924" s="86" t="s">
        <v>2451</v>
      </c>
      <c r="F924" s="90">
        <f>Meters!$G$45</f>
        <v>49194750.258011505</v>
      </c>
      <c r="G924" s="90">
        <f>Meters!$G$10</f>
        <v>29720264.149388038</v>
      </c>
      <c r="H924" s="90">
        <f>Meters!$G$12+Meters!$G$14</f>
        <v>11993012.715613034</v>
      </c>
      <c r="I924" s="90">
        <f>Meters!$G$16+Meters!$G$18</f>
        <v>244802.63237858255</v>
      </c>
      <c r="J924" s="90">
        <f>Meters!$G$20</f>
        <v>3749766.7077880916</v>
      </c>
      <c r="K924" s="90">
        <f>Meters!$G$22</f>
        <v>733308.08051836654</v>
      </c>
      <c r="L924" s="90">
        <f>Meters!$G$24</f>
        <v>670690.66895021172</v>
      </c>
      <c r="M924" s="90">
        <f>Meters!$G$26</f>
        <v>1299034.4739233158</v>
      </c>
      <c r="N924" s="90">
        <f>Meters!$G$28</f>
        <v>644052.01482892304</v>
      </c>
      <c r="O924" s="90">
        <f>Meters!$G$30</f>
        <v>39757.048914100007</v>
      </c>
      <c r="P924" s="90">
        <f>Meters!$G$32</f>
        <v>0</v>
      </c>
      <c r="Q924" s="90">
        <f>Meters!$G$34</f>
        <v>7256.3489603999997</v>
      </c>
      <c r="R924" s="90">
        <f>Meters!$G$36</f>
        <v>89427.782095300005</v>
      </c>
      <c r="S924" s="90">
        <f>Meters!$G$38</f>
        <v>3377.634653152787</v>
      </c>
      <c r="T924" s="90">
        <f>Meters!$G$40</f>
        <v>0</v>
      </c>
      <c r="U924" s="90">
        <f>Meters!$G$42</f>
        <v>0</v>
      </c>
      <c r="V924" s="106">
        <v>0</v>
      </c>
      <c r="W924" s="94">
        <f>SUM(G924:V924)</f>
        <v>49194750.258011512</v>
      </c>
      <c r="X924" s="87" t="str">
        <f t="shared" ref="X924:X929" si="402">IF(ABS(F924-W924)&lt;0.01,"ok","err")</f>
        <v>ok</v>
      </c>
      <c r="Y924" s="91" t="str">
        <f t="shared" ref="Y924:Y929" si="403">IF(X924="err",W924-F924,"")</f>
        <v/>
      </c>
    </row>
    <row r="925" spans="1:25" ht="12" customHeight="1" x14ac:dyDescent="0.25">
      <c r="A925" s="86" t="s">
        <v>2434</v>
      </c>
      <c r="F925" s="91">
        <f>F217</f>
        <v>11537187.7496015</v>
      </c>
      <c r="G925" s="90"/>
      <c r="H925" s="90"/>
      <c r="I925" s="90"/>
      <c r="J925" s="90"/>
      <c r="K925" s="90"/>
      <c r="L925" s="90"/>
      <c r="M925" s="90"/>
      <c r="N925" s="90"/>
      <c r="O925" s="90"/>
      <c r="P925" s="90"/>
      <c r="Q925" s="90"/>
      <c r="R925" s="90"/>
      <c r="S925" s="90"/>
      <c r="T925" s="90"/>
      <c r="U925" s="90"/>
      <c r="V925" s="90">
        <f>V921</f>
        <v>0</v>
      </c>
      <c r="W925" s="94">
        <f>F925</f>
        <v>11537187.7496015</v>
      </c>
      <c r="X925" s="87" t="str">
        <f t="shared" si="402"/>
        <v>ok</v>
      </c>
      <c r="Y925" s="91" t="str">
        <f t="shared" si="403"/>
        <v/>
      </c>
    </row>
    <row r="926" spans="1:25" ht="12" customHeight="1" x14ac:dyDescent="0.25">
      <c r="A926" s="86" t="s">
        <v>849</v>
      </c>
      <c r="F926" s="91">
        <v>0</v>
      </c>
      <c r="G926" s="91"/>
      <c r="H926" s="91"/>
      <c r="I926" s="91"/>
      <c r="J926" s="91"/>
      <c r="K926" s="91"/>
      <c r="L926" s="91"/>
      <c r="M926" s="91"/>
      <c r="N926" s="91"/>
      <c r="O926" s="91"/>
      <c r="P926" s="91"/>
      <c r="Q926" s="91"/>
      <c r="R926" s="91"/>
      <c r="S926" s="91"/>
      <c r="T926" s="91">
        <v>0</v>
      </c>
      <c r="U926" s="91">
        <v>0</v>
      </c>
      <c r="V926" s="91"/>
      <c r="W926" s="94">
        <f>SUM(G926:V926)</f>
        <v>0</v>
      </c>
      <c r="X926" s="87" t="str">
        <f t="shared" si="402"/>
        <v>ok</v>
      </c>
      <c r="Y926" s="91" t="str">
        <f t="shared" si="403"/>
        <v/>
      </c>
    </row>
    <row r="927" spans="1:25" ht="12" customHeight="1" x14ac:dyDescent="0.25">
      <c r="A927" s="86" t="s">
        <v>2435</v>
      </c>
      <c r="E927" s="86" t="s">
        <v>2451</v>
      </c>
      <c r="F927" s="91">
        <f>F925-F926</f>
        <v>11537187.7496015</v>
      </c>
      <c r="G927" s="89">
        <f t="shared" ref="G927:V927" si="404">IF(VLOOKUP($E927,$D$5:$AJ$997,3,)=0,0,(VLOOKUP($E927,$D$5:$AJ$997,G$1,)/VLOOKUP($E927,$D$5:$AJ$997,3,))*$F927)</f>
        <v>6970017.444156046</v>
      </c>
      <c r="H927" s="89">
        <f t="shared" si="404"/>
        <v>2812609.8548666271</v>
      </c>
      <c r="I927" s="89">
        <f t="shared" si="404"/>
        <v>57411.287109612502</v>
      </c>
      <c r="J927" s="89">
        <f t="shared" si="404"/>
        <v>879397.94994509639</v>
      </c>
      <c r="K927" s="89">
        <f t="shared" si="404"/>
        <v>171975.93155506472</v>
      </c>
      <c r="L927" s="89">
        <f t="shared" si="404"/>
        <v>157290.85174742364</v>
      </c>
      <c r="M927" s="89">
        <f t="shared" si="404"/>
        <v>304650.48689656472</v>
      </c>
      <c r="N927" s="89">
        <f t="shared" si="404"/>
        <v>151043.53567442551</v>
      </c>
      <c r="O927" s="89">
        <f t="shared" si="404"/>
        <v>9323.8513314205538</v>
      </c>
      <c r="P927" s="89">
        <f t="shared" si="404"/>
        <v>0</v>
      </c>
      <c r="Q927" s="89">
        <f t="shared" si="404"/>
        <v>1701.7641088466908</v>
      </c>
      <c r="R927" s="89">
        <f t="shared" si="404"/>
        <v>20972.666934027275</v>
      </c>
      <c r="S927" s="89">
        <f t="shared" si="404"/>
        <v>792.12527634770811</v>
      </c>
      <c r="T927" s="89">
        <f t="shared" si="404"/>
        <v>0</v>
      </c>
      <c r="U927" s="89">
        <f t="shared" si="404"/>
        <v>0</v>
      </c>
      <c r="V927" s="89">
        <f t="shared" si="404"/>
        <v>0</v>
      </c>
      <c r="W927" s="94">
        <f>SUM(G927:V927)</f>
        <v>11537187.7496015</v>
      </c>
      <c r="X927" s="87" t="str">
        <f t="shared" si="402"/>
        <v>ok</v>
      </c>
      <c r="Y927" s="91" t="str">
        <f t="shared" si="403"/>
        <v/>
      </c>
    </row>
    <row r="928" spans="1:25" ht="12" customHeight="1" x14ac:dyDescent="0.25">
      <c r="A928" s="86" t="s">
        <v>2436</v>
      </c>
      <c r="D928" s="86" t="s">
        <v>2452</v>
      </c>
      <c r="F928" s="91">
        <f t="shared" ref="F928:V928" si="405">F926+F927</f>
        <v>11537187.7496015</v>
      </c>
      <c r="G928" s="91">
        <f t="shared" si="405"/>
        <v>6970017.444156046</v>
      </c>
      <c r="H928" s="91">
        <f t="shared" si="405"/>
        <v>2812609.8548666271</v>
      </c>
      <c r="I928" s="91">
        <f t="shared" si="405"/>
        <v>57411.287109612502</v>
      </c>
      <c r="J928" s="91">
        <f t="shared" si="405"/>
        <v>879397.94994509639</v>
      </c>
      <c r="K928" s="91">
        <f t="shared" si="405"/>
        <v>171975.93155506472</v>
      </c>
      <c r="L928" s="91">
        <f t="shared" si="405"/>
        <v>157290.85174742364</v>
      </c>
      <c r="M928" s="91">
        <f t="shared" si="405"/>
        <v>304650.48689656472</v>
      </c>
      <c r="N928" s="91">
        <f t="shared" si="405"/>
        <v>151043.53567442551</v>
      </c>
      <c r="O928" s="91">
        <f t="shared" si="405"/>
        <v>9323.8513314205538</v>
      </c>
      <c r="P928" s="91">
        <f t="shared" si="405"/>
        <v>0</v>
      </c>
      <c r="Q928" s="91">
        <f t="shared" si="405"/>
        <v>1701.7641088466908</v>
      </c>
      <c r="R928" s="91">
        <f t="shared" si="405"/>
        <v>20972.666934027275</v>
      </c>
      <c r="S928" s="91">
        <f t="shared" si="405"/>
        <v>792.12527634770811</v>
      </c>
      <c r="T928" s="91">
        <f t="shared" si="405"/>
        <v>0</v>
      </c>
      <c r="U928" s="91">
        <f t="shared" si="405"/>
        <v>0</v>
      </c>
      <c r="V928" s="91">
        <f t="shared" si="405"/>
        <v>0</v>
      </c>
      <c r="W928" s="94">
        <f>SUM(G928:V928)</f>
        <v>11537187.7496015</v>
      </c>
      <c r="X928" s="87" t="str">
        <f t="shared" si="402"/>
        <v>ok</v>
      </c>
      <c r="Y928" s="91" t="str">
        <f t="shared" si="403"/>
        <v/>
      </c>
    </row>
    <row r="929" spans="1:25" ht="12" customHeight="1" x14ac:dyDescent="0.25">
      <c r="A929" s="86" t="s">
        <v>2437</v>
      </c>
      <c r="D929" s="86" t="s">
        <v>2453</v>
      </c>
      <c r="E929" s="86" t="s">
        <v>2452</v>
      </c>
      <c r="F929" s="107">
        <v>1</v>
      </c>
      <c r="G929" s="106">
        <f t="shared" ref="G929:V929" si="406">IF(VLOOKUP($E929,$D$5:$AJ$997,3,)=0,0,(VLOOKUP($E929,$D$5:$AJ$997,G$1,)/VLOOKUP($E929,$D$5:$AJ$997,3,))*$F929)</f>
        <v>0.6041348719835814</v>
      </c>
      <c r="H929" s="106">
        <f t="shared" si="406"/>
        <v>0.24378643356686086</v>
      </c>
      <c r="I929" s="106">
        <f t="shared" si="406"/>
        <v>4.9761942299669619E-3</v>
      </c>
      <c r="J929" s="106">
        <f t="shared" si="406"/>
        <v>7.6222903625319888E-2</v>
      </c>
      <c r="K929" s="106">
        <f t="shared" si="406"/>
        <v>1.4906226308140374E-2</v>
      </c>
      <c r="L929" s="106">
        <f t="shared" si="406"/>
        <v>1.3633378875441854E-2</v>
      </c>
      <c r="M929" s="106">
        <f t="shared" si="406"/>
        <v>2.6405957284268648E-2</v>
      </c>
      <c r="N929" s="106">
        <f t="shared" si="406"/>
        <v>1.3091885037551081E-2</v>
      </c>
      <c r="O929" s="106">
        <f t="shared" si="406"/>
        <v>8.0815633183594542E-4</v>
      </c>
      <c r="P929" s="106">
        <f t="shared" si="406"/>
        <v>0</v>
      </c>
      <c r="Q929" s="106">
        <f t="shared" si="406"/>
        <v>1.4750250631099165E-4</v>
      </c>
      <c r="R929" s="106">
        <f t="shared" si="406"/>
        <v>1.8178318138882398E-3</v>
      </c>
      <c r="S929" s="106">
        <f t="shared" si="406"/>
        <v>6.8658436833973554E-5</v>
      </c>
      <c r="T929" s="106">
        <f t="shared" si="406"/>
        <v>0</v>
      </c>
      <c r="U929" s="106">
        <f t="shared" si="406"/>
        <v>0</v>
      </c>
      <c r="V929" s="106">
        <f t="shared" si="406"/>
        <v>0</v>
      </c>
      <c r="W929" s="98">
        <f>SUM(G929:V929)</f>
        <v>1.0000000000000002</v>
      </c>
      <c r="X929" s="87" t="str">
        <f t="shared" si="402"/>
        <v>ok</v>
      </c>
      <c r="Y929" s="91" t="str">
        <f t="shared" si="403"/>
        <v/>
      </c>
    </row>
    <row r="930" spans="1:25" ht="12" customHeight="1" x14ac:dyDescent="0.25">
      <c r="F930" s="107"/>
      <c r="G930" s="106"/>
      <c r="H930" s="106"/>
      <c r="I930" s="106"/>
      <c r="J930" s="106"/>
      <c r="K930" s="106"/>
      <c r="L930" s="106"/>
      <c r="M930" s="106"/>
      <c r="N930" s="106"/>
      <c r="O930" s="106"/>
      <c r="P930" s="106"/>
      <c r="Q930" s="106"/>
      <c r="R930" s="106"/>
      <c r="S930" s="106"/>
      <c r="T930" s="106"/>
      <c r="U930" s="106"/>
      <c r="V930" s="106"/>
      <c r="W930" s="98"/>
      <c r="X930" s="87"/>
      <c r="Y930" s="91"/>
    </row>
    <row r="931" spans="1:25" ht="12" customHeight="1" x14ac:dyDescent="0.25">
      <c r="A931" s="86" t="s">
        <v>2438</v>
      </c>
      <c r="D931" s="86" t="s">
        <v>2454</v>
      </c>
      <c r="F931" s="90">
        <f>Meters!$G$45</f>
        <v>49194750.258011505</v>
      </c>
      <c r="G931" s="90">
        <f>Meters!$G$10</f>
        <v>29720264.149388038</v>
      </c>
      <c r="H931" s="90">
        <f>Meters!$G$12+Meters!$G$14</f>
        <v>11993012.715613034</v>
      </c>
      <c r="I931" s="90">
        <f>Meters!$G$16+Meters!$G$18</f>
        <v>244802.63237858255</v>
      </c>
      <c r="J931" s="90">
        <f>Meters!$G$20</f>
        <v>3749766.7077880916</v>
      </c>
      <c r="K931" s="90">
        <f>Meters!$G$22</f>
        <v>733308.08051836654</v>
      </c>
      <c r="L931" s="90">
        <f>Meters!$G$24</f>
        <v>670690.66895021172</v>
      </c>
      <c r="M931" s="90">
        <f>Meters!$G$26</f>
        <v>1299034.4739233158</v>
      </c>
      <c r="N931" s="90">
        <f>Meters!$G$28</f>
        <v>644052.01482892304</v>
      </c>
      <c r="O931" s="90">
        <f>Meters!$G$30</f>
        <v>39757.048914100007</v>
      </c>
      <c r="P931" s="90">
        <f>Meters!$G$32</f>
        <v>0</v>
      </c>
      <c r="Q931" s="90">
        <f>Meters!$G$34</f>
        <v>7256.3489603999997</v>
      </c>
      <c r="R931" s="90">
        <f>Meters!$G$36</f>
        <v>89427.782095300005</v>
      </c>
      <c r="S931" s="90">
        <f>Meters!$G$38</f>
        <v>3377.634653152787</v>
      </c>
      <c r="T931" s="90">
        <f>Meters!$G$40</f>
        <v>0</v>
      </c>
      <c r="U931" s="90">
        <f>Meters!$G$42</f>
        <v>0</v>
      </c>
      <c r="V931" s="106">
        <v>0</v>
      </c>
      <c r="W931" s="94">
        <f>SUM(G931:V931)</f>
        <v>49194750.258011512</v>
      </c>
      <c r="X931" s="87" t="str">
        <f t="shared" ref="X931:X936" si="407">IF(ABS(F931-W931)&lt;0.01,"ok","err")</f>
        <v>ok</v>
      </c>
      <c r="Y931" s="91" t="str">
        <f t="shared" ref="Y931:Y936" si="408">IF(X931="err",W931-F931,"")</f>
        <v/>
      </c>
    </row>
    <row r="932" spans="1:25" ht="12" customHeight="1" x14ac:dyDescent="0.25">
      <c r="A932" s="86" t="s">
        <v>2439</v>
      </c>
      <c r="F932" s="91">
        <f>F331</f>
        <v>1599033.2051107571</v>
      </c>
      <c r="G932" s="90"/>
      <c r="H932" s="90"/>
      <c r="I932" s="90"/>
      <c r="J932" s="90"/>
      <c r="K932" s="90"/>
      <c r="L932" s="90"/>
      <c r="M932" s="90"/>
      <c r="N932" s="90"/>
      <c r="O932" s="90"/>
      <c r="P932" s="90"/>
      <c r="Q932" s="90"/>
      <c r="R932" s="90"/>
      <c r="S932" s="90"/>
      <c r="T932" s="90"/>
      <c r="U932" s="90"/>
      <c r="V932" s="90">
        <f>V928</f>
        <v>0</v>
      </c>
      <c r="W932" s="94">
        <f>F932</f>
        <v>1599033.2051107571</v>
      </c>
      <c r="X932" s="87" t="str">
        <f t="shared" si="407"/>
        <v>ok</v>
      </c>
      <c r="Y932" s="91" t="str">
        <f t="shared" si="408"/>
        <v/>
      </c>
    </row>
    <row r="933" spans="1:25" ht="12" customHeight="1" x14ac:dyDescent="0.25">
      <c r="A933" s="86" t="s">
        <v>849</v>
      </c>
      <c r="F933" s="91">
        <v>15923.380999999999</v>
      </c>
      <c r="G933" s="91"/>
      <c r="H933" s="91"/>
      <c r="I933" s="91"/>
      <c r="J933" s="91"/>
      <c r="K933" s="91"/>
      <c r="L933" s="91"/>
      <c r="M933" s="91"/>
      <c r="N933" s="91"/>
      <c r="O933" s="91"/>
      <c r="P933" s="91"/>
      <c r="Q933" s="91"/>
      <c r="R933" s="91"/>
      <c r="S933" s="91"/>
      <c r="T933" s="91">
        <v>15923.380999999999</v>
      </c>
      <c r="U933" s="91">
        <v>0</v>
      </c>
      <c r="V933" s="91"/>
      <c r="W933" s="94">
        <f>SUM(G933:V933)</f>
        <v>15923.380999999999</v>
      </c>
      <c r="X933" s="87" t="str">
        <f t="shared" si="407"/>
        <v>ok</v>
      </c>
      <c r="Y933" s="91" t="str">
        <f t="shared" si="408"/>
        <v/>
      </c>
    </row>
    <row r="934" spans="1:25" ht="12" customHeight="1" x14ac:dyDescent="0.25">
      <c r="A934" s="86" t="s">
        <v>2440</v>
      </c>
      <c r="E934" s="86" t="s">
        <v>2454</v>
      </c>
      <c r="F934" s="91">
        <f>F932-F933</f>
        <v>1583109.8241107571</v>
      </c>
      <c r="G934" s="89">
        <f t="shared" ref="G934:V934" si="409">IF(VLOOKUP($E934,$D$5:$AJ$997,3,)=0,0,(VLOOKUP($E934,$D$5:$AJ$997,G$1,)/VLOOKUP($E934,$D$5:$AJ$997,3,))*$F934)</f>
        <v>956411.85092510225</v>
      </c>
      <c r="H934" s="89">
        <f t="shared" si="409"/>
        <v>385940.69796462188</v>
      </c>
      <c r="I934" s="89">
        <f t="shared" si="409"/>
        <v>7877.8619721439618</v>
      </c>
      <c r="J934" s="89">
        <f t="shared" si="409"/>
        <v>120669.22755149136</v>
      </c>
      <c r="K934" s="89">
        <f t="shared" si="409"/>
        <v>23598.193308835249</v>
      </c>
      <c r="L934" s="89">
        <f t="shared" si="409"/>
        <v>21583.136033536066</v>
      </c>
      <c r="M934" s="89">
        <f t="shared" si="409"/>
        <v>41803.530391774701</v>
      </c>
      <c r="N934" s="89">
        <f t="shared" si="409"/>
        <v>20725.891819075743</v>
      </c>
      <c r="O934" s="89">
        <f t="shared" si="409"/>
        <v>1279.4002283467983</v>
      </c>
      <c r="P934" s="89">
        <f t="shared" si="409"/>
        <v>0</v>
      </c>
      <c r="Q934" s="89">
        <f t="shared" si="409"/>
        <v>233.51266682188984</v>
      </c>
      <c r="R934" s="89">
        <f t="shared" si="409"/>
        <v>2877.8274031475498</v>
      </c>
      <c r="S934" s="89">
        <f t="shared" si="409"/>
        <v>108.6938458599514</v>
      </c>
      <c r="T934" s="89">
        <f t="shared" si="409"/>
        <v>0</v>
      </c>
      <c r="U934" s="89">
        <f t="shared" si="409"/>
        <v>0</v>
      </c>
      <c r="V934" s="89">
        <f t="shared" si="409"/>
        <v>0</v>
      </c>
      <c r="W934" s="94">
        <f>SUM(G934:V934)</f>
        <v>1583109.8241107571</v>
      </c>
      <c r="X934" s="87" t="str">
        <f t="shared" si="407"/>
        <v>ok</v>
      </c>
      <c r="Y934" s="91" t="str">
        <f t="shared" si="408"/>
        <v/>
      </c>
    </row>
    <row r="935" spans="1:25" ht="12" customHeight="1" x14ac:dyDescent="0.25">
      <c r="A935" s="86" t="s">
        <v>2441</v>
      </c>
      <c r="D935" s="86" t="s">
        <v>2455</v>
      </c>
      <c r="F935" s="91">
        <f t="shared" ref="F935:V935" si="410">F933+F934</f>
        <v>1599033.2051107571</v>
      </c>
      <c r="G935" s="91">
        <f t="shared" si="410"/>
        <v>956411.85092510225</v>
      </c>
      <c r="H935" s="91">
        <f t="shared" si="410"/>
        <v>385940.69796462188</v>
      </c>
      <c r="I935" s="91">
        <f t="shared" si="410"/>
        <v>7877.8619721439618</v>
      </c>
      <c r="J935" s="91">
        <f t="shared" si="410"/>
        <v>120669.22755149136</v>
      </c>
      <c r="K935" s="91">
        <f t="shared" si="410"/>
        <v>23598.193308835249</v>
      </c>
      <c r="L935" s="91">
        <f t="shared" si="410"/>
        <v>21583.136033536066</v>
      </c>
      <c r="M935" s="91">
        <f t="shared" si="410"/>
        <v>41803.530391774701</v>
      </c>
      <c r="N935" s="91">
        <f t="shared" si="410"/>
        <v>20725.891819075743</v>
      </c>
      <c r="O935" s="91">
        <f t="shared" si="410"/>
        <v>1279.4002283467983</v>
      </c>
      <c r="P935" s="91">
        <f t="shared" si="410"/>
        <v>0</v>
      </c>
      <c r="Q935" s="91">
        <f t="shared" si="410"/>
        <v>233.51266682188984</v>
      </c>
      <c r="R935" s="91">
        <f t="shared" si="410"/>
        <v>2877.8274031475498</v>
      </c>
      <c r="S935" s="91">
        <f t="shared" si="410"/>
        <v>108.6938458599514</v>
      </c>
      <c r="T935" s="91">
        <f t="shared" si="410"/>
        <v>15923.380999999999</v>
      </c>
      <c r="U935" s="91">
        <f t="shared" si="410"/>
        <v>0</v>
      </c>
      <c r="V935" s="91">
        <f t="shared" si="410"/>
        <v>0</v>
      </c>
      <c r="W935" s="94">
        <f>SUM(G935:V935)</f>
        <v>1599033.2051107571</v>
      </c>
      <c r="X935" s="87" t="str">
        <f t="shared" si="407"/>
        <v>ok</v>
      </c>
      <c r="Y935" s="91" t="str">
        <f t="shared" si="408"/>
        <v/>
      </c>
    </row>
    <row r="936" spans="1:25" ht="12" customHeight="1" x14ac:dyDescent="0.25">
      <c r="A936" s="86" t="s">
        <v>2442</v>
      </c>
      <c r="D936" s="86" t="s">
        <v>2456</v>
      </c>
      <c r="E936" s="86" t="s">
        <v>2455</v>
      </c>
      <c r="F936" s="107">
        <v>1</v>
      </c>
      <c r="G936" s="106">
        <f t="shared" ref="G936:V936" si="411">IF(VLOOKUP($E936,$D$5:$AJ$997,3,)=0,0,(VLOOKUP($E936,$D$5:$AJ$997,G$1,)/VLOOKUP($E936,$D$5:$AJ$997,3,))*$F936)</f>
        <v>0.59811881821356949</v>
      </c>
      <c r="H936" s="106">
        <f t="shared" si="411"/>
        <v>0.24135877649763357</v>
      </c>
      <c r="I936" s="106">
        <f t="shared" si="411"/>
        <v>4.9266406394595794E-3</v>
      </c>
      <c r="J936" s="106">
        <f t="shared" si="411"/>
        <v>7.5463866019676057E-2</v>
      </c>
      <c r="K936" s="106">
        <f t="shared" si="411"/>
        <v>1.4757788164380689E-2</v>
      </c>
      <c r="L936" s="106">
        <f t="shared" si="411"/>
        <v>1.3497615912260627E-2</v>
      </c>
      <c r="M936" s="106">
        <f t="shared" si="411"/>
        <v>2.614300332110938E-2</v>
      </c>
      <c r="N936" s="106">
        <f t="shared" si="411"/>
        <v>1.2961514340560653E-2</v>
      </c>
      <c r="O936" s="106">
        <f t="shared" si="411"/>
        <v>8.0010860578606964E-4</v>
      </c>
      <c r="P936" s="106">
        <f t="shared" si="411"/>
        <v>0</v>
      </c>
      <c r="Q936" s="106">
        <f t="shared" si="411"/>
        <v>1.4603365713454061E-4</v>
      </c>
      <c r="R936" s="106">
        <f t="shared" si="411"/>
        <v>1.7997296078340142E-3</v>
      </c>
      <c r="S936" s="106">
        <f t="shared" si="411"/>
        <v>6.7974727174238206E-5</v>
      </c>
      <c r="T936" s="106">
        <f t="shared" si="411"/>
        <v>9.9581302934213089E-3</v>
      </c>
      <c r="U936" s="106">
        <f t="shared" si="411"/>
        <v>0</v>
      </c>
      <c r="V936" s="106">
        <f t="shared" si="411"/>
        <v>0</v>
      </c>
      <c r="W936" s="98">
        <f>SUM(G936:V936)</f>
        <v>1.0000000000000002</v>
      </c>
      <c r="X936" s="87" t="str">
        <f t="shared" si="407"/>
        <v>ok</v>
      </c>
      <c r="Y936" s="91" t="str">
        <f t="shared" si="408"/>
        <v/>
      </c>
    </row>
    <row r="937" spans="1:25" ht="12.6" customHeight="1" x14ac:dyDescent="0.25">
      <c r="F937" s="107"/>
      <c r="G937" s="106"/>
      <c r="H937" s="106"/>
      <c r="I937" s="106"/>
      <c r="J937" s="106"/>
      <c r="K937" s="106"/>
      <c r="L937" s="106"/>
      <c r="M937" s="106"/>
      <c r="N937" s="106"/>
      <c r="O937" s="106"/>
      <c r="P937" s="106"/>
      <c r="Q937" s="106"/>
      <c r="R937" s="106"/>
      <c r="S937" s="106"/>
      <c r="T937" s="106"/>
      <c r="U937" s="106"/>
      <c r="V937" s="106"/>
      <c r="W937" s="98"/>
      <c r="X937" s="87"/>
      <c r="Y937" s="91"/>
    </row>
    <row r="938" spans="1:25" ht="12" customHeight="1" x14ac:dyDescent="0.25">
      <c r="A938" s="86" t="s">
        <v>2457</v>
      </c>
      <c r="D938" s="86" t="s">
        <v>2462</v>
      </c>
      <c r="F938" s="90">
        <f>Meters!$G$45</f>
        <v>49194750.258011505</v>
      </c>
      <c r="G938" s="90">
        <f>Meters!$G$10</f>
        <v>29720264.149388038</v>
      </c>
      <c r="H938" s="90">
        <f>Meters!$G$12+Meters!$G$14</f>
        <v>11993012.715613034</v>
      </c>
      <c r="I938" s="90">
        <f>Meters!$G$16+Meters!$G$18</f>
        <v>244802.63237858255</v>
      </c>
      <c r="J938" s="90">
        <f>Meters!$G$20</f>
        <v>3749766.7077880916</v>
      </c>
      <c r="K938" s="90">
        <f>Meters!$G$22</f>
        <v>733308.08051836654</v>
      </c>
      <c r="L938" s="90">
        <f>Meters!$G$24</f>
        <v>670690.66895021172</v>
      </c>
      <c r="M938" s="90">
        <f>Meters!$G$26</f>
        <v>1299034.4739233158</v>
      </c>
      <c r="N938" s="90">
        <f>Meters!$G$28</f>
        <v>644052.01482892304</v>
      </c>
      <c r="O938" s="90">
        <f>Meters!$G$30</f>
        <v>39757.048914100007</v>
      </c>
      <c r="P938" s="90">
        <f>Meters!$G$32</f>
        <v>0</v>
      </c>
      <c r="Q938" s="90">
        <f>Meters!$G$34</f>
        <v>7256.3489603999997</v>
      </c>
      <c r="R938" s="90">
        <f>Meters!$G$36</f>
        <v>89427.782095300005</v>
      </c>
      <c r="S938" s="90">
        <f>Meters!$G$38</f>
        <v>3377.634653152787</v>
      </c>
      <c r="T938" s="90">
        <f>Meters!$G$40</f>
        <v>0</v>
      </c>
      <c r="U938" s="90">
        <f>Meters!$G$42</f>
        <v>0</v>
      </c>
      <c r="V938" s="106">
        <v>0</v>
      </c>
      <c r="W938" s="94">
        <f>SUM(G938:V938)</f>
        <v>49194750.258011512</v>
      </c>
      <c r="X938" s="87" t="str">
        <f t="shared" ref="X938:X943" si="412">IF(ABS(F938-W938)&lt;0.01,"ok","err")</f>
        <v>ok</v>
      </c>
      <c r="Y938" s="91" t="str">
        <f t="shared" ref="Y938:Y943" si="413">IF(X938="err",W938-F938,"")</f>
        <v/>
      </c>
    </row>
    <row r="939" spans="1:25" ht="12" customHeight="1" x14ac:dyDescent="0.25">
      <c r="A939" s="86" t="s">
        <v>2458</v>
      </c>
      <c r="F939" s="91">
        <f>F445</f>
        <v>286653.15873077803</v>
      </c>
      <c r="G939" s="90"/>
      <c r="H939" s="90"/>
      <c r="I939" s="90"/>
      <c r="J939" s="90"/>
      <c r="K939" s="90"/>
      <c r="L939" s="90"/>
      <c r="M939" s="90"/>
      <c r="N939" s="90"/>
      <c r="O939" s="90"/>
      <c r="P939" s="90"/>
      <c r="Q939" s="90"/>
      <c r="R939" s="90"/>
      <c r="S939" s="90"/>
      <c r="T939" s="90"/>
      <c r="U939" s="90"/>
      <c r="V939" s="90">
        <f>V935</f>
        <v>0</v>
      </c>
      <c r="W939" s="94">
        <f>F939</f>
        <v>286653.15873077803</v>
      </c>
      <c r="X939" s="87" t="str">
        <f t="shared" si="412"/>
        <v>ok</v>
      </c>
      <c r="Y939" s="91" t="str">
        <f t="shared" si="413"/>
        <v/>
      </c>
    </row>
    <row r="940" spans="1:25" ht="12" customHeight="1" x14ac:dyDescent="0.25">
      <c r="A940" s="86" t="s">
        <v>849</v>
      </c>
      <c r="F940" s="91">
        <v>1987.4133771948207</v>
      </c>
      <c r="G940" s="91"/>
      <c r="H940" s="91"/>
      <c r="I940" s="91"/>
      <c r="J940" s="91"/>
      <c r="K940" s="91"/>
      <c r="L940" s="91"/>
      <c r="M940" s="91"/>
      <c r="N940" s="91"/>
      <c r="O940" s="91"/>
      <c r="P940" s="91"/>
      <c r="Q940" s="91"/>
      <c r="R940" s="91"/>
      <c r="S940" s="91"/>
      <c r="T940" s="91">
        <f>F940</f>
        <v>1987.4133771948207</v>
      </c>
      <c r="U940" s="91">
        <v>0</v>
      </c>
      <c r="V940" s="91"/>
      <c r="W940" s="94">
        <f>SUM(G940:V940)</f>
        <v>1987.4133771948207</v>
      </c>
      <c r="X940" s="87" t="str">
        <f t="shared" si="412"/>
        <v>ok</v>
      </c>
      <c r="Y940" s="91" t="str">
        <f t="shared" si="413"/>
        <v/>
      </c>
    </row>
    <row r="941" spans="1:25" ht="12" customHeight="1" x14ac:dyDescent="0.25">
      <c r="A941" s="86" t="s">
        <v>2459</v>
      </c>
      <c r="E941" s="86" t="s">
        <v>2462</v>
      </c>
      <c r="F941" s="91">
        <f>F939-F940</f>
        <v>284665.74535358319</v>
      </c>
      <c r="G941" s="89">
        <f t="shared" ref="G941:V941" si="414">IF(VLOOKUP($E941,$D$5:$AJ$997,3,)=0,0,(VLOOKUP($E941,$D$5:$AJ$997,G$1,)/VLOOKUP($E941,$D$5:$AJ$997,3,))*$F941)</f>
        <v>171976.50362729776</v>
      </c>
      <c r="H941" s="89">
        <f t="shared" si="414"/>
        <v>69397.646818402238</v>
      </c>
      <c r="I941" s="89">
        <f t="shared" si="414"/>
        <v>1416.5520394977452</v>
      </c>
      <c r="J941" s="89">
        <f t="shared" si="414"/>
        <v>21698.049673516023</v>
      </c>
      <c r="K941" s="89">
        <f t="shared" si="414"/>
        <v>4243.2920224159698</v>
      </c>
      <c r="L941" s="89">
        <f t="shared" si="414"/>
        <v>3880.9559592654514</v>
      </c>
      <c r="M941" s="89">
        <f t="shared" si="414"/>
        <v>7516.8715121012137</v>
      </c>
      <c r="N941" s="89">
        <f t="shared" si="414"/>
        <v>3726.8112122979019</v>
      </c>
      <c r="O941" s="89">
        <f t="shared" si="414"/>
        <v>230.05442456429711</v>
      </c>
      <c r="P941" s="89">
        <f t="shared" si="414"/>
        <v>0</v>
      </c>
      <c r="Q941" s="89">
        <f t="shared" si="414"/>
        <v>41.988910900540048</v>
      </c>
      <c r="R941" s="89">
        <f t="shared" si="414"/>
        <v>517.47444822795194</v>
      </c>
      <c r="S941" s="89">
        <f t="shared" si="414"/>
        <v>19.544705096154992</v>
      </c>
      <c r="T941" s="89">
        <f t="shared" si="414"/>
        <v>0</v>
      </c>
      <c r="U941" s="89">
        <f t="shared" si="414"/>
        <v>0</v>
      </c>
      <c r="V941" s="89">
        <f t="shared" si="414"/>
        <v>0</v>
      </c>
      <c r="W941" s="94">
        <f>SUM(G941:V941)</f>
        <v>284665.74535358325</v>
      </c>
      <c r="X941" s="87" t="str">
        <f t="shared" si="412"/>
        <v>ok</v>
      </c>
      <c r="Y941" s="91" t="str">
        <f t="shared" si="413"/>
        <v/>
      </c>
    </row>
    <row r="942" spans="1:25" ht="12" customHeight="1" x14ac:dyDescent="0.25">
      <c r="A942" s="86" t="s">
        <v>2460</v>
      </c>
      <c r="D942" s="86" t="s">
        <v>2463</v>
      </c>
      <c r="F942" s="91">
        <f>F940+F941</f>
        <v>286653.15873077803</v>
      </c>
      <c r="G942" s="91">
        <f>G940+G941</f>
        <v>171976.50362729776</v>
      </c>
      <c r="H942" s="91">
        <f t="shared" ref="H942:V942" si="415">H940+H941</f>
        <v>69397.646818402238</v>
      </c>
      <c r="I942" s="91">
        <f t="shared" si="415"/>
        <v>1416.5520394977452</v>
      </c>
      <c r="J942" s="91">
        <f t="shared" si="415"/>
        <v>21698.049673516023</v>
      </c>
      <c r="K942" s="91">
        <f t="shared" si="415"/>
        <v>4243.2920224159698</v>
      </c>
      <c r="L942" s="91">
        <f t="shared" si="415"/>
        <v>3880.9559592654514</v>
      </c>
      <c r="M942" s="91">
        <f t="shared" si="415"/>
        <v>7516.8715121012137</v>
      </c>
      <c r="N942" s="91">
        <f t="shared" si="415"/>
        <v>3726.8112122979019</v>
      </c>
      <c r="O942" s="91">
        <f t="shared" si="415"/>
        <v>230.05442456429711</v>
      </c>
      <c r="P942" s="91">
        <f t="shared" si="415"/>
        <v>0</v>
      </c>
      <c r="Q942" s="91">
        <f t="shared" si="415"/>
        <v>41.988910900540048</v>
      </c>
      <c r="R942" s="91">
        <f t="shared" si="415"/>
        <v>517.47444822795194</v>
      </c>
      <c r="S942" s="91">
        <f t="shared" si="415"/>
        <v>19.544705096154992</v>
      </c>
      <c r="T942" s="91">
        <f t="shared" si="415"/>
        <v>1987.4133771948207</v>
      </c>
      <c r="U942" s="91">
        <f t="shared" si="415"/>
        <v>0</v>
      </c>
      <c r="V942" s="91">
        <f t="shared" si="415"/>
        <v>0</v>
      </c>
      <c r="W942" s="94">
        <f>SUM(G942:V942)</f>
        <v>286653.15873077809</v>
      </c>
      <c r="X942" s="87" t="str">
        <f t="shared" si="412"/>
        <v>ok</v>
      </c>
      <c r="Y942" s="91" t="str">
        <f t="shared" si="413"/>
        <v/>
      </c>
    </row>
    <row r="943" spans="1:25" ht="12" customHeight="1" x14ac:dyDescent="0.25">
      <c r="A943" s="86" t="s">
        <v>2461</v>
      </c>
      <c r="D943" s="86" t="s">
        <v>2464</v>
      </c>
      <c r="E943" s="86" t="s">
        <v>2463</v>
      </c>
      <c r="F943" s="107">
        <v>1</v>
      </c>
      <c r="G943" s="106">
        <f t="shared" ref="G943:V943" si="416">IF(VLOOKUP($E943,$D$5:$AJ$997,3,)=0,0,(VLOOKUP($E943,$D$5:$AJ$997,G$1,)/VLOOKUP($E943,$D$5:$AJ$997,3,))*$F943)</f>
        <v>0.59994630580302266</v>
      </c>
      <c r="H943" s="106">
        <f t="shared" si="416"/>
        <v>0.24209622222785224</v>
      </c>
      <c r="I943" s="106">
        <f t="shared" si="416"/>
        <v>4.9416934589866417E-3</v>
      </c>
      <c r="J943" s="106">
        <f t="shared" si="416"/>
        <v>7.5694437729516284E-2</v>
      </c>
      <c r="K943" s="106">
        <f t="shared" si="416"/>
        <v>1.4802878995661897E-2</v>
      </c>
      <c r="L943" s="106">
        <f t="shared" si="416"/>
        <v>1.3538856423034951E-2</v>
      </c>
      <c r="M943" s="106">
        <f t="shared" si="416"/>
        <v>2.6222880450310994E-2</v>
      </c>
      <c r="N943" s="106">
        <f t="shared" si="416"/>
        <v>1.3001116850758613E-2</v>
      </c>
      <c r="O943" s="106">
        <f t="shared" si="416"/>
        <v>8.0255325140289862E-4</v>
      </c>
      <c r="P943" s="106">
        <f t="shared" si="416"/>
        <v>0</v>
      </c>
      <c r="Q943" s="106">
        <f t="shared" si="416"/>
        <v>1.4647984723578658E-4</v>
      </c>
      <c r="R943" s="106">
        <f t="shared" si="416"/>
        <v>1.8052284876928885E-3</v>
      </c>
      <c r="S943" s="106">
        <f t="shared" si="416"/>
        <v>6.818241662744487E-5</v>
      </c>
      <c r="T943" s="106">
        <f t="shared" si="416"/>
        <v>6.9331640578968144E-3</v>
      </c>
      <c r="U943" s="106">
        <f t="shared" si="416"/>
        <v>0</v>
      </c>
      <c r="V943" s="106">
        <f t="shared" si="416"/>
        <v>0</v>
      </c>
      <c r="W943" s="98">
        <f>SUM(G943:V943)</f>
        <v>1.0000000000000002</v>
      </c>
      <c r="X943" s="87" t="str">
        <f t="shared" si="412"/>
        <v>ok</v>
      </c>
      <c r="Y943" s="91" t="str">
        <f t="shared" si="413"/>
        <v/>
      </c>
    </row>
    <row r="944" spans="1:25" ht="12" customHeight="1" x14ac:dyDescent="0.25">
      <c r="F944" s="107"/>
      <c r="G944" s="106"/>
      <c r="H944" s="106"/>
      <c r="I944" s="106"/>
      <c r="J944" s="106"/>
      <c r="K944" s="106"/>
      <c r="L944" s="106"/>
      <c r="M944" s="106"/>
      <c r="N944" s="106"/>
      <c r="O944" s="106"/>
      <c r="P944" s="106"/>
      <c r="Q944" s="106"/>
      <c r="R944" s="106"/>
      <c r="S944" s="106"/>
      <c r="T944" s="106"/>
      <c r="U944" s="106"/>
      <c r="V944" s="106"/>
      <c r="W944" s="98"/>
      <c r="X944" s="87"/>
      <c r="Y944" s="91"/>
    </row>
    <row r="945" spans="1:36" ht="12" customHeight="1" x14ac:dyDescent="0.25">
      <c r="A945" s="22" t="s">
        <v>2554</v>
      </c>
      <c r="F945" s="107"/>
      <c r="G945" s="106"/>
      <c r="H945" s="106"/>
      <c r="I945" s="106"/>
      <c r="J945" s="106"/>
      <c r="K945" s="106"/>
      <c r="L945" s="106"/>
      <c r="M945" s="106"/>
      <c r="N945" s="106"/>
      <c r="O945" s="106"/>
      <c r="P945" s="106"/>
      <c r="Q945" s="106"/>
      <c r="R945" s="106"/>
      <c r="S945" s="106"/>
      <c r="T945" s="106"/>
      <c r="U945" s="106"/>
      <c r="V945" s="106"/>
      <c r="W945" s="98"/>
      <c r="X945" s="87"/>
      <c r="Y945" s="91"/>
    </row>
    <row r="946" spans="1:36" ht="12" customHeight="1" x14ac:dyDescent="0.25">
      <c r="A946" s="86" t="s">
        <v>2555</v>
      </c>
      <c r="D946" s="86" t="s">
        <v>2557</v>
      </c>
      <c r="F946" s="90">
        <v>550667</v>
      </c>
      <c r="G946" s="90">
        <f>G836</f>
        <v>442342</v>
      </c>
      <c r="H946" s="90">
        <f t="shared" ref="H946:V946" si="417">H836</f>
        <v>82784</v>
      </c>
      <c r="I946" s="90">
        <f t="shared" si="417"/>
        <v>424</v>
      </c>
      <c r="J946" s="90">
        <f t="shared" si="417"/>
        <v>4441</v>
      </c>
      <c r="K946" s="90">
        <f t="shared" si="417"/>
        <v>204</v>
      </c>
      <c r="L946" s="90">
        <f t="shared" si="417"/>
        <v>766</v>
      </c>
      <c r="M946" s="90">
        <f t="shared" si="417"/>
        <v>256</v>
      </c>
      <c r="N946" s="90">
        <f t="shared" si="417"/>
        <v>20</v>
      </c>
      <c r="O946" s="90">
        <f t="shared" si="417"/>
        <v>1</v>
      </c>
      <c r="P946" s="90">
        <f t="shared" si="417"/>
        <v>19255</v>
      </c>
      <c r="Q946" s="90">
        <f t="shared" si="417"/>
        <v>12</v>
      </c>
      <c r="R946" s="90">
        <f t="shared" si="417"/>
        <v>148</v>
      </c>
      <c r="S946" s="90">
        <f t="shared" si="417"/>
        <v>4</v>
      </c>
      <c r="T946" s="90">
        <f t="shared" si="417"/>
        <v>10</v>
      </c>
      <c r="U946" s="90">
        <f t="shared" si="417"/>
        <v>0</v>
      </c>
      <c r="V946" s="90">
        <f t="shared" si="417"/>
        <v>0</v>
      </c>
      <c r="W946" s="94">
        <f>SUM(G946:V946)</f>
        <v>550667</v>
      </c>
      <c r="X946" s="87" t="str">
        <f t="shared" ref="X946:X951" si="418">IF(ABS(F946-W946)&lt;0.01,"ok","err")</f>
        <v>ok</v>
      </c>
      <c r="Y946" s="91" t="str">
        <f t="shared" ref="Y946:Y951" si="419">IF(X946="err",W946-F946,"")</f>
        <v/>
      </c>
    </row>
    <row r="947" spans="1:36" ht="12" customHeight="1" x14ac:dyDescent="0.25">
      <c r="A947" s="86" t="s">
        <v>2556</v>
      </c>
      <c r="F947" s="91">
        <f>F226</f>
        <v>7173759.7602191055</v>
      </c>
      <c r="G947" s="90"/>
      <c r="H947" s="90"/>
      <c r="I947" s="90"/>
      <c r="J947" s="90"/>
      <c r="K947" s="90"/>
      <c r="L947" s="90"/>
      <c r="M947" s="90"/>
      <c r="N947" s="90"/>
      <c r="O947" s="90"/>
      <c r="P947" s="90"/>
      <c r="Q947" s="90"/>
      <c r="R947" s="90"/>
      <c r="S947" s="90"/>
      <c r="T947" s="90"/>
      <c r="U947" s="90"/>
      <c r="V947" s="90">
        <f>V943</f>
        <v>0</v>
      </c>
      <c r="W947" s="94">
        <f>F947</f>
        <v>7173759.7602191055</v>
      </c>
      <c r="X947" s="87" t="str">
        <f t="shared" si="418"/>
        <v>ok</v>
      </c>
      <c r="Y947" s="91" t="str">
        <f t="shared" si="419"/>
        <v/>
      </c>
    </row>
    <row r="948" spans="1:36" ht="12" customHeight="1" x14ac:dyDescent="0.25">
      <c r="A948" s="86" t="s">
        <v>849</v>
      </c>
      <c r="F948" s="91">
        <v>25500</v>
      </c>
      <c r="G948" s="91"/>
      <c r="H948" s="91"/>
      <c r="I948" s="91"/>
      <c r="J948" s="91"/>
      <c r="K948" s="91"/>
      <c r="L948" s="91"/>
      <c r="M948" s="91"/>
      <c r="N948" s="91"/>
      <c r="O948" s="91"/>
      <c r="P948" s="91"/>
      <c r="Q948" s="91"/>
      <c r="R948" s="91"/>
      <c r="S948" s="91"/>
      <c r="T948" s="91">
        <f>18500</f>
        <v>18500</v>
      </c>
      <c r="U948" s="91">
        <v>0</v>
      </c>
      <c r="V948" s="91">
        <v>7000</v>
      </c>
      <c r="W948" s="94">
        <f>SUM(G948:V948)</f>
        <v>25500</v>
      </c>
      <c r="X948" s="87" t="str">
        <f t="shared" si="418"/>
        <v>ok</v>
      </c>
      <c r="Y948" s="91" t="str">
        <f t="shared" si="419"/>
        <v/>
      </c>
    </row>
    <row r="949" spans="1:36" ht="12" customHeight="1" x14ac:dyDescent="0.25">
      <c r="A949" s="86" t="s">
        <v>2558</v>
      </c>
      <c r="E949" s="86" t="s">
        <v>2557</v>
      </c>
      <c r="F949" s="91">
        <f>F947-F948</f>
        <v>7148259.7602191055</v>
      </c>
      <c r="G949" s="89">
        <f t="shared" ref="G949:V949" si="420">IF(VLOOKUP($E949,$D$5:$AJ$997,3,)=0,0,(VLOOKUP($E949,$D$5:$AJ$997,G$1,)/VLOOKUP($E949,$D$5:$AJ$997,3,))*$F949)</f>
        <v>5742082.8174828701</v>
      </c>
      <c r="H949" s="89">
        <f t="shared" si="420"/>
        <v>1074626.8361641036</v>
      </c>
      <c r="I949" s="89">
        <f t="shared" si="420"/>
        <v>5503.9836023093821</v>
      </c>
      <c r="J949" s="89">
        <f t="shared" si="420"/>
        <v>57649.035796830118</v>
      </c>
      <c r="K949" s="89">
        <f t="shared" si="420"/>
        <v>2648.1430539413063</v>
      </c>
      <c r="L949" s="89">
        <f t="shared" si="420"/>
        <v>9943.5175456815741</v>
      </c>
      <c r="M949" s="89">
        <f t="shared" si="420"/>
        <v>3323.1599108283067</v>
      </c>
      <c r="N949" s="89">
        <f t="shared" si="420"/>
        <v>259.62186803346145</v>
      </c>
      <c r="O949" s="89">
        <f t="shared" si="420"/>
        <v>12.981093401673073</v>
      </c>
      <c r="P949" s="89">
        <f t="shared" si="420"/>
        <v>249950.95344921501</v>
      </c>
      <c r="Q949" s="89">
        <f t="shared" si="420"/>
        <v>155.77312082007685</v>
      </c>
      <c r="R949" s="89">
        <f t="shared" si="420"/>
        <v>1921.2018234476145</v>
      </c>
      <c r="S949" s="89">
        <f t="shared" si="420"/>
        <v>51.924373606692292</v>
      </c>
      <c r="T949" s="89">
        <f t="shared" si="420"/>
        <v>129.81093401673073</v>
      </c>
      <c r="U949" s="89">
        <f t="shared" si="420"/>
        <v>0</v>
      </c>
      <c r="V949" s="89">
        <f t="shared" si="420"/>
        <v>0</v>
      </c>
      <c r="W949" s="94">
        <f>SUM(G949:V949)</f>
        <v>7148259.7602191074</v>
      </c>
      <c r="X949" s="87" t="str">
        <f t="shared" si="418"/>
        <v>ok</v>
      </c>
      <c r="Y949" s="91" t="str">
        <f t="shared" si="419"/>
        <v/>
      </c>
    </row>
    <row r="950" spans="1:36" ht="12" customHeight="1" x14ac:dyDescent="0.25">
      <c r="A950" s="86" t="s">
        <v>2559</v>
      </c>
      <c r="D950" s="86" t="s">
        <v>2561</v>
      </c>
      <c r="F950" s="91">
        <f>F948+F949</f>
        <v>7173759.7602191055</v>
      </c>
      <c r="G950" s="91">
        <f>G948+G949</f>
        <v>5742082.8174828701</v>
      </c>
      <c r="H950" s="91">
        <f t="shared" ref="H950:V950" si="421">H948+H949</f>
        <v>1074626.8361641036</v>
      </c>
      <c r="I950" s="91">
        <f t="shared" si="421"/>
        <v>5503.9836023093821</v>
      </c>
      <c r="J950" s="91">
        <f t="shared" si="421"/>
        <v>57649.035796830118</v>
      </c>
      <c r="K950" s="91">
        <f t="shared" si="421"/>
        <v>2648.1430539413063</v>
      </c>
      <c r="L950" s="91">
        <f t="shared" si="421"/>
        <v>9943.5175456815741</v>
      </c>
      <c r="M950" s="91">
        <f t="shared" si="421"/>
        <v>3323.1599108283067</v>
      </c>
      <c r="N950" s="91">
        <f t="shared" si="421"/>
        <v>259.62186803346145</v>
      </c>
      <c r="O950" s="91">
        <f t="shared" si="421"/>
        <v>12.981093401673073</v>
      </c>
      <c r="P950" s="91">
        <f t="shared" si="421"/>
        <v>249950.95344921501</v>
      </c>
      <c r="Q950" s="91">
        <f t="shared" si="421"/>
        <v>155.77312082007685</v>
      </c>
      <c r="R950" s="91">
        <f t="shared" si="421"/>
        <v>1921.2018234476145</v>
      </c>
      <c r="S950" s="91">
        <f t="shared" si="421"/>
        <v>51.924373606692292</v>
      </c>
      <c r="T950" s="91">
        <f t="shared" si="421"/>
        <v>18629.810934016732</v>
      </c>
      <c r="U950" s="91">
        <f t="shared" si="421"/>
        <v>0</v>
      </c>
      <c r="V950" s="91">
        <f t="shared" si="421"/>
        <v>7000</v>
      </c>
      <c r="W950" s="94">
        <f>SUM(G950:V950)</f>
        <v>7173759.7602191074</v>
      </c>
      <c r="X950" s="87" t="str">
        <f t="shared" si="418"/>
        <v>ok</v>
      </c>
      <c r="Y950" s="91" t="str">
        <f t="shared" si="419"/>
        <v/>
      </c>
    </row>
    <row r="951" spans="1:36" ht="12" customHeight="1" x14ac:dyDescent="0.25">
      <c r="A951" s="86" t="s">
        <v>2560</v>
      </c>
      <c r="D951" s="86" t="s">
        <v>2562</v>
      </c>
      <c r="E951" s="86" t="s">
        <v>2561</v>
      </c>
      <c r="F951" s="107">
        <v>1</v>
      </c>
      <c r="G951" s="106">
        <f t="shared" ref="G951:V951" si="422">IF(VLOOKUP($E951,$D$5:$AJ$997,3,)=0,0,(VLOOKUP($E951,$D$5:$AJ$997,G$1,)/VLOOKUP($E951,$D$5:$AJ$997,3,))*$F951)</f>
        <v>0.80042864681984993</v>
      </c>
      <c r="H951" s="106">
        <f t="shared" si="422"/>
        <v>0.14979966880453238</v>
      </c>
      <c r="I951" s="106">
        <f t="shared" si="422"/>
        <v>7.6723835008119597E-4</v>
      </c>
      <c r="J951" s="106">
        <f t="shared" si="422"/>
        <v>8.0360979073363006E-3</v>
      </c>
      <c r="K951" s="106">
        <f t="shared" si="422"/>
        <v>3.6914297975604706E-4</v>
      </c>
      <c r="L951" s="106">
        <f t="shared" si="422"/>
        <v>1.3860956984957458E-3</v>
      </c>
      <c r="M951" s="106">
        <f t="shared" si="422"/>
        <v>4.6323824910562777E-4</v>
      </c>
      <c r="N951" s="106">
        <f t="shared" si="422"/>
        <v>3.6190488211377173E-5</v>
      </c>
      <c r="O951" s="106">
        <f t="shared" si="422"/>
        <v>1.8095244105688585E-6</v>
      </c>
      <c r="P951" s="106">
        <f t="shared" si="422"/>
        <v>3.484239252550337E-2</v>
      </c>
      <c r="Q951" s="106">
        <f t="shared" si="422"/>
        <v>2.1714292926826298E-5</v>
      </c>
      <c r="R951" s="106">
        <f t="shared" si="422"/>
        <v>2.6780961276419104E-4</v>
      </c>
      <c r="S951" s="106">
        <f t="shared" si="422"/>
        <v>7.2380976422754339E-6</v>
      </c>
      <c r="T951" s="106">
        <f t="shared" si="422"/>
        <v>2.5969382244057375E-3</v>
      </c>
      <c r="U951" s="106">
        <f t="shared" si="422"/>
        <v>0</v>
      </c>
      <c r="V951" s="106">
        <f t="shared" si="422"/>
        <v>9.7577842497839672E-4</v>
      </c>
      <c r="W951" s="98">
        <f>SUM(G951:V951)</f>
        <v>1</v>
      </c>
      <c r="X951" s="87" t="str">
        <f t="shared" si="418"/>
        <v>ok</v>
      </c>
      <c r="Y951" s="91" t="str">
        <f t="shared" si="419"/>
        <v/>
      </c>
    </row>
    <row r="952" spans="1:36" ht="12" customHeight="1" x14ac:dyDescent="0.25">
      <c r="F952" s="107"/>
      <c r="G952" s="106"/>
      <c r="H952" s="106"/>
      <c r="I952" s="106"/>
      <c r="J952" s="106"/>
      <c r="K952" s="106"/>
      <c r="L952" s="106"/>
      <c r="M952" s="106"/>
      <c r="N952" s="106"/>
      <c r="O952" s="106"/>
      <c r="P952" s="106"/>
      <c r="Q952" s="106"/>
      <c r="R952" s="106"/>
      <c r="S952" s="106"/>
      <c r="T952" s="106"/>
      <c r="U952" s="106"/>
      <c r="V952" s="106"/>
      <c r="X952" s="87"/>
    </row>
    <row r="953" spans="1:36" ht="12" customHeight="1" x14ac:dyDescent="0.25">
      <c r="A953" s="288" t="s">
        <v>907</v>
      </c>
      <c r="F953" s="107"/>
      <c r="G953" s="106"/>
      <c r="H953" s="106"/>
      <c r="I953" s="106"/>
      <c r="J953" s="106"/>
      <c r="K953" s="106"/>
      <c r="L953" s="106"/>
      <c r="M953" s="106"/>
      <c r="N953" s="106"/>
      <c r="O953" s="106"/>
      <c r="P953" s="106"/>
      <c r="Q953" s="106"/>
      <c r="R953" s="106"/>
      <c r="S953" s="106"/>
      <c r="T953" s="106"/>
      <c r="U953" s="106"/>
      <c r="V953" s="106"/>
      <c r="X953" s="87"/>
      <c r="AA953" s="94"/>
      <c r="AB953" s="94"/>
      <c r="AC953" s="94"/>
      <c r="AD953" s="94"/>
      <c r="AE953" s="94"/>
      <c r="AF953" s="94"/>
    </row>
    <row r="954" spans="1:36" ht="12" customHeight="1" x14ac:dyDescent="0.25">
      <c r="A954" s="288"/>
      <c r="F954" s="107"/>
      <c r="G954" s="106"/>
      <c r="H954" s="106"/>
      <c r="I954" s="106"/>
      <c r="J954" s="106"/>
      <c r="K954" s="106"/>
      <c r="L954" s="106"/>
      <c r="M954" s="106"/>
      <c r="N954" s="106"/>
      <c r="O954" s="106"/>
      <c r="P954" s="106"/>
      <c r="Q954" s="106"/>
      <c r="R954" s="106"/>
      <c r="S954" s="106"/>
      <c r="T954" s="106"/>
      <c r="U954" s="106"/>
      <c r="V954" s="106"/>
      <c r="X954" s="87"/>
      <c r="AA954" s="94"/>
      <c r="AB954" s="94"/>
      <c r="AC954" s="94"/>
      <c r="AD954" s="94"/>
      <c r="AE954" s="94"/>
      <c r="AF954" s="94"/>
    </row>
    <row r="955" spans="1:36" ht="12" customHeight="1" x14ac:dyDescent="0.25">
      <c r="A955" s="86" t="s">
        <v>1840</v>
      </c>
      <c r="D955" s="86" t="s">
        <v>1839</v>
      </c>
      <c r="F955" s="90">
        <v>3985851.6299999994</v>
      </c>
      <c r="G955" s="90">
        <v>3094550.59</v>
      </c>
      <c r="H955" s="90">
        <v>620985.72</v>
      </c>
      <c r="I955" s="90">
        <f t="shared" ref="I955:O955" si="423">(I830/($I$830+$J$830+$K$830+$L$830+$M$830+$N$830+$O$830))*(170333.81+51375.44+2527.79+42719.01)</f>
        <v>18513.642716969542</v>
      </c>
      <c r="J955" s="90">
        <f t="shared" si="423"/>
        <v>193986.39144912362</v>
      </c>
      <c r="K955" s="90">
        <f t="shared" si="423"/>
        <v>8901.6666645296791</v>
      </c>
      <c r="L955" s="90">
        <f t="shared" si="423"/>
        <v>33474.182635577243</v>
      </c>
      <c r="M955" s="90">
        <f t="shared" si="423"/>
        <v>11162.808242589848</v>
      </c>
      <c r="N955" s="90">
        <f t="shared" si="423"/>
        <v>873.67456305717633</v>
      </c>
      <c r="O955" s="90">
        <f t="shared" si="423"/>
        <v>43.683728152858819</v>
      </c>
      <c r="P955" s="90">
        <v>3359.27</v>
      </c>
      <c r="Q955" s="90">
        <v>0</v>
      </c>
      <c r="R955" s="90">
        <v>0</v>
      </c>
      <c r="S955" s="90">
        <v>0</v>
      </c>
      <c r="T955" s="90">
        <v>0</v>
      </c>
      <c r="U955" s="90"/>
      <c r="V955" s="90">
        <v>0</v>
      </c>
      <c r="W955" s="94">
        <f t="shared" ref="W955:W962" si="424">SUM(G955:V955)</f>
        <v>3985851.6299999994</v>
      </c>
      <c r="X955" s="87" t="str">
        <f t="shared" ref="X955:X962" si="425">IF(ABS(F955-W955)&lt;0.01,"ok","err")</f>
        <v>ok</v>
      </c>
      <c r="Y955" s="91" t="str">
        <f t="shared" ref="Y955:Y962" si="426">IF(X955="err",W955-F955,"")</f>
        <v/>
      </c>
    </row>
    <row r="956" spans="1:36" ht="12" customHeight="1" x14ac:dyDescent="0.25">
      <c r="A956" s="86" t="s">
        <v>1449</v>
      </c>
      <c r="D956" s="86" t="s">
        <v>2108</v>
      </c>
      <c r="F956" s="90">
        <v>1671783.82</v>
      </c>
      <c r="G956" s="90">
        <v>174180.44</v>
      </c>
      <c r="H956" s="90">
        <v>326080.78000000003</v>
      </c>
      <c r="I956" s="90">
        <f t="shared" ref="I956:O956" si="427">(I830/($I$830+$J$830+$K$830+$L$830+$M$830+$N$830+$O$830))*(878159.44+82220.79+346.98+202356.51)</f>
        <v>80660.90445226412</v>
      </c>
      <c r="J956" s="90">
        <f t="shared" si="427"/>
        <v>845166.88719368936</v>
      </c>
      <c r="K956" s="90">
        <f t="shared" si="427"/>
        <v>38783.101481989906</v>
      </c>
      <c r="L956" s="90">
        <f t="shared" si="427"/>
        <v>145841.52284148117</v>
      </c>
      <c r="M956" s="90">
        <f t="shared" si="427"/>
        <v>48634.524433658888</v>
      </c>
      <c r="N956" s="90">
        <f t="shared" si="427"/>
        <v>3806.4567589680596</v>
      </c>
      <c r="O956" s="90">
        <f t="shared" si="427"/>
        <v>190.32283794840299</v>
      </c>
      <c r="P956" s="90">
        <v>8438.8799999999992</v>
      </c>
      <c r="Q956" s="95">
        <v>0</v>
      </c>
      <c r="R956" s="90">
        <v>0</v>
      </c>
      <c r="S956" s="95">
        <v>0</v>
      </c>
      <c r="T956" s="95">
        <v>0</v>
      </c>
      <c r="U956" s="90"/>
      <c r="V956" s="90">
        <v>0</v>
      </c>
      <c r="W956" s="94">
        <f t="shared" si="424"/>
        <v>1671783.82</v>
      </c>
      <c r="X956" s="87" t="str">
        <f t="shared" si="425"/>
        <v>ok</v>
      </c>
      <c r="Y956" s="91" t="str">
        <f t="shared" si="426"/>
        <v/>
      </c>
    </row>
    <row r="957" spans="1:36" ht="12" customHeight="1" x14ac:dyDescent="0.25">
      <c r="A957" s="86" t="s">
        <v>2350</v>
      </c>
      <c r="D957" s="86" t="s">
        <v>2351</v>
      </c>
      <c r="F957" s="90">
        <v>1827840</v>
      </c>
      <c r="G957" s="90">
        <v>1740900</v>
      </c>
      <c r="H957" s="90">
        <v>83412</v>
      </c>
      <c r="I957" s="90">
        <f t="shared" ref="I957:O957" si="428">(I830/($I$830+$J$830+$K$830+$L$830+$M$830+$N$830+$O$830))*(1148+728+1484)</f>
        <v>233.01902889639575</v>
      </c>
      <c r="J957" s="90">
        <f t="shared" si="428"/>
        <v>2441.578961289903</v>
      </c>
      <c r="K957" s="90">
        <f t="shared" si="428"/>
        <v>112.03941619910739</v>
      </c>
      <c r="L957" s="90">
        <f t="shared" si="428"/>
        <v>421.31749273162961</v>
      </c>
      <c r="M957" s="90">
        <f t="shared" si="428"/>
        <v>140.49891618902024</v>
      </c>
      <c r="N957" s="90">
        <f t="shared" si="428"/>
        <v>10.996366375184651</v>
      </c>
      <c r="O957" s="90">
        <f t="shared" si="428"/>
        <v>0.54981831875923259</v>
      </c>
      <c r="P957" s="90">
        <v>168</v>
      </c>
      <c r="Q957" s="95"/>
      <c r="R957" s="90"/>
      <c r="S957" s="95"/>
      <c r="T957" s="95"/>
      <c r="U957" s="90"/>
      <c r="V957" s="90">
        <v>0</v>
      </c>
      <c r="W957" s="94">
        <f t="shared" si="424"/>
        <v>1827840</v>
      </c>
      <c r="X957" s="87" t="str">
        <f t="shared" si="425"/>
        <v>ok</v>
      </c>
      <c r="Y957" s="91" t="str">
        <f t="shared" si="426"/>
        <v/>
      </c>
    </row>
    <row r="958" spans="1:36" ht="12" customHeight="1" x14ac:dyDescent="0.25">
      <c r="A958" s="86" t="s">
        <v>2352</v>
      </c>
      <c r="D958" s="86" t="s">
        <v>1053</v>
      </c>
      <c r="F958" s="90">
        <v>86977.999999999985</v>
      </c>
      <c r="G958" s="90">
        <v>81062</v>
      </c>
      <c r="H958" s="90">
        <v>5025</v>
      </c>
      <c r="I958" s="90">
        <f t="shared" ref="I958:O958" si="429">(I830/($I$830+$J$830+$K$830+$L$830+$M$830+$N$830+$O$830))*(178+686+2)</f>
        <v>60.05788066198771</v>
      </c>
      <c r="J958" s="90">
        <f t="shared" si="429"/>
        <v>629.28791085626665</v>
      </c>
      <c r="K958" s="90">
        <f t="shared" si="429"/>
        <v>28.876825722746133</v>
      </c>
      <c r="L958" s="90">
        <f t="shared" si="429"/>
        <v>108.58956806714025</v>
      </c>
      <c r="M958" s="90">
        <f t="shared" si="429"/>
        <v>36.211923041574856</v>
      </c>
      <c r="N958" s="90">
        <f t="shared" si="429"/>
        <v>2.83418252408033</v>
      </c>
      <c r="O958" s="90">
        <f t="shared" si="429"/>
        <v>0.14170912620401649</v>
      </c>
      <c r="P958" s="90">
        <v>25</v>
      </c>
      <c r="Q958" s="95"/>
      <c r="R958" s="90"/>
      <c r="S958" s="95"/>
      <c r="T958" s="95"/>
      <c r="U958" s="90"/>
      <c r="V958" s="90">
        <v>0</v>
      </c>
      <c r="W958" s="94">
        <f t="shared" si="424"/>
        <v>86977.999999999985</v>
      </c>
      <c r="X958" s="87" t="str">
        <f t="shared" si="425"/>
        <v>ok</v>
      </c>
      <c r="Y958" s="91" t="str">
        <f t="shared" si="426"/>
        <v/>
      </c>
    </row>
    <row r="959" spans="1:36" ht="12" customHeight="1" x14ac:dyDescent="0.25">
      <c r="A959" s="86" t="s">
        <v>2353</v>
      </c>
      <c r="D959" s="86" t="s">
        <v>2354</v>
      </c>
      <c r="F959" s="90">
        <v>5194858580.8198156</v>
      </c>
      <c r="G959" s="90">
        <f t="shared" ref="G959:S959" si="430">G174</f>
        <v>2457262896.4775939</v>
      </c>
      <c r="H959" s="90">
        <f t="shared" si="430"/>
        <v>610215074.31991637</v>
      </c>
      <c r="I959" s="90">
        <f t="shared" si="430"/>
        <v>38745077.376713946</v>
      </c>
      <c r="J959" s="90">
        <f t="shared" si="430"/>
        <v>458917674.33772969</v>
      </c>
      <c r="K959" s="90">
        <f t="shared" si="430"/>
        <v>19889476.254637145</v>
      </c>
      <c r="L959" s="90">
        <f t="shared" si="430"/>
        <v>424876670.28377599</v>
      </c>
      <c r="M959" s="90">
        <f t="shared" si="430"/>
        <v>740522922.29555535</v>
      </c>
      <c r="N959" s="90">
        <f t="shared" si="430"/>
        <v>225552348.81659499</v>
      </c>
      <c r="O959" s="90">
        <f t="shared" si="430"/>
        <v>104343933.18818319</v>
      </c>
      <c r="P959" s="90">
        <f t="shared" si="430"/>
        <v>113343713.20751949</v>
      </c>
      <c r="Q959" s="90">
        <f t="shared" si="430"/>
        <v>398777.2411763831</v>
      </c>
      <c r="R959" s="90">
        <f t="shared" si="430"/>
        <v>615337.83011701179</v>
      </c>
      <c r="S959" s="90">
        <f t="shared" si="430"/>
        <v>174679.19030271503</v>
      </c>
      <c r="T959" s="95"/>
      <c r="U959" s="90"/>
      <c r="V959" s="90">
        <v>0</v>
      </c>
      <c r="W959" s="94">
        <f t="shared" si="424"/>
        <v>5194858580.8198156</v>
      </c>
      <c r="X959" s="87" t="str">
        <f t="shared" si="425"/>
        <v>ok</v>
      </c>
      <c r="Y959" s="91" t="str">
        <f t="shared" si="426"/>
        <v/>
      </c>
    </row>
    <row r="960" spans="1:36" ht="12" hidden="1" customHeight="1" x14ac:dyDescent="0.25">
      <c r="A960" s="86" t="s">
        <v>906</v>
      </c>
      <c r="D960" s="86" t="s">
        <v>2256</v>
      </c>
      <c r="F960" s="90">
        <v>0</v>
      </c>
      <c r="G960" s="90"/>
      <c r="H960" s="90"/>
      <c r="I960" s="90"/>
      <c r="J960" s="90"/>
      <c r="K960" s="90"/>
      <c r="L960" s="90"/>
      <c r="M960" s="90"/>
      <c r="N960" s="90"/>
      <c r="O960" s="90"/>
      <c r="P960" s="90"/>
      <c r="Q960" s="90"/>
      <c r="R960" s="90"/>
      <c r="S960" s="90"/>
      <c r="T960" s="90"/>
      <c r="U960" s="90"/>
      <c r="V960" s="90"/>
      <c r="W960" s="94">
        <f t="shared" si="424"/>
        <v>0</v>
      </c>
      <c r="X960" s="87" t="str">
        <f t="shared" si="425"/>
        <v>ok</v>
      </c>
      <c r="Y960" s="91" t="str">
        <f t="shared" si="426"/>
        <v/>
      </c>
      <c r="Z960" s="94"/>
      <c r="AG960" s="94"/>
      <c r="AH960" s="94"/>
      <c r="AI960" s="94"/>
      <c r="AJ960" s="94"/>
    </row>
    <row r="961" spans="1:36" ht="12" customHeight="1" x14ac:dyDescent="0.25">
      <c r="A961" s="86" t="s">
        <v>555</v>
      </c>
      <c r="D961" s="86" t="s">
        <v>556</v>
      </c>
      <c r="F961" s="90">
        <v>6069280510.3390989</v>
      </c>
      <c r="G961" s="90">
        <f t="shared" ref="G961:S961" si="431">G8</f>
        <v>2490784384.314497</v>
      </c>
      <c r="H961" s="90">
        <f t="shared" si="431"/>
        <v>670878802.21195447</v>
      </c>
      <c r="I961" s="90">
        <f t="shared" si="431"/>
        <v>43048460.152604669</v>
      </c>
      <c r="J961" s="90">
        <f t="shared" si="431"/>
        <v>625621337.22827744</v>
      </c>
      <c r="K961" s="90">
        <f t="shared" si="431"/>
        <v>27180232.625376377</v>
      </c>
      <c r="L961" s="90">
        <f t="shared" si="431"/>
        <v>601676612.88704765</v>
      </c>
      <c r="M961" s="90">
        <f t="shared" si="431"/>
        <v>1101435629.5035782</v>
      </c>
      <c r="N961" s="90">
        <f t="shared" si="431"/>
        <v>358533878.39172244</v>
      </c>
      <c r="O961" s="90">
        <f t="shared" si="431"/>
        <v>148468385.73792419</v>
      </c>
      <c r="P961" s="90">
        <f t="shared" si="431"/>
        <v>967725.52685501066</v>
      </c>
      <c r="Q961" s="90">
        <f t="shared" si="431"/>
        <v>35208.833448394929</v>
      </c>
      <c r="R961" s="90">
        <f t="shared" si="431"/>
        <v>575744.72412948112</v>
      </c>
      <c r="S961" s="90">
        <f t="shared" si="431"/>
        <v>74108.201683253079</v>
      </c>
      <c r="T961" s="90">
        <v>0</v>
      </c>
      <c r="U961" s="90">
        <v>0</v>
      </c>
      <c r="V961" s="90">
        <v>0</v>
      </c>
      <c r="W961" s="94">
        <f t="shared" si="424"/>
        <v>6069280510.3390989</v>
      </c>
      <c r="X961" s="87" t="str">
        <f t="shared" si="425"/>
        <v>ok</v>
      </c>
      <c r="Y961" s="91" t="str">
        <f t="shared" si="426"/>
        <v/>
      </c>
      <c r="Z961" s="94"/>
      <c r="AG961" s="94"/>
      <c r="AH961" s="94"/>
      <c r="AI961" s="94"/>
      <c r="AJ961" s="94"/>
    </row>
    <row r="962" spans="1:36" ht="12" customHeight="1" x14ac:dyDescent="0.25">
      <c r="A962" s="86" t="s">
        <v>558</v>
      </c>
      <c r="F962" s="90">
        <v>1558570103.3496759</v>
      </c>
      <c r="G962" s="90">
        <f>'Billing Det'!D8</f>
        <v>611492797.00999999</v>
      </c>
      <c r="H962" s="90">
        <f>'Billing Det'!D10</f>
        <v>224799513.08000001</v>
      </c>
      <c r="I962" s="90">
        <f>'Billing Det'!D12</f>
        <v>11901436</v>
      </c>
      <c r="J962" s="90">
        <f>'Billing Det'!D14</f>
        <v>169760856.79999998</v>
      </c>
      <c r="K962" s="90">
        <f>'Billing Det'!D16</f>
        <v>9429914.5700000003</v>
      </c>
      <c r="L962" s="90">
        <f>'Billing Det'!D18</f>
        <v>134172118.09000002</v>
      </c>
      <c r="M962" s="90">
        <f>'Billing Det'!D20</f>
        <v>250417885.84999999</v>
      </c>
      <c r="N962" s="90">
        <f>'Billing Det'!D22</f>
        <v>82247980.760000005</v>
      </c>
      <c r="O962" s="90">
        <f>'Billing Det'!D24</f>
        <v>32956814.48</v>
      </c>
      <c r="P962" s="90">
        <f>'Billing Det'!D26</f>
        <v>30555893.249675881</v>
      </c>
      <c r="Q962" s="90">
        <f>'Billing Det'!D28</f>
        <v>307245.55999999994</v>
      </c>
      <c r="R962" s="90">
        <f>'Billing Det'!D30</f>
        <v>271290.95</v>
      </c>
      <c r="S962" s="90">
        <f>'Billing Det'!D32</f>
        <v>92319.950000000012</v>
      </c>
      <c r="T962" s="90">
        <f>'Billing Det'!D34</f>
        <v>1533</v>
      </c>
      <c r="U962" s="90">
        <f>'Billing Det'!D36</f>
        <v>162504.0000000002</v>
      </c>
      <c r="V962" s="90">
        <v>0</v>
      </c>
      <c r="W962" s="94">
        <f t="shared" si="424"/>
        <v>1558570103.3496759</v>
      </c>
      <c r="X962" s="87" t="str">
        <f t="shared" si="425"/>
        <v>ok</v>
      </c>
      <c r="Y962" s="91" t="str">
        <f t="shared" si="426"/>
        <v/>
      </c>
    </row>
    <row r="964" spans="1:36" ht="12" customHeight="1" x14ac:dyDescent="0.25">
      <c r="F964" s="90"/>
      <c r="G964" s="90"/>
      <c r="H964" s="90"/>
      <c r="I964" s="90"/>
      <c r="J964" s="90"/>
      <c r="K964" s="90"/>
      <c r="L964" s="90"/>
      <c r="M964" s="90"/>
      <c r="N964" s="90"/>
      <c r="O964" s="90"/>
      <c r="P964" s="90"/>
      <c r="Q964" s="90"/>
      <c r="R964" s="90"/>
      <c r="S964" s="90"/>
      <c r="T964" s="90"/>
      <c r="U964" s="106"/>
      <c r="V964" s="90"/>
      <c r="X964" s="223"/>
    </row>
    <row r="965" spans="1:36" ht="12" customHeight="1" x14ac:dyDescent="0.25">
      <c r="A965" s="86" t="s">
        <v>559</v>
      </c>
      <c r="D965" s="86" t="s">
        <v>509</v>
      </c>
      <c r="F965" s="90">
        <v>336831286.09024835</v>
      </c>
      <c r="G965" s="90">
        <f t="shared" ref="G965:U965" si="432">G231-G183</f>
        <v>177368926.03211817</v>
      </c>
      <c r="H965" s="90">
        <f t="shared" si="432"/>
        <v>48629289.276988655</v>
      </c>
      <c r="I965" s="90">
        <f t="shared" si="432"/>
        <v>2429334.4676299188</v>
      </c>
      <c r="J965" s="90">
        <f t="shared" si="432"/>
        <v>25390922.256482251</v>
      </c>
      <c r="K965" s="90">
        <f t="shared" si="432"/>
        <v>1221078.7980924612</v>
      </c>
      <c r="L965" s="90">
        <f t="shared" si="432"/>
        <v>22575246.819348849</v>
      </c>
      <c r="M965" s="90">
        <f t="shared" si="432"/>
        <v>36974576.930462211</v>
      </c>
      <c r="N965" s="90">
        <f t="shared" si="432"/>
        <v>10977306.046556242</v>
      </c>
      <c r="O965" s="90">
        <f t="shared" si="432"/>
        <v>5227214.337697763</v>
      </c>
      <c r="P965" s="90">
        <f t="shared" si="432"/>
        <v>5822389.4534339346</v>
      </c>
      <c r="Q965" s="90">
        <f t="shared" si="432"/>
        <v>26421.310520596424</v>
      </c>
      <c r="R965" s="90">
        <f t="shared" si="432"/>
        <v>63497.689712461797</v>
      </c>
      <c r="S965" s="90">
        <f t="shared" si="432"/>
        <v>12457.928115453875</v>
      </c>
      <c r="T965" s="90">
        <f t="shared" si="432"/>
        <v>21110.74308940769</v>
      </c>
      <c r="U965" s="90">
        <f t="shared" si="432"/>
        <v>91514</v>
      </c>
      <c r="V965" s="90">
        <v>0</v>
      </c>
      <c r="W965" s="94">
        <f>SUM(G965:V965)</f>
        <v>336831286.09024835</v>
      </c>
      <c r="X965" s="87" t="str">
        <f>IF(ABS(F965-W965)&lt;0.01,"ok","err")</f>
        <v>ok</v>
      </c>
      <c r="Y965" s="91" t="str">
        <f>IF(X965="err",W965-F965,"")</f>
        <v/>
      </c>
    </row>
    <row r="966" spans="1:36" ht="12" customHeight="1" x14ac:dyDescent="0.25">
      <c r="F966" s="95"/>
      <c r="G966" s="95"/>
      <c r="H966" s="95"/>
      <c r="I966" s="95"/>
      <c r="J966" s="95"/>
      <c r="K966" s="95"/>
      <c r="L966" s="95"/>
      <c r="M966" s="95"/>
      <c r="N966" s="95"/>
      <c r="O966" s="95"/>
      <c r="P966" s="95"/>
      <c r="Q966" s="95"/>
      <c r="R966" s="95"/>
      <c r="S966" s="95"/>
      <c r="T966" s="95"/>
      <c r="U966" s="95"/>
      <c r="V966" s="90"/>
      <c r="W966" s="87"/>
    </row>
    <row r="967" spans="1:36" ht="12" customHeight="1" x14ac:dyDescent="0.25">
      <c r="A967" s="288" t="s">
        <v>2355</v>
      </c>
      <c r="F967" s="107"/>
      <c r="G967" s="106"/>
      <c r="H967" s="106"/>
      <c r="I967" s="106"/>
      <c r="J967" s="106"/>
      <c r="K967" s="106"/>
      <c r="L967" s="106"/>
      <c r="M967" s="106"/>
      <c r="N967" s="106"/>
      <c r="O967" s="106"/>
      <c r="P967" s="106"/>
      <c r="Q967" s="106"/>
      <c r="R967" s="106"/>
      <c r="S967" s="106"/>
      <c r="T967" s="106"/>
      <c r="U967" s="106"/>
      <c r="V967" s="106"/>
      <c r="W967" s="87"/>
    </row>
    <row r="968" spans="1:36" ht="12" customHeight="1" x14ac:dyDescent="0.25">
      <c r="A968" s="86" t="s">
        <v>2356</v>
      </c>
      <c r="F968" s="90">
        <v>3184853.47</v>
      </c>
      <c r="G968" s="106"/>
      <c r="H968" s="106"/>
      <c r="I968" s="106"/>
      <c r="J968" s="106"/>
      <c r="K968" s="106"/>
      <c r="L968" s="106"/>
      <c r="M968" s="90">
        <f>65694.51+135834.54</f>
        <v>201529.05</v>
      </c>
      <c r="N968" s="90">
        <f>573918.68</f>
        <v>573918.68000000005</v>
      </c>
      <c r="O968" s="90">
        <f>2409405.74</f>
        <v>2409405.7400000002</v>
      </c>
      <c r="P968" s="106"/>
      <c r="Q968" s="106"/>
      <c r="R968" s="106"/>
      <c r="S968" s="106"/>
      <c r="T968" s="106"/>
      <c r="U968" s="106"/>
      <c r="V968" s="90">
        <v>0</v>
      </c>
      <c r="W968" s="94">
        <f>SUM(G968:V968)</f>
        <v>3184853.47</v>
      </c>
      <c r="X968" s="87" t="str">
        <f>IF(ABS(F968-W968)&lt;0.01,"ok","err")</f>
        <v>ok</v>
      </c>
    </row>
    <row r="969" spans="1:36" ht="12" customHeight="1" x14ac:dyDescent="0.25">
      <c r="A969" s="86" t="s">
        <v>2357</v>
      </c>
      <c r="F969" s="89"/>
      <c r="G969" s="89"/>
      <c r="H969" s="89"/>
      <c r="I969" s="89"/>
      <c r="J969" s="89"/>
      <c r="K969" s="89"/>
      <c r="L969" s="89"/>
      <c r="M969" s="411">
        <f>M970/M968</f>
        <v>-5.1231128713205365</v>
      </c>
      <c r="N969" s="411">
        <f>N970/N968</f>
        <v>-5.8999999616670422</v>
      </c>
      <c r="O969" s="411">
        <v>-5.9</v>
      </c>
      <c r="P969" s="89"/>
      <c r="Q969" s="89"/>
      <c r="R969" s="89"/>
      <c r="S969" s="89"/>
      <c r="T969" s="89"/>
      <c r="U969" s="89"/>
      <c r="V969" s="91"/>
      <c r="W969" s="87"/>
      <c r="X969" s="91"/>
    </row>
    <row r="970" spans="1:36" ht="11.65" customHeight="1" x14ac:dyDescent="0.25">
      <c r="A970" s="86" t="s">
        <v>2358</v>
      </c>
      <c r="F970" s="89">
        <v>-18634070.126000002</v>
      </c>
      <c r="G970" s="106"/>
      <c r="H970" s="106"/>
      <c r="I970" s="106"/>
      <c r="J970" s="106"/>
      <c r="K970" s="106"/>
      <c r="L970" s="106"/>
      <c r="M970" s="89">
        <f>-217448.83-815007.24</f>
        <v>-1032456.07</v>
      </c>
      <c r="N970" s="89">
        <f>-3386120.19</f>
        <v>-3386120.19</v>
      </c>
      <c r="O970" s="89">
        <f>O968*O969</f>
        <v>-14215493.866000002</v>
      </c>
      <c r="P970" s="106"/>
      <c r="Q970" s="106"/>
      <c r="R970" s="106"/>
      <c r="S970" s="106"/>
      <c r="T970" s="106"/>
      <c r="U970" s="106"/>
      <c r="V970" s="90">
        <v>0</v>
      </c>
      <c r="W970" s="94">
        <f>SUM(G970:V970)</f>
        <v>-18634070.126000002</v>
      </c>
      <c r="X970" s="87" t="str">
        <f>IF(ABS(F970-W970)&lt;0.01,"ok","err")</f>
        <v>ok</v>
      </c>
    </row>
    <row r="971" spans="1:36" ht="12" customHeight="1" x14ac:dyDescent="0.25">
      <c r="G971" s="106"/>
      <c r="H971" s="106"/>
      <c r="I971" s="106"/>
      <c r="J971" s="106"/>
      <c r="K971" s="106"/>
      <c r="L971" s="106"/>
      <c r="M971" s="106"/>
      <c r="N971" s="106"/>
      <c r="O971" s="106"/>
      <c r="P971" s="106"/>
      <c r="Q971" s="106"/>
      <c r="R971" s="106"/>
      <c r="S971" s="106"/>
      <c r="T971" s="106"/>
      <c r="U971" s="106"/>
      <c r="V971" s="106"/>
      <c r="W971" s="87"/>
    </row>
    <row r="972" spans="1:36" ht="12" customHeight="1" x14ac:dyDescent="0.25">
      <c r="F972" s="89"/>
      <c r="G972" s="89"/>
      <c r="H972" s="89"/>
      <c r="I972" s="89"/>
      <c r="J972" s="89"/>
      <c r="K972" s="89"/>
      <c r="L972" s="89"/>
      <c r="M972" s="89"/>
      <c r="N972" s="89"/>
      <c r="O972" s="89"/>
      <c r="P972" s="89"/>
      <c r="Q972" s="89"/>
      <c r="R972" s="89"/>
      <c r="S972" s="89"/>
      <c r="T972" s="89"/>
      <c r="U972" s="89"/>
      <c r="V972" s="91"/>
      <c r="W972" s="87"/>
      <c r="X972" s="91"/>
    </row>
    <row r="973" spans="1:36" ht="12" customHeight="1" x14ac:dyDescent="0.25">
      <c r="F973" s="89"/>
      <c r="G973" s="89"/>
      <c r="H973" s="89"/>
      <c r="I973" s="89"/>
      <c r="J973" s="89"/>
      <c r="K973" s="89"/>
      <c r="L973" s="89"/>
      <c r="M973" s="89"/>
      <c r="N973" s="89"/>
      <c r="O973" s="89"/>
      <c r="P973" s="89"/>
      <c r="Q973" s="89"/>
      <c r="R973" s="89"/>
      <c r="S973" s="89"/>
      <c r="T973" s="89"/>
      <c r="U973" s="89"/>
      <c r="V973" s="91"/>
      <c r="W973" s="87"/>
      <c r="X973" s="91"/>
    </row>
    <row r="974" spans="1:36" ht="12" customHeight="1" x14ac:dyDescent="0.25">
      <c r="E974" s="502"/>
      <c r="F974" s="503"/>
      <c r="G974" s="503"/>
      <c r="H974" s="503"/>
      <c r="I974" s="503"/>
      <c r="J974" s="503"/>
      <c r="K974" s="503"/>
      <c r="L974" s="503"/>
      <c r="M974" s="503"/>
      <c r="N974" s="503"/>
      <c r="O974" s="503"/>
      <c r="P974" s="503"/>
      <c r="Q974" s="503"/>
      <c r="R974" s="503"/>
      <c r="S974" s="503"/>
      <c r="T974" s="503"/>
      <c r="U974" s="503"/>
      <c r="V974" s="503"/>
      <c r="W974" s="87"/>
    </row>
    <row r="975" spans="1:36" ht="12" customHeight="1" x14ac:dyDescent="0.25">
      <c r="E975" s="504"/>
      <c r="F975" s="503"/>
      <c r="G975" s="503"/>
      <c r="H975" s="503"/>
      <c r="I975" s="503"/>
      <c r="J975" s="503"/>
      <c r="K975" s="503"/>
      <c r="L975" s="503"/>
      <c r="M975" s="503"/>
      <c r="N975" s="503"/>
      <c r="O975" s="503"/>
      <c r="P975" s="503"/>
      <c r="Q975" s="503"/>
      <c r="R975" s="503"/>
      <c r="S975" s="503"/>
      <c r="T975" s="503"/>
      <c r="U975" s="106"/>
      <c r="V975" s="106"/>
      <c r="W975" s="87"/>
    </row>
    <row r="976" spans="1:36" ht="12" customHeight="1" x14ac:dyDescent="0.25">
      <c r="E976" s="504"/>
      <c r="F976" s="505"/>
      <c r="G976" s="505"/>
      <c r="H976" s="505"/>
      <c r="I976" s="505"/>
      <c r="J976" s="505"/>
      <c r="K976" s="505"/>
      <c r="L976" s="505"/>
      <c r="M976" s="505"/>
      <c r="N976" s="505"/>
      <c r="O976" s="505"/>
      <c r="P976" s="505"/>
      <c r="Q976" s="505"/>
      <c r="R976" s="505"/>
      <c r="S976" s="505"/>
      <c r="T976" s="505"/>
      <c r="U976" s="89"/>
      <c r="V976" s="91"/>
      <c r="W976" s="87"/>
      <c r="X976" s="91"/>
    </row>
    <row r="977" spans="5:24" ht="12" customHeight="1" x14ac:dyDescent="0.25">
      <c r="E977" s="504"/>
      <c r="F977" s="506"/>
      <c r="G977" s="506"/>
      <c r="H977" s="506"/>
      <c r="I977" s="506"/>
      <c r="J977" s="506"/>
      <c r="K977" s="506"/>
      <c r="L977" s="506"/>
      <c r="M977" s="506"/>
      <c r="N977" s="506"/>
      <c r="O977" s="506"/>
      <c r="P977" s="506"/>
      <c r="Q977" s="506"/>
      <c r="R977" s="506"/>
      <c r="S977" s="506"/>
      <c r="T977" s="506"/>
      <c r="U977" s="506"/>
      <c r="V977" s="506"/>
      <c r="W977" s="87"/>
    </row>
    <row r="978" spans="5:24" ht="12" customHeight="1" x14ac:dyDescent="0.25">
      <c r="E978" s="504"/>
      <c r="F978" s="506"/>
      <c r="G978" s="506"/>
      <c r="H978" s="506"/>
      <c r="I978" s="506"/>
      <c r="J978" s="506"/>
      <c r="K978" s="506"/>
      <c r="L978" s="506"/>
      <c r="M978" s="506"/>
      <c r="N978" s="506"/>
      <c r="O978" s="506"/>
      <c r="P978" s="506"/>
      <c r="Q978" s="506"/>
      <c r="R978" s="506"/>
      <c r="S978" s="506"/>
      <c r="T978" s="506"/>
      <c r="U978" s="506"/>
      <c r="V978" s="506"/>
      <c r="W978" s="87"/>
      <c r="X978" s="224"/>
    </row>
    <row r="979" spans="5:24" ht="12" customHeight="1" x14ac:dyDescent="0.25">
      <c r="E979" s="504"/>
      <c r="F979" s="507"/>
      <c r="G979" s="507"/>
      <c r="H979" s="507"/>
      <c r="I979" s="507"/>
      <c r="J979" s="507"/>
      <c r="K979" s="507"/>
      <c r="L979" s="507"/>
      <c r="M979" s="507"/>
      <c r="N979" s="507"/>
      <c r="O979" s="507"/>
      <c r="P979" s="507"/>
      <c r="Q979" s="507"/>
      <c r="R979" s="507"/>
      <c r="S979" s="507"/>
      <c r="T979" s="507"/>
    </row>
    <row r="980" spans="5:24" ht="12" customHeight="1" x14ac:dyDescent="0.25">
      <c r="E980" s="504"/>
      <c r="F980" s="406"/>
      <c r="G980" s="406"/>
      <c r="H980" s="406"/>
      <c r="I980" s="406"/>
      <c r="J980" s="406"/>
      <c r="K980" s="406"/>
      <c r="L980" s="406"/>
      <c r="M980" s="406"/>
      <c r="N980" s="406"/>
      <c r="O980" s="406"/>
      <c r="P980" s="406"/>
      <c r="Q980" s="406"/>
      <c r="R980" s="406"/>
      <c r="S980" s="406"/>
      <c r="T980" s="406"/>
      <c r="U980" s="406"/>
      <c r="V980" s="406"/>
    </row>
  </sheetData>
  <autoFilter ref="D2:E665" xr:uid="{00000000-0009-0000-0000-000002000000}"/>
  <phoneticPr fontId="0" type="noConversion"/>
  <conditionalFormatting sqref="Y8 Y20 Y34 Y39 Y59 Y72 Y78 Y92 Y97 Y117 Y129 Y135 Y149 Y154 Y174 Y186 Y192 Y206 Y211 Y231 Y243 Y249 Y263 Y268 Y288 Y300 Y306 Y320 Y325 Y345 Y357 Y363 Y377 Y382 Y402 Y414 Y420 Y434 Y439 Y459 Y471 Y477 Y491 Y496 Y516 Y529 Y535 Y549 Y554 Y574 Y591 Y597 Y611 Y616 Y636 Y741:Y744 Y955:Y956 Y960:Y962 Y842:Y850 Y652:Y660 Y662:Y667">
    <cfRule type="cellIs" dxfId="268" priority="294" stopIfTrue="1" operator="notEqual">
      <formula>""</formula>
    </cfRule>
  </conditionalFormatting>
  <conditionalFormatting sqref="X969 X972:X973 X976 Y862 Y772 Y718 Y720:Y723 Y681:Y682 Y651 X978 Y853:Y858 Y745:Y746">
    <cfRule type="cellIs" dxfId="267" priority="293" stopIfTrue="1" operator="notEqual">
      <formula>""</formula>
    </cfRule>
  </conditionalFormatting>
  <conditionalFormatting sqref="Y803">
    <cfRule type="cellIs" dxfId="266" priority="65" stopIfTrue="1" operator="notEqual">
      <formula>""</formula>
    </cfRule>
  </conditionalFormatting>
  <conditionalFormatting sqref="Y14">
    <cfRule type="cellIs" dxfId="265" priority="291" stopIfTrue="1" operator="notEqual">
      <formula>""</formula>
    </cfRule>
  </conditionalFormatting>
  <conditionalFormatting sqref="Y830:Y839">
    <cfRule type="cellIs" dxfId="264" priority="289" stopIfTrue="1" operator="notEqual">
      <formula>""</formula>
    </cfRule>
  </conditionalFormatting>
  <conditionalFormatting sqref="Y805">
    <cfRule type="cellIs" dxfId="263" priority="64" stopIfTrue="1" operator="notEqual">
      <formula>""</formula>
    </cfRule>
  </conditionalFormatting>
  <conditionalFormatting sqref="Y815">
    <cfRule type="cellIs" dxfId="262" priority="287" stopIfTrue="1" operator="notEqual">
      <formula>""</formula>
    </cfRule>
  </conditionalFormatting>
  <conditionalFormatting sqref="Y818">
    <cfRule type="cellIs" dxfId="261" priority="286" stopIfTrue="1" operator="notEqual">
      <formula>""</formula>
    </cfRule>
  </conditionalFormatting>
  <conditionalFormatting sqref="Y869">
    <cfRule type="cellIs" dxfId="260" priority="56" stopIfTrue="1" operator="notEqual">
      <formula>""</formula>
    </cfRule>
  </conditionalFormatting>
  <conditionalFormatting sqref="Y819:Y820">
    <cfRule type="cellIs" dxfId="259" priority="284" stopIfTrue="1" operator="notEqual">
      <formula>""</formula>
    </cfRule>
  </conditionalFormatting>
  <conditionalFormatting sqref="Y821">
    <cfRule type="cellIs" dxfId="258" priority="283" stopIfTrue="1" operator="notEqual">
      <formula>""</formula>
    </cfRule>
  </conditionalFormatting>
  <conditionalFormatting sqref="Y822">
    <cfRule type="cellIs" dxfId="257" priority="281" stopIfTrue="1" operator="notEqual">
      <formula>""</formula>
    </cfRule>
  </conditionalFormatting>
  <conditionalFormatting sqref="Y823">
    <cfRule type="cellIs" dxfId="256" priority="280" stopIfTrue="1" operator="notEqual">
      <formula>""</formula>
    </cfRule>
  </conditionalFormatting>
  <conditionalFormatting sqref="Y825">
    <cfRule type="cellIs" dxfId="255" priority="279" stopIfTrue="1" operator="notEqual">
      <formula>""</formula>
    </cfRule>
  </conditionalFormatting>
  <conditionalFormatting sqref="Y826">
    <cfRule type="cellIs" dxfId="254" priority="278" stopIfTrue="1" operator="notEqual">
      <formula>""</formula>
    </cfRule>
  </conditionalFormatting>
  <conditionalFormatting sqref="Y827">
    <cfRule type="cellIs" dxfId="253" priority="277" stopIfTrue="1" operator="notEqual">
      <formula>""</formula>
    </cfRule>
  </conditionalFormatting>
  <conditionalFormatting sqref="Y861">
    <cfRule type="cellIs" dxfId="252" priority="276" stopIfTrue="1" operator="notEqual">
      <formula>""</formula>
    </cfRule>
  </conditionalFormatting>
  <conditionalFormatting sqref="Y862:Y865">
    <cfRule type="cellIs" dxfId="251" priority="275" stopIfTrue="1" operator="notEqual">
      <formula>""</formula>
    </cfRule>
  </conditionalFormatting>
  <conditionalFormatting sqref="Y9:Y13">
    <cfRule type="cellIs" dxfId="250" priority="274" stopIfTrue="1" operator="notEqual">
      <formula>""</formula>
    </cfRule>
  </conditionalFormatting>
  <conditionalFormatting sqref="Y17:Y19">
    <cfRule type="cellIs" dxfId="249" priority="273" stopIfTrue="1" operator="notEqual">
      <formula>""</formula>
    </cfRule>
  </conditionalFormatting>
  <conditionalFormatting sqref="Y23">
    <cfRule type="cellIs" dxfId="248" priority="272" stopIfTrue="1" operator="notEqual">
      <formula>""</formula>
    </cfRule>
  </conditionalFormatting>
  <conditionalFormatting sqref="Y26">
    <cfRule type="cellIs" dxfId="247" priority="271" stopIfTrue="1" operator="notEqual">
      <formula>""</formula>
    </cfRule>
  </conditionalFormatting>
  <conditionalFormatting sqref="Y29:Y33">
    <cfRule type="cellIs" dxfId="246" priority="270" stopIfTrue="1" operator="notEqual">
      <formula>""</formula>
    </cfRule>
  </conditionalFormatting>
  <conditionalFormatting sqref="Y37:Y38">
    <cfRule type="cellIs" dxfId="245" priority="269" stopIfTrue="1" operator="notEqual">
      <formula>""</formula>
    </cfRule>
  </conditionalFormatting>
  <conditionalFormatting sqref="Y42">
    <cfRule type="cellIs" dxfId="244" priority="268" stopIfTrue="1" operator="notEqual">
      <formula>""</formula>
    </cfRule>
  </conditionalFormatting>
  <conditionalFormatting sqref="Y45">
    <cfRule type="cellIs" dxfId="243" priority="267" stopIfTrue="1" operator="notEqual">
      <formula>""</formula>
    </cfRule>
  </conditionalFormatting>
  <conditionalFormatting sqref="Y48">
    <cfRule type="cellIs" dxfId="242" priority="266" stopIfTrue="1" operator="notEqual">
      <formula>""</formula>
    </cfRule>
  </conditionalFormatting>
  <conditionalFormatting sqref="Y51">
    <cfRule type="cellIs" dxfId="241" priority="265" stopIfTrue="1" operator="notEqual">
      <formula>""</formula>
    </cfRule>
  </conditionalFormatting>
  <conditionalFormatting sqref="Y54">
    <cfRule type="cellIs" dxfId="240" priority="264" stopIfTrue="1" operator="notEqual">
      <formula>""</formula>
    </cfRule>
  </conditionalFormatting>
  <conditionalFormatting sqref="Y57">
    <cfRule type="cellIs" dxfId="239" priority="263" stopIfTrue="1" operator="notEqual">
      <formula>""</formula>
    </cfRule>
  </conditionalFormatting>
  <conditionalFormatting sqref="Y66:Y71">
    <cfRule type="cellIs" dxfId="238" priority="262" stopIfTrue="1" operator="notEqual">
      <formula>""</formula>
    </cfRule>
  </conditionalFormatting>
  <conditionalFormatting sqref="Y75">
    <cfRule type="cellIs" dxfId="237" priority="261" stopIfTrue="1" operator="notEqual">
      <formula>""</formula>
    </cfRule>
  </conditionalFormatting>
  <conditionalFormatting sqref="Y81">
    <cfRule type="cellIs" dxfId="236" priority="260" stopIfTrue="1" operator="notEqual">
      <formula>""</formula>
    </cfRule>
  </conditionalFormatting>
  <conditionalFormatting sqref="Y84">
    <cfRule type="cellIs" dxfId="235" priority="259" stopIfTrue="1" operator="notEqual">
      <formula>""</formula>
    </cfRule>
  </conditionalFormatting>
  <conditionalFormatting sqref="Y87:Y91">
    <cfRule type="cellIs" dxfId="234" priority="258" stopIfTrue="1" operator="notEqual">
      <formula>""</formula>
    </cfRule>
  </conditionalFormatting>
  <conditionalFormatting sqref="Y95">
    <cfRule type="cellIs" dxfId="233" priority="256" stopIfTrue="1" operator="notEqual">
      <formula>""</formula>
    </cfRule>
  </conditionalFormatting>
  <conditionalFormatting sqref="Y96">
    <cfRule type="cellIs" dxfId="232" priority="255" stopIfTrue="1" operator="notEqual">
      <formula>""</formula>
    </cfRule>
  </conditionalFormatting>
  <conditionalFormatting sqref="Y100">
    <cfRule type="cellIs" dxfId="231" priority="253" stopIfTrue="1" operator="notEqual">
      <formula>""</formula>
    </cfRule>
  </conditionalFormatting>
  <conditionalFormatting sqref="Y103">
    <cfRule type="cellIs" dxfId="230" priority="252" stopIfTrue="1" operator="notEqual">
      <formula>""</formula>
    </cfRule>
  </conditionalFormatting>
  <conditionalFormatting sqref="Y106">
    <cfRule type="cellIs" dxfId="229" priority="251" stopIfTrue="1" operator="notEqual">
      <formula>""</formula>
    </cfRule>
  </conditionalFormatting>
  <conditionalFormatting sqref="Y109">
    <cfRule type="cellIs" dxfId="228" priority="250" stopIfTrue="1" operator="notEqual">
      <formula>""</formula>
    </cfRule>
  </conditionalFormatting>
  <conditionalFormatting sqref="Y112">
    <cfRule type="cellIs" dxfId="227" priority="249" stopIfTrue="1" operator="notEqual">
      <formula>""</formula>
    </cfRule>
  </conditionalFormatting>
  <conditionalFormatting sqref="Y115">
    <cfRule type="cellIs" dxfId="226" priority="248" stopIfTrue="1" operator="notEqual">
      <formula>""</formula>
    </cfRule>
  </conditionalFormatting>
  <conditionalFormatting sqref="Y76">
    <cfRule type="cellIs" dxfId="225" priority="247" stopIfTrue="1" operator="notEqual">
      <formula>""</formula>
    </cfRule>
  </conditionalFormatting>
  <conditionalFormatting sqref="Y77">
    <cfRule type="cellIs" dxfId="224" priority="246" stopIfTrue="1" operator="notEqual">
      <formula>""</formula>
    </cfRule>
  </conditionalFormatting>
  <conditionalFormatting sqref="Y123:Y128">
    <cfRule type="cellIs" dxfId="223" priority="245" stopIfTrue="1" operator="notEqual">
      <formula>""</formula>
    </cfRule>
  </conditionalFormatting>
  <conditionalFormatting sqref="Y782:Y783">
    <cfRule type="cellIs" dxfId="222" priority="76" stopIfTrue="1" operator="notEqual">
      <formula>""</formula>
    </cfRule>
  </conditionalFormatting>
  <conditionalFormatting sqref="Y138">
    <cfRule type="cellIs" dxfId="221" priority="243" stopIfTrue="1" operator="notEqual">
      <formula>""</formula>
    </cfRule>
  </conditionalFormatting>
  <conditionalFormatting sqref="Y141">
    <cfRule type="cellIs" dxfId="220" priority="242" stopIfTrue="1" operator="notEqual">
      <formula>""</formula>
    </cfRule>
  </conditionalFormatting>
  <conditionalFormatting sqref="Y144">
    <cfRule type="cellIs" dxfId="219" priority="241" stopIfTrue="1" operator="notEqual">
      <formula>""</formula>
    </cfRule>
  </conditionalFormatting>
  <conditionalFormatting sqref="Y145">
    <cfRule type="cellIs" dxfId="218" priority="240" stopIfTrue="1" operator="notEqual">
      <formula>""</formula>
    </cfRule>
  </conditionalFormatting>
  <conditionalFormatting sqref="Y146:Y148">
    <cfRule type="cellIs" dxfId="217" priority="239" stopIfTrue="1" operator="notEqual">
      <formula>""</formula>
    </cfRule>
  </conditionalFormatting>
  <conditionalFormatting sqref="Y152:Y153">
    <cfRule type="cellIs" dxfId="216" priority="238" stopIfTrue="1" operator="notEqual">
      <formula>""</formula>
    </cfRule>
  </conditionalFormatting>
  <conditionalFormatting sqref="Y157">
    <cfRule type="cellIs" dxfId="215" priority="237" stopIfTrue="1" operator="notEqual">
      <formula>""</formula>
    </cfRule>
  </conditionalFormatting>
  <conditionalFormatting sqref="Y160">
    <cfRule type="cellIs" dxfId="214" priority="236" stopIfTrue="1" operator="notEqual">
      <formula>""</formula>
    </cfRule>
  </conditionalFormatting>
  <conditionalFormatting sqref="Y163">
    <cfRule type="cellIs" dxfId="213" priority="235" stopIfTrue="1" operator="notEqual">
      <formula>""</formula>
    </cfRule>
  </conditionalFormatting>
  <conditionalFormatting sqref="Y166">
    <cfRule type="cellIs" dxfId="212" priority="234" stopIfTrue="1" operator="notEqual">
      <formula>""</formula>
    </cfRule>
  </conditionalFormatting>
  <conditionalFormatting sqref="Y169">
    <cfRule type="cellIs" dxfId="211" priority="233" stopIfTrue="1" operator="notEqual">
      <formula>""</formula>
    </cfRule>
  </conditionalFormatting>
  <conditionalFormatting sqref="Y172">
    <cfRule type="cellIs" dxfId="210" priority="232" stopIfTrue="1" operator="notEqual">
      <formula>""</formula>
    </cfRule>
  </conditionalFormatting>
  <conditionalFormatting sqref="Y132">
    <cfRule type="cellIs" dxfId="209" priority="231" stopIfTrue="1" operator="notEqual">
      <formula>""</formula>
    </cfRule>
  </conditionalFormatting>
  <conditionalFormatting sqref="Y133">
    <cfRule type="cellIs" dxfId="208" priority="230" stopIfTrue="1" operator="notEqual">
      <formula>""</formula>
    </cfRule>
  </conditionalFormatting>
  <conditionalFormatting sqref="Y134">
    <cfRule type="cellIs" dxfId="207" priority="229" stopIfTrue="1" operator="notEqual">
      <formula>""</formula>
    </cfRule>
  </conditionalFormatting>
  <conditionalFormatting sqref="Y189">
    <cfRule type="cellIs" dxfId="206" priority="228" stopIfTrue="1" operator="notEqual">
      <formula>""</formula>
    </cfRule>
  </conditionalFormatting>
  <conditionalFormatting sqref="Y190">
    <cfRule type="cellIs" dxfId="205" priority="227" stopIfTrue="1" operator="notEqual">
      <formula>""</formula>
    </cfRule>
  </conditionalFormatting>
  <conditionalFormatting sqref="Y191">
    <cfRule type="cellIs" dxfId="204" priority="226" stopIfTrue="1" operator="notEqual">
      <formula>""</formula>
    </cfRule>
  </conditionalFormatting>
  <conditionalFormatting sqref="Y246">
    <cfRule type="cellIs" dxfId="203" priority="225" stopIfTrue="1" operator="notEqual">
      <formula>""</formula>
    </cfRule>
  </conditionalFormatting>
  <conditionalFormatting sqref="Y247">
    <cfRule type="cellIs" dxfId="202" priority="224" stopIfTrue="1" operator="notEqual">
      <formula>""</formula>
    </cfRule>
  </conditionalFormatting>
  <conditionalFormatting sqref="Y248">
    <cfRule type="cellIs" dxfId="201" priority="223" stopIfTrue="1" operator="notEqual">
      <formula>""</formula>
    </cfRule>
  </conditionalFormatting>
  <conditionalFormatting sqref="Y303">
    <cfRule type="cellIs" dxfId="200" priority="222" stopIfTrue="1" operator="notEqual">
      <formula>""</formula>
    </cfRule>
  </conditionalFormatting>
  <conditionalFormatting sqref="Y304">
    <cfRule type="cellIs" dxfId="199" priority="221" stopIfTrue="1" operator="notEqual">
      <formula>""</formula>
    </cfRule>
  </conditionalFormatting>
  <conditionalFormatting sqref="Y305">
    <cfRule type="cellIs" dxfId="198" priority="220" stopIfTrue="1" operator="notEqual">
      <formula>""</formula>
    </cfRule>
  </conditionalFormatting>
  <conditionalFormatting sqref="Y360">
    <cfRule type="cellIs" dxfId="197" priority="219" stopIfTrue="1" operator="notEqual">
      <formula>""</formula>
    </cfRule>
  </conditionalFormatting>
  <conditionalFormatting sqref="Y361">
    <cfRule type="cellIs" dxfId="196" priority="218" stopIfTrue="1" operator="notEqual">
      <formula>""</formula>
    </cfRule>
  </conditionalFormatting>
  <conditionalFormatting sqref="Y362">
    <cfRule type="cellIs" dxfId="195" priority="217" stopIfTrue="1" operator="notEqual">
      <formula>""</formula>
    </cfRule>
  </conditionalFormatting>
  <conditionalFormatting sqref="Y417">
    <cfRule type="cellIs" dxfId="194" priority="216" stopIfTrue="1" operator="notEqual">
      <formula>""</formula>
    </cfRule>
  </conditionalFormatting>
  <conditionalFormatting sqref="Y418">
    <cfRule type="cellIs" dxfId="193" priority="215" stopIfTrue="1" operator="notEqual">
      <formula>""</formula>
    </cfRule>
  </conditionalFormatting>
  <conditionalFormatting sqref="Y419">
    <cfRule type="cellIs" dxfId="192" priority="214" stopIfTrue="1" operator="notEqual">
      <formula>""</formula>
    </cfRule>
  </conditionalFormatting>
  <conditionalFormatting sqref="Y474">
    <cfRule type="cellIs" dxfId="191" priority="213" stopIfTrue="1" operator="notEqual">
      <formula>""</formula>
    </cfRule>
  </conditionalFormatting>
  <conditionalFormatting sqref="Y475">
    <cfRule type="cellIs" dxfId="190" priority="212" stopIfTrue="1" operator="notEqual">
      <formula>""</formula>
    </cfRule>
  </conditionalFormatting>
  <conditionalFormatting sqref="Y476">
    <cfRule type="cellIs" dxfId="189" priority="211" stopIfTrue="1" operator="notEqual">
      <formula>""</formula>
    </cfRule>
  </conditionalFormatting>
  <conditionalFormatting sqref="Y499">
    <cfRule type="cellIs" dxfId="188" priority="140" stopIfTrue="1" operator="notEqual">
      <formula>""</formula>
    </cfRule>
  </conditionalFormatting>
  <conditionalFormatting sqref="Y533">
    <cfRule type="cellIs" dxfId="187" priority="209" stopIfTrue="1" operator="notEqual">
      <formula>""</formula>
    </cfRule>
  </conditionalFormatting>
  <conditionalFormatting sqref="Y534">
    <cfRule type="cellIs" dxfId="186" priority="208" stopIfTrue="1" operator="notEqual">
      <formula>""</formula>
    </cfRule>
  </conditionalFormatting>
  <conditionalFormatting sqref="Y594">
    <cfRule type="cellIs" dxfId="185" priority="207" stopIfTrue="1" operator="notEqual">
      <formula>""</formula>
    </cfRule>
  </conditionalFormatting>
  <conditionalFormatting sqref="Y595">
    <cfRule type="cellIs" dxfId="184" priority="206" stopIfTrue="1" operator="notEqual">
      <formula>""</formula>
    </cfRule>
  </conditionalFormatting>
  <conditionalFormatting sqref="Y596">
    <cfRule type="cellIs" dxfId="183" priority="205" stopIfTrue="1" operator="notEqual">
      <formula>""</formula>
    </cfRule>
  </conditionalFormatting>
  <conditionalFormatting sqref="Y180:Y185">
    <cfRule type="cellIs" dxfId="182" priority="204" stopIfTrue="1" operator="notEqual">
      <formula>""</formula>
    </cfRule>
  </conditionalFormatting>
  <conditionalFormatting sqref="Y195">
    <cfRule type="cellIs" dxfId="181" priority="203" stopIfTrue="1" operator="notEqual">
      <formula>""</formula>
    </cfRule>
  </conditionalFormatting>
  <conditionalFormatting sqref="Y198">
    <cfRule type="cellIs" dxfId="180" priority="202" stopIfTrue="1" operator="notEqual">
      <formula>""</formula>
    </cfRule>
  </conditionalFormatting>
  <conditionalFormatting sqref="Y201">
    <cfRule type="cellIs" dxfId="179" priority="201" stopIfTrue="1" operator="notEqual">
      <formula>""</formula>
    </cfRule>
  </conditionalFormatting>
  <conditionalFormatting sqref="Y202:Y205">
    <cfRule type="cellIs" dxfId="178" priority="200" stopIfTrue="1" operator="notEqual">
      <formula>""</formula>
    </cfRule>
  </conditionalFormatting>
  <conditionalFormatting sqref="Y209:Y210">
    <cfRule type="cellIs" dxfId="177" priority="199" stopIfTrue="1" operator="notEqual">
      <formula>""</formula>
    </cfRule>
  </conditionalFormatting>
  <conditionalFormatting sqref="Y214">
    <cfRule type="cellIs" dxfId="176" priority="198" stopIfTrue="1" operator="notEqual">
      <formula>""</formula>
    </cfRule>
  </conditionalFormatting>
  <conditionalFormatting sqref="Y217">
    <cfRule type="cellIs" dxfId="175" priority="197" stopIfTrue="1" operator="notEqual">
      <formula>""</formula>
    </cfRule>
  </conditionalFormatting>
  <conditionalFormatting sqref="Y220">
    <cfRule type="cellIs" dxfId="174" priority="196" stopIfTrue="1" operator="notEqual">
      <formula>""</formula>
    </cfRule>
  </conditionalFormatting>
  <conditionalFormatting sqref="Y223">
    <cfRule type="cellIs" dxfId="173" priority="195" stopIfTrue="1" operator="notEqual">
      <formula>""</formula>
    </cfRule>
  </conditionalFormatting>
  <conditionalFormatting sqref="Y226">
    <cfRule type="cellIs" dxfId="172" priority="194" stopIfTrue="1" operator="notEqual">
      <formula>""</formula>
    </cfRule>
  </conditionalFormatting>
  <conditionalFormatting sqref="Y229">
    <cfRule type="cellIs" dxfId="171" priority="193" stopIfTrue="1" operator="notEqual">
      <formula>""</formula>
    </cfRule>
  </conditionalFormatting>
  <conditionalFormatting sqref="Y237:Y242">
    <cfRule type="cellIs" dxfId="170" priority="192" stopIfTrue="1" operator="notEqual">
      <formula>""</formula>
    </cfRule>
  </conditionalFormatting>
  <conditionalFormatting sqref="Y252">
    <cfRule type="cellIs" dxfId="169" priority="191" stopIfTrue="1" operator="notEqual">
      <formula>""</formula>
    </cfRule>
  </conditionalFormatting>
  <conditionalFormatting sqref="Y255">
    <cfRule type="cellIs" dxfId="168" priority="190" stopIfTrue="1" operator="notEqual">
      <formula>""</formula>
    </cfRule>
  </conditionalFormatting>
  <conditionalFormatting sqref="Y258:Y262">
    <cfRule type="cellIs" dxfId="167" priority="189" stopIfTrue="1" operator="notEqual">
      <formula>""</formula>
    </cfRule>
  </conditionalFormatting>
  <conditionalFormatting sqref="Y266:Y267">
    <cfRule type="cellIs" dxfId="166" priority="188" stopIfTrue="1" operator="notEqual">
      <formula>""</formula>
    </cfRule>
  </conditionalFormatting>
  <conditionalFormatting sqref="Y271">
    <cfRule type="cellIs" dxfId="165" priority="187" stopIfTrue="1" operator="notEqual">
      <formula>""</formula>
    </cfRule>
  </conditionalFormatting>
  <conditionalFormatting sqref="Y274">
    <cfRule type="cellIs" dxfId="164" priority="185" stopIfTrue="1" operator="notEqual">
      <formula>""</formula>
    </cfRule>
  </conditionalFormatting>
  <conditionalFormatting sqref="Y277">
    <cfRule type="cellIs" dxfId="163" priority="184" stopIfTrue="1" operator="notEqual">
      <formula>""</formula>
    </cfRule>
  </conditionalFormatting>
  <conditionalFormatting sqref="Y280">
    <cfRule type="cellIs" dxfId="162" priority="183" stopIfTrue="1" operator="notEqual">
      <formula>""</formula>
    </cfRule>
  </conditionalFormatting>
  <conditionalFormatting sqref="Y283">
    <cfRule type="cellIs" dxfId="161" priority="182" stopIfTrue="1" operator="notEqual">
      <formula>""</formula>
    </cfRule>
  </conditionalFormatting>
  <conditionalFormatting sqref="Y286">
    <cfRule type="cellIs" dxfId="160" priority="181" stopIfTrue="1" operator="notEqual">
      <formula>""</formula>
    </cfRule>
  </conditionalFormatting>
  <conditionalFormatting sqref="Y295:Y299">
    <cfRule type="cellIs" dxfId="159" priority="180" stopIfTrue="1" operator="notEqual">
      <formula>""</formula>
    </cfRule>
  </conditionalFormatting>
  <conditionalFormatting sqref="Y309">
    <cfRule type="cellIs" dxfId="158" priority="179" stopIfTrue="1" operator="notEqual">
      <formula>""</formula>
    </cfRule>
  </conditionalFormatting>
  <conditionalFormatting sqref="Y312">
    <cfRule type="cellIs" dxfId="157" priority="178" stopIfTrue="1" operator="notEqual">
      <formula>""</formula>
    </cfRule>
  </conditionalFormatting>
  <conditionalFormatting sqref="Y315:Y319">
    <cfRule type="cellIs" dxfId="156" priority="177" stopIfTrue="1" operator="notEqual">
      <formula>""</formula>
    </cfRule>
  </conditionalFormatting>
  <conditionalFormatting sqref="Y323:Y324">
    <cfRule type="cellIs" dxfId="155" priority="176" stopIfTrue="1" operator="notEqual">
      <formula>""</formula>
    </cfRule>
  </conditionalFormatting>
  <conditionalFormatting sqref="Y328">
    <cfRule type="cellIs" dxfId="154" priority="175" stopIfTrue="1" operator="notEqual">
      <formula>""</formula>
    </cfRule>
  </conditionalFormatting>
  <conditionalFormatting sqref="Y331">
    <cfRule type="cellIs" dxfId="153" priority="173" stopIfTrue="1" operator="notEqual">
      <formula>""</formula>
    </cfRule>
  </conditionalFormatting>
  <conditionalFormatting sqref="Y334">
    <cfRule type="cellIs" dxfId="152" priority="172" stopIfTrue="1" operator="notEqual">
      <formula>""</formula>
    </cfRule>
  </conditionalFormatting>
  <conditionalFormatting sqref="Y337">
    <cfRule type="cellIs" dxfId="151" priority="171" stopIfTrue="1" operator="notEqual">
      <formula>""</formula>
    </cfRule>
  </conditionalFormatting>
  <conditionalFormatting sqref="Y340">
    <cfRule type="cellIs" dxfId="150" priority="170" stopIfTrue="1" operator="notEqual">
      <formula>""</formula>
    </cfRule>
  </conditionalFormatting>
  <conditionalFormatting sqref="Y343">
    <cfRule type="cellIs" dxfId="149" priority="169" stopIfTrue="1" operator="notEqual">
      <formula>""</formula>
    </cfRule>
  </conditionalFormatting>
  <conditionalFormatting sqref="Y351:Y356">
    <cfRule type="cellIs" dxfId="148" priority="168" stopIfTrue="1" operator="notEqual">
      <formula>""</formula>
    </cfRule>
  </conditionalFormatting>
  <conditionalFormatting sqref="Y366">
    <cfRule type="cellIs" dxfId="147" priority="167" stopIfTrue="1" operator="notEqual">
      <formula>""</formula>
    </cfRule>
  </conditionalFormatting>
  <conditionalFormatting sqref="Y369">
    <cfRule type="cellIs" dxfId="146" priority="166" stopIfTrue="1" operator="notEqual">
      <formula>""</formula>
    </cfRule>
  </conditionalFormatting>
  <conditionalFormatting sqref="Y372:Y376">
    <cfRule type="cellIs" dxfId="145" priority="165" stopIfTrue="1" operator="notEqual">
      <formula>""</formula>
    </cfRule>
  </conditionalFormatting>
  <conditionalFormatting sqref="Y380:Y381">
    <cfRule type="cellIs" dxfId="144" priority="164" stopIfTrue="1" operator="notEqual">
      <formula>""</formula>
    </cfRule>
  </conditionalFormatting>
  <conditionalFormatting sqref="Y385">
    <cfRule type="cellIs" dxfId="143" priority="163" stopIfTrue="1" operator="notEqual">
      <formula>""</formula>
    </cfRule>
  </conditionalFormatting>
  <conditionalFormatting sqref="Y388">
    <cfRule type="cellIs" dxfId="142" priority="162" stopIfTrue="1" operator="notEqual">
      <formula>""</formula>
    </cfRule>
  </conditionalFormatting>
  <conditionalFormatting sqref="Y391">
    <cfRule type="cellIs" dxfId="141" priority="161" stopIfTrue="1" operator="notEqual">
      <formula>""</formula>
    </cfRule>
  </conditionalFormatting>
  <conditionalFormatting sqref="Y394">
    <cfRule type="cellIs" dxfId="140" priority="160" stopIfTrue="1" operator="notEqual">
      <formula>""</formula>
    </cfRule>
  </conditionalFormatting>
  <conditionalFormatting sqref="Y397">
    <cfRule type="cellIs" dxfId="139" priority="159" stopIfTrue="1" operator="notEqual">
      <formula>""</formula>
    </cfRule>
  </conditionalFormatting>
  <conditionalFormatting sqref="Y400">
    <cfRule type="cellIs" dxfId="138" priority="158" stopIfTrue="1" operator="notEqual">
      <formula>""</formula>
    </cfRule>
  </conditionalFormatting>
  <conditionalFormatting sqref="Y408:Y413">
    <cfRule type="cellIs" dxfId="137" priority="157" stopIfTrue="1" operator="notEqual">
      <formula>""</formula>
    </cfRule>
  </conditionalFormatting>
  <conditionalFormatting sqref="Y423">
    <cfRule type="cellIs" dxfId="136" priority="155" stopIfTrue="1" operator="notEqual">
      <formula>""</formula>
    </cfRule>
  </conditionalFormatting>
  <conditionalFormatting sqref="Y426">
    <cfRule type="cellIs" dxfId="135" priority="154" stopIfTrue="1" operator="notEqual">
      <formula>""</formula>
    </cfRule>
  </conditionalFormatting>
  <conditionalFormatting sqref="Y429:Y433">
    <cfRule type="cellIs" dxfId="134" priority="153" stopIfTrue="1" operator="notEqual">
      <formula>""</formula>
    </cfRule>
  </conditionalFormatting>
  <conditionalFormatting sqref="Y437:Y438">
    <cfRule type="cellIs" dxfId="133" priority="152" stopIfTrue="1" operator="notEqual">
      <formula>""</formula>
    </cfRule>
  </conditionalFormatting>
  <conditionalFormatting sqref="Y442">
    <cfRule type="cellIs" dxfId="132" priority="151" stopIfTrue="1" operator="notEqual">
      <formula>""</formula>
    </cfRule>
  </conditionalFormatting>
  <conditionalFormatting sqref="Y445">
    <cfRule type="cellIs" dxfId="131" priority="150" stopIfTrue="1" operator="notEqual">
      <formula>""</formula>
    </cfRule>
  </conditionalFormatting>
  <conditionalFormatting sqref="Y448">
    <cfRule type="cellIs" dxfId="130" priority="149" stopIfTrue="1" operator="notEqual">
      <formula>""</formula>
    </cfRule>
  </conditionalFormatting>
  <conditionalFormatting sqref="Y451">
    <cfRule type="cellIs" dxfId="129" priority="148" stopIfTrue="1" operator="notEqual">
      <formula>""</formula>
    </cfRule>
  </conditionalFormatting>
  <conditionalFormatting sqref="Y454">
    <cfRule type="cellIs" dxfId="128" priority="147" stopIfTrue="1" operator="notEqual">
      <formula>""</formula>
    </cfRule>
  </conditionalFormatting>
  <conditionalFormatting sqref="Y457">
    <cfRule type="cellIs" dxfId="127" priority="146" stopIfTrue="1" operator="notEqual">
      <formula>""</formula>
    </cfRule>
  </conditionalFormatting>
  <conditionalFormatting sqref="Y465:Y470">
    <cfRule type="cellIs" dxfId="126" priority="145" stopIfTrue="1" operator="notEqual">
      <formula>""</formula>
    </cfRule>
  </conditionalFormatting>
  <conditionalFormatting sqref="Y480">
    <cfRule type="cellIs" dxfId="125" priority="144" stopIfTrue="1" operator="notEqual">
      <formula>""</formula>
    </cfRule>
  </conditionalFormatting>
  <conditionalFormatting sqref="Y483">
    <cfRule type="cellIs" dxfId="124" priority="143" stopIfTrue="1" operator="notEqual">
      <formula>""</formula>
    </cfRule>
  </conditionalFormatting>
  <conditionalFormatting sqref="Y486:Y490">
    <cfRule type="cellIs" dxfId="123" priority="142" stopIfTrue="1" operator="notEqual">
      <formula>""</formula>
    </cfRule>
  </conditionalFormatting>
  <conditionalFormatting sqref="Y494:Y495">
    <cfRule type="cellIs" dxfId="122" priority="141" stopIfTrue="1" operator="notEqual">
      <formula>""</formula>
    </cfRule>
  </conditionalFormatting>
  <conditionalFormatting sqref="Y511">
    <cfRule type="cellIs" dxfId="121" priority="136" stopIfTrue="1" operator="notEqual">
      <formula>""</formula>
    </cfRule>
  </conditionalFormatting>
  <conditionalFormatting sqref="Y502">
    <cfRule type="cellIs" dxfId="120" priority="139" stopIfTrue="1" operator="notEqual">
      <formula>""</formula>
    </cfRule>
  </conditionalFormatting>
  <conditionalFormatting sqref="Y505">
    <cfRule type="cellIs" dxfId="119" priority="138" stopIfTrue="1" operator="notEqual">
      <formula>""</formula>
    </cfRule>
  </conditionalFormatting>
  <conditionalFormatting sqref="Y508">
    <cfRule type="cellIs" dxfId="118" priority="137" stopIfTrue="1" operator="notEqual">
      <formula>""</formula>
    </cfRule>
  </conditionalFormatting>
  <conditionalFormatting sqref="Y514">
    <cfRule type="cellIs" dxfId="117" priority="135" stopIfTrue="1" operator="notEqual">
      <formula>""</formula>
    </cfRule>
  </conditionalFormatting>
  <conditionalFormatting sqref="Y523:Y528">
    <cfRule type="cellIs" dxfId="116" priority="134" stopIfTrue="1" operator="notEqual">
      <formula>""</formula>
    </cfRule>
  </conditionalFormatting>
  <conditionalFormatting sqref="Y532">
    <cfRule type="cellIs" dxfId="115" priority="133" stopIfTrue="1" operator="notEqual">
      <formula>""</formula>
    </cfRule>
  </conditionalFormatting>
  <conditionalFormatting sqref="Y538">
    <cfRule type="cellIs" dxfId="114" priority="132" stopIfTrue="1" operator="notEqual">
      <formula>""</formula>
    </cfRule>
  </conditionalFormatting>
  <conditionalFormatting sqref="Y541">
    <cfRule type="cellIs" dxfId="113" priority="131" stopIfTrue="1" operator="notEqual">
      <formula>""</formula>
    </cfRule>
  </conditionalFormatting>
  <conditionalFormatting sqref="Y544:Y548">
    <cfRule type="cellIs" dxfId="112" priority="130" stopIfTrue="1" operator="notEqual">
      <formula>""</formula>
    </cfRule>
  </conditionalFormatting>
  <conditionalFormatting sqref="Y552:Y553">
    <cfRule type="cellIs" dxfId="111" priority="129" stopIfTrue="1" operator="notEqual">
      <formula>""</formula>
    </cfRule>
  </conditionalFormatting>
  <conditionalFormatting sqref="Y557">
    <cfRule type="cellIs" dxfId="110" priority="128" stopIfTrue="1" operator="notEqual">
      <formula>""</formula>
    </cfRule>
  </conditionalFormatting>
  <conditionalFormatting sqref="Y560">
    <cfRule type="cellIs" dxfId="109" priority="127" stopIfTrue="1" operator="notEqual">
      <formula>""</formula>
    </cfRule>
  </conditionalFormatting>
  <conditionalFormatting sqref="Y563">
    <cfRule type="cellIs" dxfId="108" priority="126" stopIfTrue="1" operator="notEqual">
      <formula>""</formula>
    </cfRule>
  </conditionalFormatting>
  <conditionalFormatting sqref="Y566">
    <cfRule type="cellIs" dxfId="107" priority="125" stopIfTrue="1" operator="notEqual">
      <formula>""</formula>
    </cfRule>
  </conditionalFormatting>
  <conditionalFormatting sqref="Y569">
    <cfRule type="cellIs" dxfId="106" priority="124" stopIfTrue="1" operator="notEqual">
      <formula>""</formula>
    </cfRule>
  </conditionalFormatting>
  <conditionalFormatting sqref="Y572">
    <cfRule type="cellIs" dxfId="105" priority="123" stopIfTrue="1" operator="notEqual">
      <formula>""</formula>
    </cfRule>
  </conditionalFormatting>
  <conditionalFormatting sqref="Y585">
    <cfRule type="cellIs" dxfId="104" priority="122" stopIfTrue="1" operator="notEqual">
      <formula>""</formula>
    </cfRule>
  </conditionalFormatting>
  <conditionalFormatting sqref="Y586:Y590">
    <cfRule type="cellIs" dxfId="103" priority="121" stopIfTrue="1" operator="notEqual">
      <formula>""</formula>
    </cfRule>
  </conditionalFormatting>
  <conditionalFormatting sqref="Y600">
    <cfRule type="cellIs" dxfId="102" priority="120" stopIfTrue="1" operator="notEqual">
      <formula>""</formula>
    </cfRule>
  </conditionalFormatting>
  <conditionalFormatting sqref="Y603">
    <cfRule type="cellIs" dxfId="101" priority="119" stopIfTrue="1" operator="notEqual">
      <formula>""</formula>
    </cfRule>
  </conditionalFormatting>
  <conditionalFormatting sqref="Y605:Y610">
    <cfRule type="cellIs" dxfId="100" priority="118" stopIfTrue="1" operator="notEqual">
      <formula>""</formula>
    </cfRule>
  </conditionalFormatting>
  <conditionalFormatting sqref="Y614:Y615">
    <cfRule type="cellIs" dxfId="99" priority="117" stopIfTrue="1" operator="notEqual">
      <formula>""</formula>
    </cfRule>
  </conditionalFormatting>
  <conditionalFormatting sqref="Y619">
    <cfRule type="cellIs" dxfId="98" priority="116" stopIfTrue="1" operator="notEqual">
      <formula>""</formula>
    </cfRule>
  </conditionalFormatting>
  <conditionalFormatting sqref="Y622">
    <cfRule type="cellIs" dxfId="97" priority="115" stopIfTrue="1" operator="notEqual">
      <formula>""</formula>
    </cfRule>
  </conditionalFormatting>
  <conditionalFormatting sqref="Y625">
    <cfRule type="cellIs" dxfId="96" priority="114" stopIfTrue="1" operator="notEqual">
      <formula>""</formula>
    </cfRule>
  </conditionalFormatting>
  <conditionalFormatting sqref="Y628">
    <cfRule type="cellIs" dxfId="95" priority="113" stopIfTrue="1" operator="notEqual">
      <formula>""</formula>
    </cfRule>
  </conditionalFormatting>
  <conditionalFormatting sqref="Y631">
    <cfRule type="cellIs" dxfId="94" priority="112" stopIfTrue="1" operator="notEqual">
      <formula>""</formula>
    </cfRule>
  </conditionalFormatting>
  <conditionalFormatting sqref="Y634">
    <cfRule type="cellIs" dxfId="93" priority="111" stopIfTrue="1" operator="notEqual">
      <formula>""</formula>
    </cfRule>
  </conditionalFormatting>
  <conditionalFormatting sqref="Y294">
    <cfRule type="cellIs" dxfId="92" priority="110" stopIfTrue="1" operator="notEqual">
      <formula>""</formula>
    </cfRule>
  </conditionalFormatting>
  <conditionalFormatting sqref="Y669:Y671">
    <cfRule type="cellIs" dxfId="91" priority="108" stopIfTrue="1" operator="notEqual">
      <formula>""</formula>
    </cfRule>
  </conditionalFormatting>
  <conditionalFormatting sqref="Y674">
    <cfRule type="cellIs" dxfId="90" priority="107" stopIfTrue="1" operator="notEqual">
      <formula>""</formula>
    </cfRule>
  </conditionalFormatting>
  <conditionalFormatting sqref="Y675">
    <cfRule type="cellIs" dxfId="89" priority="106" stopIfTrue="1" operator="notEqual">
      <formula>""</formula>
    </cfRule>
  </conditionalFormatting>
  <conditionalFormatting sqref="Y676:Y680">
    <cfRule type="cellIs" dxfId="88" priority="105" stopIfTrue="1" operator="notEqual">
      <formula>""</formula>
    </cfRule>
  </conditionalFormatting>
  <conditionalFormatting sqref="Y684">
    <cfRule type="cellIs" dxfId="87" priority="104" stopIfTrue="1" operator="notEqual">
      <formula>""</formula>
    </cfRule>
  </conditionalFormatting>
  <conditionalFormatting sqref="Y686">
    <cfRule type="cellIs" dxfId="86" priority="103" stopIfTrue="1" operator="notEqual">
      <formula>""</formula>
    </cfRule>
  </conditionalFormatting>
  <conditionalFormatting sqref="Y688">
    <cfRule type="cellIs" dxfId="85" priority="102" stopIfTrue="1" operator="notEqual">
      <formula>""</formula>
    </cfRule>
  </conditionalFormatting>
  <conditionalFormatting sqref="Y704">
    <cfRule type="cellIs" dxfId="84" priority="101" stopIfTrue="1" operator="notEqual">
      <formula>""</formula>
    </cfRule>
  </conditionalFormatting>
  <conditionalFormatting sqref="Y706">
    <cfRule type="cellIs" dxfId="83" priority="100" stopIfTrue="1" operator="notEqual">
      <formula>""</formula>
    </cfRule>
  </conditionalFormatting>
  <conditionalFormatting sqref="Y708">
    <cfRule type="cellIs" dxfId="82" priority="99" stopIfTrue="1" operator="notEqual">
      <formula>""</formula>
    </cfRule>
  </conditionalFormatting>
  <conditionalFormatting sqref="Y710">
    <cfRule type="cellIs" dxfId="81" priority="98" stopIfTrue="1" operator="notEqual">
      <formula>""</formula>
    </cfRule>
  </conditionalFormatting>
  <conditionalFormatting sqref="Y717">
    <cfRule type="cellIs" dxfId="80" priority="97" stopIfTrue="1" operator="notEqual">
      <formula>""</formula>
    </cfRule>
  </conditionalFormatting>
  <conditionalFormatting sqref="Y725">
    <cfRule type="cellIs" dxfId="79" priority="95" stopIfTrue="1" operator="notEqual">
      <formula>""</formula>
    </cfRule>
  </conditionalFormatting>
  <conditionalFormatting sqref="Y730">
    <cfRule type="cellIs" dxfId="78" priority="94" stopIfTrue="1" operator="notEqual">
      <formula>""</formula>
    </cfRule>
  </conditionalFormatting>
  <conditionalFormatting sqref="Y867">
    <cfRule type="cellIs" dxfId="77" priority="53" stopIfTrue="1" operator="notEqual">
      <formula>""</formula>
    </cfRule>
  </conditionalFormatting>
  <conditionalFormatting sqref="Y731">
    <cfRule type="cellIs" dxfId="76" priority="91" stopIfTrue="1" operator="notEqual">
      <formula>""</formula>
    </cfRule>
  </conditionalFormatting>
  <conditionalFormatting sqref="Y732:Y738">
    <cfRule type="cellIs" dxfId="75" priority="90" stopIfTrue="1" operator="notEqual">
      <formula>""</formula>
    </cfRule>
  </conditionalFormatting>
  <conditionalFormatting sqref="Y748">
    <cfRule type="cellIs" dxfId="74" priority="88" stopIfTrue="1" operator="notEqual">
      <formula>""</formula>
    </cfRule>
  </conditionalFormatting>
  <conditionalFormatting sqref="Y750">
    <cfRule type="cellIs" dxfId="73" priority="85" stopIfTrue="1" operator="notEqual">
      <formula>""</formula>
    </cfRule>
  </conditionalFormatting>
  <conditionalFormatting sqref="Y752:Y756">
    <cfRule type="cellIs" dxfId="72" priority="84" stopIfTrue="1" operator="notEqual">
      <formula>""</formula>
    </cfRule>
  </conditionalFormatting>
  <conditionalFormatting sqref="Y763">
    <cfRule type="cellIs" dxfId="71" priority="83" stopIfTrue="1" operator="notEqual">
      <formula>""</formula>
    </cfRule>
  </conditionalFormatting>
  <conditionalFormatting sqref="Y765">
    <cfRule type="cellIs" dxfId="70" priority="81" stopIfTrue="1" operator="notEqual">
      <formula>""</formula>
    </cfRule>
  </conditionalFormatting>
  <conditionalFormatting sqref="Y767">
    <cfRule type="cellIs" dxfId="69" priority="80" stopIfTrue="1" operator="notEqual">
      <formula>""</formula>
    </cfRule>
  </conditionalFormatting>
  <conditionalFormatting sqref="Y769">
    <cfRule type="cellIs" dxfId="68" priority="79" stopIfTrue="1" operator="notEqual">
      <formula>""</formula>
    </cfRule>
  </conditionalFormatting>
  <conditionalFormatting sqref="Y771">
    <cfRule type="cellIs" dxfId="67" priority="78" stopIfTrue="1" operator="notEqual">
      <formula>""</formula>
    </cfRule>
  </conditionalFormatting>
  <conditionalFormatting sqref="Y780">
    <cfRule type="cellIs" dxfId="66" priority="77" stopIfTrue="1" operator="notEqual">
      <formula>""</formula>
    </cfRule>
  </conditionalFormatting>
  <conditionalFormatting sqref="Y793">
    <cfRule type="cellIs" dxfId="65" priority="72" stopIfTrue="1" operator="notEqual">
      <formula>""</formula>
    </cfRule>
  </conditionalFormatting>
  <conditionalFormatting sqref="Y785">
    <cfRule type="cellIs" dxfId="64" priority="75" stopIfTrue="1" operator="notEqual">
      <formula>""</formula>
    </cfRule>
  </conditionalFormatting>
  <conditionalFormatting sqref="Y786">
    <cfRule type="cellIs" dxfId="63" priority="74" stopIfTrue="1" operator="notEqual">
      <formula>""</formula>
    </cfRule>
  </conditionalFormatting>
  <conditionalFormatting sqref="Y788">
    <cfRule type="cellIs" dxfId="62" priority="73" stopIfTrue="1" operator="notEqual">
      <formula>""</formula>
    </cfRule>
  </conditionalFormatting>
  <conditionalFormatting sqref="Y795">
    <cfRule type="cellIs" dxfId="61" priority="71" stopIfTrue="1" operator="notEqual">
      <formula>""</formula>
    </cfRule>
  </conditionalFormatting>
  <conditionalFormatting sqref="Y797">
    <cfRule type="cellIs" dxfId="60" priority="69" stopIfTrue="1" operator="notEqual">
      <formula>""</formula>
    </cfRule>
  </conditionalFormatting>
  <conditionalFormatting sqref="Y796">
    <cfRule type="cellIs" dxfId="59" priority="68" stopIfTrue="1" operator="notEqual">
      <formula>""</formula>
    </cfRule>
  </conditionalFormatting>
  <conditionalFormatting sqref="Y799">
    <cfRule type="cellIs" dxfId="58" priority="67" stopIfTrue="1" operator="notEqual">
      <formula>""</formula>
    </cfRule>
  </conditionalFormatting>
  <conditionalFormatting sqref="Y801">
    <cfRule type="cellIs" dxfId="57" priority="66" stopIfTrue="1" operator="notEqual">
      <formula>""</formula>
    </cfRule>
  </conditionalFormatting>
  <conditionalFormatting sqref="Y965">
    <cfRule type="cellIs" dxfId="56" priority="62" stopIfTrue="1" operator="notEqual">
      <formula>""</formula>
    </cfRule>
  </conditionalFormatting>
  <conditionalFormatting sqref="Y957">
    <cfRule type="cellIs" dxfId="55" priority="59" stopIfTrue="1" operator="notEqual">
      <formula>""</formula>
    </cfRule>
  </conditionalFormatting>
  <conditionalFormatting sqref="Y958:Y959">
    <cfRule type="cellIs" dxfId="54" priority="58" stopIfTrue="1" operator="notEqual">
      <formula>""</formula>
    </cfRule>
  </conditionalFormatting>
  <conditionalFormatting sqref="Y860">
    <cfRule type="cellIs" dxfId="53" priority="57" stopIfTrue="1" operator="notEqual">
      <formula>""</formula>
    </cfRule>
  </conditionalFormatting>
  <conditionalFormatting sqref="Y897">
    <cfRule type="cellIs" dxfId="52" priority="40" stopIfTrue="1" operator="notEqual">
      <formula>""</formula>
    </cfRule>
  </conditionalFormatting>
  <conditionalFormatting sqref="Y868">
    <cfRule type="cellIs" dxfId="51" priority="55" stopIfTrue="1" operator="notEqual">
      <formula>""</formula>
    </cfRule>
  </conditionalFormatting>
  <conditionalFormatting sqref="Y869:Y872">
    <cfRule type="cellIs" dxfId="50" priority="54" stopIfTrue="1" operator="notEqual">
      <formula>""</formula>
    </cfRule>
  </conditionalFormatting>
  <conditionalFormatting sqref="Y895">
    <cfRule type="cellIs" dxfId="49" priority="37" stopIfTrue="1" operator="notEqual">
      <formula>""</formula>
    </cfRule>
  </conditionalFormatting>
  <conditionalFormatting sqref="Y876">
    <cfRule type="cellIs" dxfId="48" priority="52" stopIfTrue="1" operator="notEqual">
      <formula>""</formula>
    </cfRule>
  </conditionalFormatting>
  <conditionalFormatting sqref="Y875">
    <cfRule type="cellIs" dxfId="47" priority="51" stopIfTrue="1" operator="notEqual">
      <formula>""</formula>
    </cfRule>
  </conditionalFormatting>
  <conditionalFormatting sqref="Y876:Y880 Y887 Y894 Y901:Y902 Y909 Y916 Y923 Y930 Y937">
    <cfRule type="cellIs" dxfId="46" priority="50" stopIfTrue="1" operator="notEqual">
      <formula>""</formula>
    </cfRule>
  </conditionalFormatting>
  <conditionalFormatting sqref="Y874">
    <cfRule type="cellIs" dxfId="45" priority="49" stopIfTrue="1" operator="notEqual">
      <formula>""</formula>
    </cfRule>
  </conditionalFormatting>
  <conditionalFormatting sqref="Y883">
    <cfRule type="cellIs" dxfId="44" priority="48" stopIfTrue="1" operator="notEqual">
      <formula>""</formula>
    </cfRule>
  </conditionalFormatting>
  <conditionalFormatting sqref="Y882">
    <cfRule type="cellIs" dxfId="43" priority="47" stopIfTrue="1" operator="notEqual">
      <formula>""</formula>
    </cfRule>
  </conditionalFormatting>
  <conditionalFormatting sqref="Y883:Y886">
    <cfRule type="cellIs" dxfId="42" priority="46" stopIfTrue="1" operator="notEqual">
      <formula>""</formula>
    </cfRule>
  </conditionalFormatting>
  <conditionalFormatting sqref="Y881">
    <cfRule type="cellIs" dxfId="41" priority="45" stopIfTrue="1" operator="notEqual">
      <formula>""</formula>
    </cfRule>
  </conditionalFormatting>
  <conditionalFormatting sqref="Y890">
    <cfRule type="cellIs" dxfId="40" priority="44" stopIfTrue="1" operator="notEqual">
      <formula>""</formula>
    </cfRule>
  </conditionalFormatting>
  <conditionalFormatting sqref="Y889">
    <cfRule type="cellIs" dxfId="39" priority="43" stopIfTrue="1" operator="notEqual">
      <formula>""</formula>
    </cfRule>
  </conditionalFormatting>
  <conditionalFormatting sqref="Y890:Y893">
    <cfRule type="cellIs" dxfId="38" priority="42" stopIfTrue="1" operator="notEqual">
      <formula>""</formula>
    </cfRule>
  </conditionalFormatting>
  <conditionalFormatting sqref="Y888">
    <cfRule type="cellIs" dxfId="37" priority="41" stopIfTrue="1" operator="notEqual">
      <formula>""</formula>
    </cfRule>
  </conditionalFormatting>
  <conditionalFormatting sqref="Y912">
    <cfRule type="cellIs" dxfId="36" priority="32" stopIfTrue="1" operator="notEqual">
      <formula>""</formula>
    </cfRule>
  </conditionalFormatting>
  <conditionalFormatting sqref="Y896">
    <cfRule type="cellIs" dxfId="35" priority="39" stopIfTrue="1" operator="notEqual">
      <formula>""</formula>
    </cfRule>
  </conditionalFormatting>
  <conditionalFormatting sqref="Y897:Y900">
    <cfRule type="cellIs" dxfId="34" priority="38" stopIfTrue="1" operator="notEqual">
      <formula>""</formula>
    </cfRule>
  </conditionalFormatting>
  <conditionalFormatting sqref="Y905">
    <cfRule type="cellIs" dxfId="33" priority="36" stopIfTrue="1" operator="notEqual">
      <formula>""</formula>
    </cfRule>
  </conditionalFormatting>
  <conditionalFormatting sqref="Y904">
    <cfRule type="cellIs" dxfId="32" priority="35" stopIfTrue="1" operator="notEqual">
      <formula>""</formula>
    </cfRule>
  </conditionalFormatting>
  <conditionalFormatting sqref="Y905:Y908">
    <cfRule type="cellIs" dxfId="31" priority="34" stopIfTrue="1" operator="notEqual">
      <formula>""</formula>
    </cfRule>
  </conditionalFormatting>
  <conditionalFormatting sqref="Y903">
    <cfRule type="cellIs" dxfId="30" priority="33" stopIfTrue="1" operator="notEqual">
      <formula>""</formula>
    </cfRule>
  </conditionalFormatting>
  <conditionalFormatting sqref="Y911">
    <cfRule type="cellIs" dxfId="29" priority="31" stopIfTrue="1" operator="notEqual">
      <formula>""</formula>
    </cfRule>
  </conditionalFormatting>
  <conditionalFormatting sqref="Y912:Y915">
    <cfRule type="cellIs" dxfId="28" priority="30" stopIfTrue="1" operator="notEqual">
      <formula>""</formula>
    </cfRule>
  </conditionalFormatting>
  <conditionalFormatting sqref="Y919">
    <cfRule type="cellIs" dxfId="27" priority="28" stopIfTrue="1" operator="notEqual">
      <formula>""</formula>
    </cfRule>
  </conditionalFormatting>
  <conditionalFormatting sqref="Y918">
    <cfRule type="cellIs" dxfId="26" priority="27" stopIfTrue="1" operator="notEqual">
      <formula>""</formula>
    </cfRule>
  </conditionalFormatting>
  <conditionalFormatting sqref="Y919:Y922">
    <cfRule type="cellIs" dxfId="25" priority="26" stopIfTrue="1" operator="notEqual">
      <formula>""</formula>
    </cfRule>
  </conditionalFormatting>
  <conditionalFormatting sqref="Y910">
    <cfRule type="cellIs" dxfId="24" priority="24" stopIfTrue="1" operator="notEqual">
      <formula>""</formula>
    </cfRule>
  </conditionalFormatting>
  <conditionalFormatting sqref="Y917">
    <cfRule type="cellIs" dxfId="23" priority="23" stopIfTrue="1" operator="notEqual">
      <formula>""</formula>
    </cfRule>
  </conditionalFormatting>
  <conditionalFormatting sqref="Y926">
    <cfRule type="cellIs" dxfId="22" priority="22" stopIfTrue="1" operator="notEqual">
      <formula>""</formula>
    </cfRule>
  </conditionalFormatting>
  <conditionalFormatting sqref="Y925">
    <cfRule type="cellIs" dxfId="21" priority="21" stopIfTrue="1" operator="notEqual">
      <formula>""</formula>
    </cfRule>
  </conditionalFormatting>
  <conditionalFormatting sqref="Y926:Y929">
    <cfRule type="cellIs" dxfId="20" priority="20" stopIfTrue="1" operator="notEqual">
      <formula>""</formula>
    </cfRule>
  </conditionalFormatting>
  <conditionalFormatting sqref="Y924">
    <cfRule type="cellIs" dxfId="19" priority="19" stopIfTrue="1" operator="notEqual">
      <formula>""</formula>
    </cfRule>
  </conditionalFormatting>
  <conditionalFormatting sqref="Y933">
    <cfRule type="cellIs" dxfId="18" priority="18" stopIfTrue="1" operator="notEqual">
      <formula>""</formula>
    </cfRule>
  </conditionalFormatting>
  <conditionalFormatting sqref="Y932">
    <cfRule type="cellIs" dxfId="17" priority="17" stopIfTrue="1" operator="notEqual">
      <formula>""</formula>
    </cfRule>
  </conditionalFormatting>
  <conditionalFormatting sqref="Y933:Y936">
    <cfRule type="cellIs" dxfId="16" priority="16" stopIfTrue="1" operator="notEqual">
      <formula>""</formula>
    </cfRule>
  </conditionalFormatting>
  <conditionalFormatting sqref="Y931">
    <cfRule type="cellIs" dxfId="15" priority="15" stopIfTrue="1" operator="notEqual">
      <formula>""</formula>
    </cfRule>
  </conditionalFormatting>
  <conditionalFormatting sqref="Y940">
    <cfRule type="cellIs" dxfId="14" priority="14" stopIfTrue="1" operator="notEqual">
      <formula>""</formula>
    </cfRule>
  </conditionalFormatting>
  <conditionalFormatting sqref="Y939">
    <cfRule type="cellIs" dxfId="13" priority="13" stopIfTrue="1" operator="notEqual">
      <formula>""</formula>
    </cfRule>
  </conditionalFormatting>
  <conditionalFormatting sqref="Y940:Y944">
    <cfRule type="cellIs" dxfId="12" priority="12" stopIfTrue="1" operator="notEqual">
      <formula>""</formula>
    </cfRule>
  </conditionalFormatting>
  <conditionalFormatting sqref="Y938">
    <cfRule type="cellIs" dxfId="11" priority="11" stopIfTrue="1" operator="notEqual">
      <formula>""</formula>
    </cfRule>
  </conditionalFormatting>
  <conditionalFormatting sqref="Y784">
    <cfRule type="cellIs" dxfId="10" priority="8" stopIfTrue="1" operator="notEqual">
      <formula>""</formula>
    </cfRule>
  </conditionalFormatting>
  <conditionalFormatting sqref="Y661">
    <cfRule type="cellIs" dxfId="9" priority="6" stopIfTrue="1" operator="notEqual">
      <formula>""</formula>
    </cfRule>
  </conditionalFormatting>
  <conditionalFormatting sqref="Y945">
    <cfRule type="cellIs" dxfId="8" priority="5" stopIfTrue="1" operator="notEqual">
      <formula>""</formula>
    </cfRule>
  </conditionalFormatting>
  <conditionalFormatting sqref="Y948">
    <cfRule type="cellIs" dxfId="7" priority="4" stopIfTrue="1" operator="notEqual">
      <formula>""</formula>
    </cfRule>
  </conditionalFormatting>
  <conditionalFormatting sqref="Y947">
    <cfRule type="cellIs" dxfId="6" priority="3" stopIfTrue="1" operator="notEqual">
      <formula>""</formula>
    </cfRule>
  </conditionalFormatting>
  <conditionalFormatting sqref="Y948:Y951">
    <cfRule type="cellIs" dxfId="5" priority="2" stopIfTrue="1" operator="notEqual">
      <formula>""</formula>
    </cfRule>
  </conditionalFormatting>
  <conditionalFormatting sqref="Y946">
    <cfRule type="cellIs" dxfId="4" priority="1" stopIfTrue="1" operator="notEqual">
      <formula>""</formula>
    </cfRule>
  </conditionalFormatting>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3" min="5" max="21" man="1"/>
    <brk id="808" min="5" max="21" man="1"/>
    <brk id="858" min="5" max="21" man="1"/>
    <brk id="901" min="5" max="21" man="1"/>
    <brk id="951" max="16383" man="1"/>
  </rowBreaks>
  <colBreaks count="1" manualBreakCount="1">
    <brk id="13"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1"/>
  <sheetViews>
    <sheetView view="pageBreakPreview" topLeftCell="A51" zoomScale="130" zoomScaleNormal="100" zoomScaleSheetLayoutView="130" workbookViewId="0">
      <pane xSplit="1" topLeftCell="B1" activePane="topRight" state="frozen"/>
      <selection activeCell="A46" sqref="A46"/>
      <selection pane="topRight" activeCell="A46" sqref="A46"/>
    </sheetView>
  </sheetViews>
  <sheetFormatPr defaultRowHeight="15" x14ac:dyDescent="0.25"/>
  <cols>
    <col min="1" max="1" width="48.140625" bestFit="1" customWidth="1"/>
    <col min="2" max="2" width="4.28515625" customWidth="1"/>
    <col min="3" max="3" width="19" style="181" customWidth="1"/>
    <col min="4" max="4" width="19.5703125" style="181" customWidth="1"/>
    <col min="5" max="5" width="18" style="181" customWidth="1"/>
    <col min="6" max="6" width="18.85546875" style="182" customWidth="1"/>
    <col min="7" max="7" width="15.140625" customWidth="1"/>
    <col min="8" max="8" width="20" style="2" hidden="1" customWidth="1"/>
    <col min="9" max="9" width="14" style="2" hidden="1" customWidth="1"/>
    <col min="10" max="10" width="1.5703125" style="2" customWidth="1"/>
    <col min="11" max="11" width="5.5703125" style="2" customWidth="1"/>
    <col min="12" max="12" width="4.28515625" customWidth="1"/>
    <col min="13" max="13" width="28.140625" style="2" customWidth="1"/>
    <col min="14" max="15" width="15.5703125" style="2" customWidth="1"/>
    <col min="16" max="16" width="15.5703125" customWidth="1"/>
  </cols>
  <sheetData>
    <row r="1" spans="1:16" ht="17.45" hidden="1" customHeight="1" x14ac:dyDescent="0.3">
      <c r="A1" s="4" t="s">
        <v>1361</v>
      </c>
    </row>
    <row r="2" spans="1:16" ht="14.1" hidden="1" customHeight="1" x14ac:dyDescent="0.25">
      <c r="A2" s="389" t="s">
        <v>2109</v>
      </c>
      <c r="C2" s="466"/>
      <c r="D2" s="466"/>
      <c r="E2" s="466"/>
      <c r="F2" s="466"/>
      <c r="H2" s="467"/>
      <c r="I2" s="467"/>
      <c r="J2" s="467"/>
      <c r="K2" s="467"/>
      <c r="M2" s="518"/>
      <c r="N2" s="518"/>
      <c r="O2" s="518"/>
      <c r="P2" s="518"/>
    </row>
    <row r="3" spans="1:16" ht="14.1" hidden="1" customHeight="1" x14ac:dyDescent="0.25">
      <c r="A3" s="389"/>
      <c r="B3" s="468"/>
      <c r="K3" s="182"/>
      <c r="P3" s="182"/>
    </row>
    <row r="4" spans="1:16" ht="14.1" hidden="1" customHeight="1" x14ac:dyDescent="0.25">
      <c r="A4" s="389"/>
      <c r="B4" s="468"/>
      <c r="D4" s="469" t="s">
        <v>2110</v>
      </c>
      <c r="E4" s="469" t="s">
        <v>2111</v>
      </c>
      <c r="F4" s="183"/>
      <c r="G4" s="184"/>
      <c r="K4" s="182"/>
      <c r="P4" s="182"/>
    </row>
    <row r="5" spans="1:16" ht="14.45" hidden="1" customHeight="1" thickBot="1" x14ac:dyDescent="0.3">
      <c r="A5" s="470"/>
      <c r="B5" s="471"/>
      <c r="C5" s="447" t="s">
        <v>438</v>
      </c>
      <c r="D5" s="447" t="s">
        <v>2112</v>
      </c>
      <c r="E5" s="447" t="s">
        <v>2113</v>
      </c>
      <c r="F5" s="472" t="s">
        <v>181</v>
      </c>
      <c r="G5" s="447" t="s">
        <v>2114</v>
      </c>
      <c r="K5" s="182"/>
      <c r="P5" s="182"/>
    </row>
    <row r="6" spans="1:16" ht="14.1" hidden="1" customHeight="1" x14ac:dyDescent="0.25">
      <c r="A6" s="389"/>
      <c r="B6" s="468"/>
      <c r="K6" s="182"/>
      <c r="P6" s="182"/>
    </row>
    <row r="7" spans="1:16" ht="14.1" hidden="1" customHeight="1" x14ac:dyDescent="0.25">
      <c r="A7" s="38" t="s">
        <v>2115</v>
      </c>
      <c r="B7" s="468"/>
      <c r="C7" s="185">
        <f>'WSS-31'!G669</f>
        <v>633400014.8569392</v>
      </c>
      <c r="D7" s="185">
        <f>'WSS-31'!G684</f>
        <v>560230138.22008276</v>
      </c>
      <c r="E7" s="185">
        <f t="shared" ref="E7:E21" si="0">C7-D7</f>
        <v>73169876.636856437</v>
      </c>
      <c r="F7" s="185">
        <f>'WSS-31'!G688</f>
        <v>2457262896.4775939</v>
      </c>
      <c r="G7" s="186">
        <f t="shared" ref="G7:G22" si="1">E7/F7</f>
        <v>2.9776983464709073E-2</v>
      </c>
      <c r="K7" s="182"/>
      <c r="P7" s="182"/>
    </row>
    <row r="8" spans="1:16" ht="14.1" hidden="1" customHeight="1" x14ac:dyDescent="0.25">
      <c r="A8" s="38" t="s">
        <v>2187</v>
      </c>
      <c r="B8" s="468"/>
      <c r="C8" s="2">
        <f>'WSS-31'!H669</f>
        <v>229949159.9130367</v>
      </c>
      <c r="D8" s="2">
        <f>'WSS-31'!H684</f>
        <v>160446588.95602965</v>
      </c>
      <c r="E8" s="2">
        <f t="shared" si="0"/>
        <v>69502570.957007051</v>
      </c>
      <c r="F8" s="2">
        <f>'WSS-31'!H688</f>
        <v>610215074.31991637</v>
      </c>
      <c r="G8" s="186">
        <f t="shared" si="1"/>
        <v>0.11389848248909214</v>
      </c>
      <c r="K8" s="182"/>
      <c r="P8" s="182"/>
    </row>
    <row r="9" spans="1:16" ht="14.1" hidden="1" customHeight="1" x14ac:dyDescent="0.25">
      <c r="A9" s="38" t="s">
        <v>2120</v>
      </c>
      <c r="B9" s="468"/>
      <c r="C9" s="2">
        <f>'WSS-31'!I669</f>
        <v>12341222.890285712</v>
      </c>
      <c r="D9" s="2">
        <f>'WSS-31'!I684</f>
        <v>9928403.9837924019</v>
      </c>
      <c r="E9" s="2">
        <f t="shared" si="0"/>
        <v>2412818.9064933099</v>
      </c>
      <c r="F9" s="2">
        <f>'WSS-31'!I688</f>
        <v>38745077.376713946</v>
      </c>
      <c r="G9" s="186">
        <f t="shared" si="1"/>
        <v>6.2274205392177907E-2</v>
      </c>
      <c r="K9" s="182"/>
      <c r="P9" s="182"/>
    </row>
    <row r="10" spans="1:16" ht="14.1" hidden="1" customHeight="1" x14ac:dyDescent="0.25">
      <c r="A10" s="38" t="s">
        <v>2117</v>
      </c>
      <c r="C10" s="2">
        <f>'WSS-31'!J669</f>
        <v>174079626.8189258</v>
      </c>
      <c r="D10" s="2">
        <f>'WSS-31'!J684</f>
        <v>126512608.87163866</v>
      </c>
      <c r="E10" s="2">
        <f t="shared" si="0"/>
        <v>47567017.947287142</v>
      </c>
      <c r="F10" s="2">
        <f>'WSS-31'!J688</f>
        <v>458917674.33772969</v>
      </c>
      <c r="G10" s="186">
        <f t="shared" si="1"/>
        <v>0.10365043799180702</v>
      </c>
    </row>
    <row r="11" spans="1:16" ht="14.1" hidden="1" customHeight="1" x14ac:dyDescent="0.25">
      <c r="A11" s="38" t="s">
        <v>2116</v>
      </c>
      <c r="C11" s="2">
        <f>'WSS-31'!K669</f>
        <v>9618615.2518069074</v>
      </c>
      <c r="D11" s="2">
        <f>'WSS-31'!K684</f>
        <v>5972385.2009101193</v>
      </c>
      <c r="E11" s="2">
        <f t="shared" si="0"/>
        <v>3646230.050896788</v>
      </c>
      <c r="F11" s="2">
        <f>'WSS-31'!K688</f>
        <v>19889476.254637145</v>
      </c>
      <c r="G11" s="186">
        <f t="shared" si="1"/>
        <v>0.18332458855203315</v>
      </c>
    </row>
    <row r="12" spans="1:16" ht="14.1" hidden="1" customHeight="1" x14ac:dyDescent="0.25">
      <c r="A12" s="38" t="s">
        <v>2127</v>
      </c>
      <c r="C12" s="2">
        <f>'WSS-31'!L669</f>
        <v>137919297.65202624</v>
      </c>
      <c r="D12" s="2">
        <f>'WSS-31'!L684</f>
        <v>119280161.85697523</v>
      </c>
      <c r="E12" s="2">
        <f t="shared" si="0"/>
        <v>18639135.795051008</v>
      </c>
      <c r="F12" s="2">
        <f>'WSS-31'!L688</f>
        <v>424876670.28377599</v>
      </c>
      <c r="G12" s="186">
        <f t="shared" si="1"/>
        <v>4.386952049544611E-2</v>
      </c>
    </row>
    <row r="13" spans="1:16" ht="14.1" hidden="1" customHeight="1" x14ac:dyDescent="0.25">
      <c r="A13" s="38" t="s">
        <v>2126</v>
      </c>
      <c r="B13" s="468"/>
      <c r="C13" s="2">
        <f>'WSS-31'!M669</f>
        <v>255962115.89645705</v>
      </c>
      <c r="D13" s="2">
        <f>'WSS-31'!M684</f>
        <v>229885315.84461659</v>
      </c>
      <c r="E13" s="2">
        <f t="shared" si="0"/>
        <v>26076800.051840454</v>
      </c>
      <c r="F13" s="2">
        <f>'WSS-31'!M688</f>
        <v>740522922.29555535</v>
      </c>
      <c r="G13" s="186">
        <f t="shared" si="1"/>
        <v>3.5214034929539638E-2</v>
      </c>
    </row>
    <row r="14" spans="1:16" ht="14.1" hidden="1" customHeight="1" x14ac:dyDescent="0.25">
      <c r="A14" s="38" t="s">
        <v>2121</v>
      </c>
      <c r="B14" s="468"/>
      <c r="C14" s="2">
        <f>'WSS-31'!N669</f>
        <v>81116611.522509634</v>
      </c>
      <c r="D14" s="2">
        <f>'WSS-31'!N684</f>
        <v>75435869.019402474</v>
      </c>
      <c r="E14" s="2">
        <f t="shared" si="0"/>
        <v>5680742.5031071603</v>
      </c>
      <c r="F14" s="2">
        <f>'WSS-31'!N688</f>
        <v>225552348.81659499</v>
      </c>
      <c r="G14" s="186">
        <f t="shared" si="1"/>
        <v>2.5185915965461231E-2</v>
      </c>
    </row>
    <row r="15" spans="1:16" ht="14.1" hidden="1" customHeight="1" x14ac:dyDescent="0.25">
      <c r="A15" s="38" t="s">
        <v>2122</v>
      </c>
      <c r="B15" s="468"/>
      <c r="C15" s="2">
        <f>'WSS-31'!O669</f>
        <v>20036620.046286609</v>
      </c>
      <c r="D15" s="2">
        <f>'WSS-31'!O684</f>
        <v>30922188.922010262</v>
      </c>
      <c r="E15" s="2">
        <f t="shared" si="0"/>
        <v>-10885568.875723653</v>
      </c>
      <c r="F15" s="2">
        <f>'WSS-31'!O688</f>
        <v>104343933.18818319</v>
      </c>
      <c r="G15" s="186">
        <f t="shared" si="1"/>
        <v>-0.10432392706619217</v>
      </c>
    </row>
    <row r="16" spans="1:16" ht="14.1" hidden="1" customHeight="1" x14ac:dyDescent="0.25">
      <c r="A16" s="38" t="s">
        <v>2465</v>
      </c>
      <c r="B16" s="468"/>
      <c r="C16" s="2">
        <f>'WSS-31'!P669</f>
        <v>30869091.598854687</v>
      </c>
      <c r="D16" s="2">
        <f>'WSS-31'!P684</f>
        <v>16899039.285157599</v>
      </c>
      <c r="E16" s="2">
        <f t="shared" si="0"/>
        <v>13970052.313697089</v>
      </c>
      <c r="F16" s="2">
        <f>'WSS-31'!P688</f>
        <v>113343713.20751949</v>
      </c>
      <c r="G16" s="186">
        <f t="shared" si="1"/>
        <v>0.12325387900535345</v>
      </c>
    </row>
    <row r="17" spans="1:16" ht="14.1" hidden="1" customHeight="1" x14ac:dyDescent="0.25">
      <c r="A17" s="38" t="s">
        <v>2123</v>
      </c>
      <c r="B17" s="468"/>
      <c r="C17" s="2">
        <f>'WSS-31'!Q669</f>
        <v>316350.95104675705</v>
      </c>
      <c r="D17" s="2">
        <f>'WSS-31'!Q684</f>
        <v>204388.39602160803</v>
      </c>
      <c r="E17" s="2">
        <f t="shared" si="0"/>
        <v>111962.55502514902</v>
      </c>
      <c r="F17" s="2">
        <f>'WSS-31'!Q688</f>
        <v>398777.2411763831</v>
      </c>
      <c r="G17" s="186">
        <f t="shared" si="1"/>
        <v>0.2807646562147384</v>
      </c>
    </row>
    <row r="18" spans="1:16" ht="14.1" hidden="1" customHeight="1" x14ac:dyDescent="0.25">
      <c r="A18" s="38" t="s">
        <v>2343</v>
      </c>
      <c r="C18" s="2">
        <f>'WSS-31'!R669</f>
        <v>274796.40865158051</v>
      </c>
      <c r="D18" s="2">
        <f>'WSS-31'!R684</f>
        <v>196768.31480497541</v>
      </c>
      <c r="E18" s="2">
        <f t="shared" si="0"/>
        <v>78028.093846605101</v>
      </c>
      <c r="F18" s="2">
        <f>'WSS-31'!R688</f>
        <v>615337.83011701179</v>
      </c>
      <c r="G18" s="186">
        <f t="shared" si="1"/>
        <v>0.12680529300752952</v>
      </c>
    </row>
    <row r="19" spans="1:16" ht="14.1" hidden="1" customHeight="1" x14ac:dyDescent="0.25">
      <c r="A19" s="38" t="s">
        <v>2346</v>
      </c>
      <c r="C19" s="2">
        <f>'WSS-31'!S669</f>
        <v>95109.026991814608</v>
      </c>
      <c r="D19" s="2">
        <f>'WSS-31'!S684</f>
        <v>41918.774425781819</v>
      </c>
      <c r="E19" s="2">
        <f t="shared" si="0"/>
        <v>53190.252566032788</v>
      </c>
      <c r="F19" s="2">
        <f>'WSS-31'!S688</f>
        <v>174679.19030271503</v>
      </c>
      <c r="G19" s="186">
        <f t="shared" si="1"/>
        <v>0.30450251385900806</v>
      </c>
    </row>
    <row r="20" spans="1:16" ht="14.1" hidden="1" customHeight="1" x14ac:dyDescent="0.25">
      <c r="A20" s="38" t="s">
        <v>2344</v>
      </c>
      <c r="C20" s="2">
        <f>'WSS-31'!T669</f>
        <v>6746.4882960847026</v>
      </c>
      <c r="D20" s="2">
        <f>'WSS-31'!T684</f>
        <v>35244.573081736955</v>
      </c>
      <c r="E20" s="2">
        <f t="shared" si="0"/>
        <v>-28498.084785652252</v>
      </c>
      <c r="F20" s="2">
        <f>'WSS-31'!T688</f>
        <v>105538.72018323612</v>
      </c>
      <c r="G20" s="186">
        <f t="shared" si="1"/>
        <v>-0.27002492294935865</v>
      </c>
    </row>
    <row r="21" spans="1:16" ht="14.1" hidden="1" customHeight="1" x14ac:dyDescent="0.25">
      <c r="A21" s="188" t="s">
        <v>2345</v>
      </c>
      <c r="B21" s="137"/>
      <c r="C21" s="189">
        <f>'WSS-31'!U669</f>
        <v>162504.0000000002</v>
      </c>
      <c r="D21" s="189">
        <f>'WSS-31'!U684</f>
        <v>196302.7753636514</v>
      </c>
      <c r="E21" s="189">
        <f t="shared" si="0"/>
        <v>-33798.775363651192</v>
      </c>
      <c r="F21" s="189">
        <f>'WSS-31'!U688</f>
        <v>2576969.3631635425</v>
      </c>
      <c r="G21" s="190">
        <f t="shared" si="1"/>
        <v>-1.3115707096400671E-2</v>
      </c>
    </row>
    <row r="22" spans="1:16" ht="14.1" hidden="1" customHeight="1" x14ac:dyDescent="0.25">
      <c r="C22" s="2">
        <f>SUM(C7:C21)</f>
        <v>1586147883.3221147</v>
      </c>
      <c r="D22" s="2">
        <f>SUM(D7:D15)</f>
        <v>1318613660.875458</v>
      </c>
      <c r="E22" s="2">
        <f>SUM(E7:E15)</f>
        <v>235809623.97281569</v>
      </c>
      <c r="F22" s="2">
        <f>SUM(F7:F15)</f>
        <v>5080326073.3506994</v>
      </c>
      <c r="G22" s="186">
        <f t="shared" si="1"/>
        <v>4.6416237967435985E-2</v>
      </c>
    </row>
    <row r="23" spans="1:16" ht="14.1" hidden="1" customHeight="1" x14ac:dyDescent="0.25">
      <c r="B23" s="468"/>
      <c r="E23" s="185"/>
      <c r="F23" s="2"/>
      <c r="G23" s="186"/>
    </row>
    <row r="24" spans="1:16" ht="15.75" thickBot="1" x14ac:dyDescent="0.3">
      <c r="B24" s="468"/>
    </row>
    <row r="25" spans="1:16" ht="19.5" thickBot="1" x14ac:dyDescent="0.35">
      <c r="A25" s="519" t="s">
        <v>1361</v>
      </c>
      <c r="B25" s="520"/>
      <c r="C25" s="520"/>
      <c r="D25" s="520"/>
      <c r="E25" s="520"/>
      <c r="F25" s="520"/>
      <c r="G25" s="520"/>
      <c r="H25" s="520"/>
      <c r="I25" s="521"/>
      <c r="M25" s="389" t="s">
        <v>2118</v>
      </c>
    </row>
    <row r="26" spans="1:16" x14ac:dyDescent="0.25">
      <c r="G26" s="169" t="s">
        <v>2478</v>
      </c>
      <c r="H26"/>
      <c r="I26" s="169" t="s">
        <v>2481</v>
      </c>
      <c r="J26" s="448"/>
    </row>
    <row r="27" spans="1:16" x14ac:dyDescent="0.25">
      <c r="A27" s="389"/>
      <c r="B27" s="468"/>
      <c r="D27" s="469" t="s">
        <v>2110</v>
      </c>
      <c r="E27" s="469" t="s">
        <v>2111</v>
      </c>
      <c r="F27" s="183"/>
      <c r="G27" s="169" t="s">
        <v>421</v>
      </c>
      <c r="H27" s="469" t="s">
        <v>2481</v>
      </c>
      <c r="I27" s="169" t="s">
        <v>421</v>
      </c>
      <c r="J27" s="469"/>
      <c r="K27" s="182"/>
      <c r="P27" s="182"/>
    </row>
    <row r="28" spans="1:16" ht="15.75" thickBot="1" x14ac:dyDescent="0.3">
      <c r="A28" s="470"/>
      <c r="B28" s="471"/>
      <c r="C28" s="447" t="s">
        <v>438</v>
      </c>
      <c r="D28" s="447" t="s">
        <v>2112</v>
      </c>
      <c r="E28" s="447" t="s">
        <v>2113</v>
      </c>
      <c r="F28" s="472" t="s">
        <v>181</v>
      </c>
      <c r="G28" s="447" t="s">
        <v>2479</v>
      </c>
      <c r="H28" s="447" t="s">
        <v>2482</v>
      </c>
      <c r="I28" s="447" t="s">
        <v>2479</v>
      </c>
      <c r="J28" s="447"/>
      <c r="K28" s="182"/>
      <c r="P28" s="182"/>
    </row>
    <row r="29" spans="1:16" x14ac:dyDescent="0.25">
      <c r="A29" s="389"/>
      <c r="B29" s="468"/>
      <c r="K29" s="182"/>
      <c r="P29" s="182"/>
    </row>
    <row r="30" spans="1:16" x14ac:dyDescent="0.25">
      <c r="A30" s="38" t="s">
        <v>2115</v>
      </c>
      <c r="B30" s="468"/>
      <c r="C30" s="185">
        <f>'WSS-31'!G725</f>
        <v>633400014.8569392</v>
      </c>
      <c r="D30" s="185">
        <f>'WSS-31'!G748</f>
        <v>567877412.19546735</v>
      </c>
      <c r="E30" s="185">
        <f t="shared" ref="E30:E45" si="2">C30-D30</f>
        <v>65522602.661471844</v>
      </c>
      <c r="F30" s="185">
        <f>'WSS-31'!G756</f>
        <v>2457262896.4775939</v>
      </c>
      <c r="G30" s="186">
        <f t="shared" ref="G30:G46" si="3">E30/F30</f>
        <v>2.6664872836926139E-2</v>
      </c>
      <c r="H30" s="186">
        <f>'WSS-31'!G781/622450115</f>
        <v>0.10956101437944148</v>
      </c>
      <c r="I30" s="186">
        <f>G55</f>
        <v>4.7396174016758205E-2</v>
      </c>
      <c r="J30" s="186"/>
      <c r="K30" s="182"/>
      <c r="M30" s="465"/>
      <c r="P30" s="182"/>
    </row>
    <row r="31" spans="1:16" x14ac:dyDescent="0.25">
      <c r="A31" s="38" t="s">
        <v>2187</v>
      </c>
      <c r="B31" s="468"/>
      <c r="C31" s="2">
        <f>'WSS-31'!H725</f>
        <v>229949159.9130367</v>
      </c>
      <c r="D31" s="2">
        <f>'WSS-31'!H748</f>
        <v>162506339.3049964</v>
      </c>
      <c r="E31" s="2">
        <f t="shared" si="2"/>
        <v>67442820.608040303</v>
      </c>
      <c r="F31" s="2">
        <f>'WSS-31'!H756</f>
        <v>610215074.31991637</v>
      </c>
      <c r="G31" s="186">
        <f t="shared" si="3"/>
        <v>0.11052303269171973</v>
      </c>
      <c r="H31" s="186">
        <f>'WSS-31'!H781/236178596</f>
        <v>0.11319799275968259</v>
      </c>
      <c r="I31" s="186">
        <f>G56</f>
        <v>0.14332087756035061</v>
      </c>
      <c r="J31" s="186"/>
      <c r="K31" s="186"/>
      <c r="M31" s="413" t="s">
        <v>2547</v>
      </c>
      <c r="N31" s="278">
        <f>SUM(E30:E38)/SUM(F30:F38)</f>
        <v>4.6417236806568472E-2</v>
      </c>
      <c r="O31" s="2" t="s">
        <v>2552</v>
      </c>
      <c r="P31" s="182"/>
    </row>
    <row r="32" spans="1:16" x14ac:dyDescent="0.25">
      <c r="A32" s="38" t="s">
        <v>2120</v>
      </c>
      <c r="B32" s="468"/>
      <c r="C32" s="2">
        <f>'WSS-31'!I725</f>
        <v>12341222.890285712</v>
      </c>
      <c r="D32" s="2">
        <f>'WSS-31'!I748</f>
        <v>10060572.537232244</v>
      </c>
      <c r="E32" s="2">
        <f t="shared" si="2"/>
        <v>2280650.3530534673</v>
      </c>
      <c r="F32" s="2">
        <f>'WSS-31'!I756</f>
        <v>38745077.376713946</v>
      </c>
      <c r="G32" s="186">
        <f t="shared" si="3"/>
        <v>5.8862970665381965E-2</v>
      </c>
      <c r="H32" s="186">
        <f>'WSS-31'!I781/12903301</f>
        <v>0.11267116840876609</v>
      </c>
      <c r="I32" s="186">
        <f>G57</f>
        <v>8.722272898225715E-2</v>
      </c>
      <c r="J32" s="186"/>
      <c r="K32" s="186"/>
      <c r="M32" s="413" t="s">
        <v>2548</v>
      </c>
      <c r="N32" s="278">
        <f>SUM(E39:E41)/SUM(F39:F41)</f>
        <v>0.12377986074190227</v>
      </c>
      <c r="O32" s="2" t="s">
        <v>2550</v>
      </c>
      <c r="P32" s="182"/>
    </row>
    <row r="33" spans="1:16" x14ac:dyDescent="0.25">
      <c r="A33" s="38" t="s">
        <v>2341</v>
      </c>
      <c r="B33" s="468"/>
      <c r="C33" s="2">
        <f>'WSS-31'!J725</f>
        <v>174079626.8189258</v>
      </c>
      <c r="D33" s="2">
        <f>'WSS-31'!J748</f>
        <v>128433408.52044</v>
      </c>
      <c r="E33" s="2">
        <f t="shared" si="2"/>
        <v>45646218.298485801</v>
      </c>
      <c r="F33" s="2">
        <f>'WSS-31'!J756</f>
        <v>458917674.33772969</v>
      </c>
      <c r="G33" s="186">
        <f t="shared" si="3"/>
        <v>9.9464938595704502E-2</v>
      </c>
      <c r="H33" s="186"/>
      <c r="I33" s="186"/>
      <c r="J33" s="186"/>
      <c r="K33" s="186"/>
      <c r="M33" s="413" t="s">
        <v>2549</v>
      </c>
      <c r="N33" s="278">
        <f>G41</f>
        <v>0.12393261554822456</v>
      </c>
      <c r="O33" s="2" t="s">
        <v>2551</v>
      </c>
      <c r="P33" s="182"/>
    </row>
    <row r="34" spans="1:16" x14ac:dyDescent="0.25">
      <c r="A34" s="38" t="s">
        <v>2340</v>
      </c>
      <c r="C34" s="2">
        <f>'WSS-31'!K725</f>
        <v>9618615.2518069074</v>
      </c>
      <c r="D34" s="2">
        <f>'WSS-31'!K748</f>
        <v>6055834.6905206563</v>
      </c>
      <c r="E34" s="2">
        <f t="shared" si="2"/>
        <v>3562780.5612862511</v>
      </c>
      <c r="F34" s="2">
        <f>'WSS-31'!K756</f>
        <v>19889476.254637145</v>
      </c>
      <c r="G34" s="186">
        <f t="shared" si="3"/>
        <v>0.17912892806594666</v>
      </c>
      <c r="H34" s="186">
        <f>'WSS-31'!J781/170824745</f>
        <v>0.10860858595164301</v>
      </c>
      <c r="I34" s="186">
        <f>G58</f>
        <v>0.12995342034112711</v>
      </c>
      <c r="J34" s="186"/>
      <c r="K34" s="186"/>
      <c r="M34" s="413"/>
      <c r="N34" s="278"/>
    </row>
    <row r="35" spans="1:16" x14ac:dyDescent="0.25">
      <c r="A35" s="38" t="s">
        <v>2127</v>
      </c>
      <c r="C35" s="2">
        <f>'WSS-31'!L725</f>
        <v>137919297.65202624</v>
      </c>
      <c r="D35" s="2">
        <f>'WSS-31'!L748</f>
        <v>121127445.76171796</v>
      </c>
      <c r="E35" s="2">
        <f t="shared" si="2"/>
        <v>16791851.890308276</v>
      </c>
      <c r="F35" s="2">
        <f>'WSS-31'!L756</f>
        <v>424876670.28377599</v>
      </c>
      <c r="G35" s="186">
        <f t="shared" si="3"/>
        <v>3.9521708450343869E-2</v>
      </c>
      <c r="H35" s="186">
        <f>'WSS-31'!L781/137177942</f>
        <v>0.10592772998446062</v>
      </c>
      <c r="I35" s="186">
        <f t="shared" ref="I35:I43" si="4">G60</f>
        <v>6.5111783611545695E-2</v>
      </c>
      <c r="J35" s="186"/>
      <c r="K35" s="186"/>
      <c r="M35" s="413"/>
      <c r="N35" s="278"/>
    </row>
    <row r="36" spans="1:16" x14ac:dyDescent="0.25">
      <c r="A36" s="38" t="s">
        <v>2126</v>
      </c>
      <c r="B36" s="468"/>
      <c r="C36" s="2">
        <f>'WSS-31'!M725</f>
        <v>255962115.89645705</v>
      </c>
      <c r="D36" s="2">
        <f>'WSS-31'!M748</f>
        <v>232234517.40749204</v>
      </c>
      <c r="E36" s="2">
        <f t="shared" si="2"/>
        <v>23727598.488965005</v>
      </c>
      <c r="F36" s="2">
        <f>'WSS-31'!M756</f>
        <v>740522922.29555535</v>
      </c>
      <c r="G36" s="186">
        <f t="shared" si="3"/>
        <v>3.2041679973135138E-2</v>
      </c>
      <c r="H36" s="186">
        <f>'WSS-31'!M781/260450406</f>
        <v>0.10344419658919633</v>
      </c>
      <c r="I36" s="186">
        <f t="shared" si="4"/>
        <v>5.9214694827749381E-2</v>
      </c>
      <c r="J36" s="186"/>
      <c r="K36" s="186"/>
    </row>
    <row r="37" spans="1:16" x14ac:dyDescent="0.25">
      <c r="A37" s="38" t="s">
        <v>2121</v>
      </c>
      <c r="B37" s="468"/>
      <c r="C37" s="2">
        <f>'WSS-31'!N725</f>
        <v>81116611.522509634</v>
      </c>
      <c r="D37" s="2">
        <f>'WSS-31'!N748</f>
        <v>73150529.296304807</v>
      </c>
      <c r="E37" s="2">
        <f t="shared" si="2"/>
        <v>7966082.2262048274</v>
      </c>
      <c r="F37" s="2">
        <f>'WSS-31'!N756</f>
        <v>225552348.81659499</v>
      </c>
      <c r="G37" s="186">
        <f t="shared" si="3"/>
        <v>3.5318108048976005E-2</v>
      </c>
      <c r="H37" s="186">
        <f>'WSS-31'!N781/87356288</f>
        <v>0.10058967936000211</v>
      </c>
      <c r="I37" s="186">
        <f t="shared" si="4"/>
        <v>6.4406030322960661E-2</v>
      </c>
      <c r="J37" s="186"/>
      <c r="K37" s="186"/>
    </row>
    <row r="38" spans="1:16" x14ac:dyDescent="0.25">
      <c r="A38" s="38" t="s">
        <v>2122</v>
      </c>
      <c r="B38" s="468"/>
      <c r="C38" s="2">
        <f>'WSS-31'!O725</f>
        <v>20036620.046286609</v>
      </c>
      <c r="D38" s="2">
        <f>'WSS-31'!O748</f>
        <v>17162526.732798882</v>
      </c>
      <c r="E38" s="2">
        <f t="shared" si="2"/>
        <v>2874093.3134877272</v>
      </c>
      <c r="F38" s="2">
        <f>'WSS-31'!O756</f>
        <v>104343933.18818319</v>
      </c>
      <c r="G38" s="186">
        <f t="shared" si="3"/>
        <v>2.7544421852531954E-2</v>
      </c>
      <c r="H38" s="186">
        <f>'WSS-31'!O781/33930761</f>
        <v>0.10356732052075107</v>
      </c>
      <c r="I38" s="186">
        <f t="shared" si="4"/>
        <v>5.268787537279887E-2</v>
      </c>
      <c r="J38" s="186"/>
      <c r="K38" s="186"/>
    </row>
    <row r="39" spans="1:16" x14ac:dyDescent="0.25">
      <c r="A39" s="38" t="s">
        <v>2465</v>
      </c>
      <c r="B39" s="468"/>
      <c r="C39" s="2">
        <f>'WSS-31'!P725</f>
        <v>30869091.598854687</v>
      </c>
      <c r="D39" s="2">
        <f>'WSS-31'!P748</f>
        <v>16902010.422395907</v>
      </c>
      <c r="E39" s="2">
        <f t="shared" si="2"/>
        <v>13967081.17645878</v>
      </c>
      <c r="F39" s="2">
        <f>'WSS-31'!P756</f>
        <v>113343713.20751949</v>
      </c>
      <c r="G39" s="186">
        <f t="shared" si="3"/>
        <v>0.12322766548936541</v>
      </c>
      <c r="H39" s="186">
        <f>'WSS-31'!P781/31621501</f>
        <v>-4.0795027408724209E-6</v>
      </c>
      <c r="I39" s="186">
        <f t="shared" si="4"/>
        <v>0.12323919859794567</v>
      </c>
      <c r="J39" s="186"/>
      <c r="K39" s="186"/>
    </row>
    <row r="40" spans="1:16" x14ac:dyDescent="0.25">
      <c r="A40" s="38" t="s">
        <v>2123</v>
      </c>
      <c r="B40" s="468"/>
      <c r="C40" s="2">
        <f>'WSS-31'!Q725</f>
        <v>316350.95104675705</v>
      </c>
      <c r="D40" s="2">
        <f>'WSS-31'!Q748</f>
        <v>204496.49513987341</v>
      </c>
      <c r="E40" s="2">
        <f t="shared" si="2"/>
        <v>111854.45590688364</v>
      </c>
      <c r="F40" s="2">
        <f>'WSS-31'!Q756</f>
        <v>398777.2411763831</v>
      </c>
      <c r="G40" s="186">
        <f t="shared" si="3"/>
        <v>0.28049357976627687</v>
      </c>
      <c r="H40" s="186">
        <f>'WSS-31'!Q781/104798</f>
        <v>1.7175900303440905E-4</v>
      </c>
      <c r="I40" s="186">
        <f t="shared" si="4"/>
        <v>0.28052727843097591</v>
      </c>
      <c r="J40" s="186"/>
      <c r="K40" s="186"/>
    </row>
    <row r="41" spans="1:16" x14ac:dyDescent="0.25">
      <c r="A41" s="38" t="s">
        <v>2343</v>
      </c>
      <c r="B41" s="468"/>
      <c r="C41" s="2">
        <f>'WSS-31'!R725</f>
        <v>274796.40865158051</v>
      </c>
      <c r="D41" s="2">
        <f>'WSS-31'!R748</f>
        <v>198535.98191941017</v>
      </c>
      <c r="E41" s="2">
        <f t="shared" si="2"/>
        <v>76260.426732170337</v>
      </c>
      <c r="F41" s="2">
        <f>'WSS-31'!R756</f>
        <v>615337.83011701179</v>
      </c>
      <c r="G41" s="186">
        <f t="shared" si="3"/>
        <v>0.12393261554822456</v>
      </c>
      <c r="H41" s="186">
        <f>'WSS-31'!R781/184346</f>
        <v>1.084916407190826E-5</v>
      </c>
      <c r="I41" s="186">
        <f t="shared" si="4"/>
        <v>0.12393504208530214</v>
      </c>
      <c r="J41" s="186"/>
    </row>
    <row r="42" spans="1:16" x14ac:dyDescent="0.25">
      <c r="A42" s="38" t="s">
        <v>2346</v>
      </c>
      <c r="B42" s="468"/>
      <c r="C42" s="2">
        <f>'WSS-31'!S725</f>
        <v>95109.026991814608</v>
      </c>
      <c r="D42" s="2">
        <f>'WSS-31'!S748</f>
        <v>42146.303442610333</v>
      </c>
      <c r="E42" s="2">
        <f t="shared" si="2"/>
        <v>52962.723549204275</v>
      </c>
      <c r="F42" s="2">
        <f>'WSS-31'!S756</f>
        <v>174679.19030271503</v>
      </c>
      <c r="G42" s="186">
        <f t="shared" si="3"/>
        <v>0.30319996020946222</v>
      </c>
      <c r="H42" s="186">
        <f>'WSS-31'!S781/59261</f>
        <v>-8.0356389531057532E-2</v>
      </c>
      <c r="I42" s="186">
        <f t="shared" si="4"/>
        <v>0.28284741291004445</v>
      </c>
      <c r="J42" s="186"/>
    </row>
    <row r="43" spans="1:16" x14ac:dyDescent="0.25">
      <c r="A43" s="38" t="s">
        <v>2344</v>
      </c>
      <c r="B43" s="468"/>
      <c r="C43" s="2">
        <f>'WSS-31'!T725</f>
        <v>6746.4882960847026</v>
      </c>
      <c r="D43" s="2">
        <f>'WSS-31'!T748</f>
        <v>35244.573081736955</v>
      </c>
      <c r="E43" s="2">
        <f t="shared" si="2"/>
        <v>-28498.084785652252</v>
      </c>
      <c r="F43" s="2">
        <f>'WSS-31'!T756</f>
        <v>105538.72018323612</v>
      </c>
      <c r="G43" s="186">
        <f t="shared" si="3"/>
        <v>-0.27002492294935865</v>
      </c>
      <c r="H43" s="186">
        <f>'WSS-31'!T781/2925</f>
        <v>0</v>
      </c>
      <c r="I43" s="186">
        <f t="shared" si="4"/>
        <v>7.2573667944722337E-2</v>
      </c>
      <c r="J43" s="186"/>
    </row>
    <row r="44" spans="1:16" x14ac:dyDescent="0.25">
      <c r="A44" s="412" t="s">
        <v>2345</v>
      </c>
      <c r="B44" s="508"/>
      <c r="C44" s="5">
        <f>'WSS-31'!U725</f>
        <v>162504.0000000002</v>
      </c>
      <c r="D44" s="5">
        <f>'WSS-31'!U748</f>
        <v>196302.7753636514</v>
      </c>
      <c r="E44" s="5">
        <f t="shared" ref="E44" si="5">C44-D44</f>
        <v>-33798.775363651192</v>
      </c>
      <c r="F44" s="5">
        <f>'WSS-31'!U756</f>
        <v>2576969.3631635425</v>
      </c>
      <c r="G44" s="187">
        <f t="shared" ref="G44" si="6">E44/F44</f>
        <v>-1.3115707096400671E-2</v>
      </c>
      <c r="H44" s="187">
        <f>'WSS-31'!U780/53220</f>
        <v>3.0534385569334876</v>
      </c>
      <c r="I44" s="187">
        <f t="shared" ref="I44" si="7">G68</f>
        <v>7.2573667944722337E-2</v>
      </c>
      <c r="J44" s="187"/>
      <c r="K44" s="186"/>
    </row>
    <row r="45" spans="1:16" x14ac:dyDescent="0.25">
      <c r="A45" s="188" t="s">
        <v>2546</v>
      </c>
      <c r="B45" s="473"/>
      <c r="C45" s="189">
        <f>'WSS-31'!V725</f>
        <v>38355.120000000003</v>
      </c>
      <c r="D45" s="189">
        <f>'WSS-31'!V748</f>
        <v>24384.708324035404</v>
      </c>
      <c r="E45" s="189">
        <f t="shared" si="2"/>
        <v>13970.411675964599</v>
      </c>
      <c r="F45" s="189">
        <f>'WSS-31'!V756</f>
        <v>290934.43683645804</v>
      </c>
      <c r="G45" s="190">
        <f t="shared" si="3"/>
        <v>4.801910639343715E-2</v>
      </c>
      <c r="H45" s="190">
        <f>'WSS-31'!U781/53220</f>
        <v>0</v>
      </c>
      <c r="I45" s="190">
        <f t="shared" ref="I45:I46" si="8">G70</f>
        <v>7.2598599663856622E-2</v>
      </c>
      <c r="J45" s="278"/>
      <c r="K45" s="186"/>
    </row>
    <row r="46" spans="1:16" x14ac:dyDescent="0.25">
      <c r="A46" s="38" t="s">
        <v>2483</v>
      </c>
      <c r="C46" s="2">
        <f>SUM(C30:C45)</f>
        <v>1586186238.4421146</v>
      </c>
      <c r="D46" s="2">
        <f>SUM(D30:D45)</f>
        <v>1336211707.7066376</v>
      </c>
      <c r="E46" s="2">
        <f>SUM(E30:E45)</f>
        <v>249974530.7354773</v>
      </c>
      <c r="F46" s="2">
        <f>SUM(F30:F45)</f>
        <v>5197832023.3399992</v>
      </c>
      <c r="G46" s="186">
        <f t="shared" si="3"/>
        <v>4.8092075621722345E-2</v>
      </c>
      <c r="H46" s="186">
        <f>'WSS-31'!F781/1588648074</f>
        <v>0.10685008327401277</v>
      </c>
      <c r="I46" s="186">
        <f t="shared" si="8"/>
        <v>7.257735659913761E-2</v>
      </c>
      <c r="J46" s="186"/>
    </row>
    <row r="47" spans="1:16" x14ac:dyDescent="0.25">
      <c r="C47" s="2"/>
      <c r="D47" s="2"/>
      <c r="E47" s="2"/>
      <c r="F47" s="2"/>
      <c r="G47" s="186"/>
      <c r="H47" s="186"/>
      <c r="I47" s="186"/>
      <c r="J47" s="186"/>
    </row>
    <row r="48" spans="1:16" x14ac:dyDescent="0.25">
      <c r="B48" s="181"/>
      <c r="F48" s="181"/>
      <c r="G48" s="181"/>
      <c r="H48" s="181"/>
      <c r="I48" s="181"/>
      <c r="J48" s="181"/>
    </row>
    <row r="49" spans="1:16" x14ac:dyDescent="0.25">
      <c r="B49" s="181"/>
      <c r="F49" s="181"/>
      <c r="G49" s="181"/>
      <c r="H49" s="181"/>
      <c r="I49" s="181"/>
      <c r="J49" s="181"/>
    </row>
    <row r="50" spans="1:16" ht="18.75" x14ac:dyDescent="0.3">
      <c r="A50" s="4" t="s">
        <v>1361</v>
      </c>
    </row>
    <row r="51" spans="1:16" x14ac:dyDescent="0.25">
      <c r="A51" s="389" t="s">
        <v>2119</v>
      </c>
    </row>
    <row r="52" spans="1:16" x14ac:dyDescent="0.25">
      <c r="A52" s="389"/>
      <c r="B52" s="468"/>
      <c r="D52" s="469" t="s">
        <v>2110</v>
      </c>
      <c r="E52" s="469" t="s">
        <v>2111</v>
      </c>
      <c r="F52" s="183"/>
      <c r="G52" s="184"/>
      <c r="K52" s="182"/>
      <c r="P52" s="182"/>
    </row>
    <row r="53" spans="1:16" ht="15.75" thickBot="1" x14ac:dyDescent="0.3">
      <c r="A53" s="470"/>
      <c r="B53" s="471"/>
      <c r="C53" s="447" t="s">
        <v>438</v>
      </c>
      <c r="D53" s="447" t="s">
        <v>2112</v>
      </c>
      <c r="E53" s="447" t="s">
        <v>2113</v>
      </c>
      <c r="F53" s="472" t="s">
        <v>181</v>
      </c>
      <c r="G53" s="447" t="s">
        <v>2114</v>
      </c>
      <c r="K53" s="182"/>
      <c r="P53" s="182"/>
    </row>
    <row r="54" spans="1:16" x14ac:dyDescent="0.25">
      <c r="A54" s="389"/>
      <c r="B54" s="468"/>
      <c r="K54" s="182"/>
      <c r="P54" s="182"/>
    </row>
    <row r="55" spans="1:16" x14ac:dyDescent="0.25">
      <c r="A55" s="412" t="str">
        <f>A30</f>
        <v>Residential Rate RS</v>
      </c>
      <c r="B55" s="468"/>
      <c r="C55" s="185">
        <f>'WSS-31'!G788</f>
        <v>701635083.42097402</v>
      </c>
      <c r="D55" s="185">
        <f>'WSS-31'!G801</f>
        <v>585170223.57459867</v>
      </c>
      <c r="E55" s="185">
        <f t="shared" ref="E55:E70" si="9">C55-D55</f>
        <v>116464859.84637535</v>
      </c>
      <c r="F55" s="185">
        <f>'WSS-31'!G805</f>
        <v>2457262896.4775939</v>
      </c>
      <c r="G55" s="186">
        <f t="shared" ref="G55:G71" si="10">E55/F55</f>
        <v>4.7396174016758205E-2</v>
      </c>
      <c r="K55" s="182"/>
      <c r="P55" s="182"/>
    </row>
    <row r="56" spans="1:16" x14ac:dyDescent="0.25">
      <c r="A56" s="412" t="str">
        <f t="shared" ref="A56:A70" si="11">A31</f>
        <v>General Service Rate GS</v>
      </c>
      <c r="B56" s="468"/>
      <c r="C56" s="2">
        <f>'WSS-31'!H788</f>
        <v>256756744.65367341</v>
      </c>
      <c r="D56" s="2">
        <f>'WSS-31'!H801</f>
        <v>169300184.70158842</v>
      </c>
      <c r="E56" s="2">
        <f t="shared" si="9"/>
        <v>87456559.952084988</v>
      </c>
      <c r="F56" s="2">
        <f>'WSS-31'!H805</f>
        <v>610215074.31991637</v>
      </c>
      <c r="G56" s="186">
        <f t="shared" si="10"/>
        <v>0.14332087756035061</v>
      </c>
      <c r="K56" s="182"/>
      <c r="P56" s="182"/>
    </row>
    <row r="57" spans="1:16" x14ac:dyDescent="0.25">
      <c r="A57" s="412" t="str">
        <f t="shared" si="11"/>
        <v>All Electric Schools Rate AES</v>
      </c>
      <c r="B57" s="468"/>
      <c r="C57" s="2">
        <f>'WSS-31'!I788</f>
        <v>13813021.899378313</v>
      </c>
      <c r="D57" s="2">
        <f>'WSS-31'!I801</f>
        <v>10433570.515952609</v>
      </c>
      <c r="E57" s="2">
        <f t="shared" si="9"/>
        <v>3379451.3834257033</v>
      </c>
      <c r="F57" s="2">
        <f>'WSS-31'!I805</f>
        <v>38745077.376713946</v>
      </c>
      <c r="G57" s="186">
        <f t="shared" si="10"/>
        <v>8.722272898225715E-2</v>
      </c>
      <c r="K57" s="182"/>
      <c r="P57" s="182"/>
    </row>
    <row r="58" spans="1:16" x14ac:dyDescent="0.25">
      <c r="A58" s="412" t="str">
        <f t="shared" si="11"/>
        <v>Power Service Secondary Rate PSS</v>
      </c>
      <c r="C58" s="2">
        <f>'WSS-31'!J788</f>
        <v>192820940.52622485</v>
      </c>
      <c r="D58" s="2">
        <f>'WSS-31'!J801</f>
        <v>133183019.09104139</v>
      </c>
      <c r="E58" s="2">
        <f t="shared" si="9"/>
        <v>59637921.435183465</v>
      </c>
      <c r="F58" s="2">
        <f>'WSS-31'!J805</f>
        <v>458917674.33772969</v>
      </c>
      <c r="G58" s="186">
        <f t="shared" si="10"/>
        <v>0.12995342034112711</v>
      </c>
    </row>
    <row r="59" spans="1:16" x14ac:dyDescent="0.25">
      <c r="A59" s="412" t="str">
        <f t="shared" si="11"/>
        <v>Power Service Primary Rate PSP</v>
      </c>
      <c r="C59" s="2">
        <f>'WSS-31'!K788</f>
        <v>10666942.049586283</v>
      </c>
      <c r="D59" s="2">
        <f>'WSS-31'!K801</f>
        <v>6321512.1194320787</v>
      </c>
      <c r="E59" s="2">
        <f t="shared" si="9"/>
        <v>4345429.9301542044</v>
      </c>
      <c r="F59" s="2">
        <f>'WSS-31'!K805</f>
        <v>19889476.254637145</v>
      </c>
      <c r="G59" s="186">
        <f t="shared" si="10"/>
        <v>0.21847885155553487</v>
      </c>
    </row>
    <row r="60" spans="1:16" x14ac:dyDescent="0.25">
      <c r="A60" s="412" t="str">
        <f t="shared" si="11"/>
        <v>Time of Day Secondary Rate TODS</v>
      </c>
      <c r="C60" s="2">
        <f>'WSS-31'!L788</f>
        <v>152482735.0924536</v>
      </c>
      <c r="D60" s="2">
        <f>'WSS-31'!L801</f>
        <v>124818257.27534233</v>
      </c>
      <c r="E60" s="2">
        <f t="shared" si="9"/>
        <v>27664477.817111269</v>
      </c>
      <c r="F60" s="2">
        <f>'WSS-31'!L805</f>
        <v>424876670.28377599</v>
      </c>
      <c r="G60" s="186">
        <f t="shared" si="10"/>
        <v>6.5111783611545695E-2</v>
      </c>
    </row>
    <row r="61" spans="1:16" x14ac:dyDescent="0.25">
      <c r="A61" s="412" t="str">
        <f t="shared" si="11"/>
        <v>Time of Day Primary  Rate TODP</v>
      </c>
      <c r="B61" s="468"/>
      <c r="C61" s="2">
        <f>'WSS-31'!M788</f>
        <v>282915033.31763917</v>
      </c>
      <c r="D61" s="2">
        <f>'WSS-31'!M801</f>
        <v>239065194.4609547</v>
      </c>
      <c r="E61" s="2">
        <f t="shared" si="9"/>
        <v>43849838.856684476</v>
      </c>
      <c r="F61" s="2">
        <f>'WSS-31'!M805</f>
        <v>740522922.29555535</v>
      </c>
      <c r="G61" s="186">
        <f t="shared" si="10"/>
        <v>5.9214694827749381E-2</v>
      </c>
    </row>
    <row r="62" spans="1:16" x14ac:dyDescent="0.25">
      <c r="A62" s="412" t="str">
        <f t="shared" si="11"/>
        <v>Retail Transmission Service Rate RTS</v>
      </c>
      <c r="B62" s="468"/>
      <c r="C62" s="2">
        <f>'WSS-31'!N788</f>
        <v>89904600.49534823</v>
      </c>
      <c r="D62" s="2">
        <f>'WSS-31'!N801</f>
        <v>75377669.078051612</v>
      </c>
      <c r="E62" s="2">
        <f t="shared" si="9"/>
        <v>14526931.417296618</v>
      </c>
      <c r="F62" s="2">
        <f>'WSS-31'!N805</f>
        <v>225552348.81659499</v>
      </c>
      <c r="G62" s="186">
        <f t="shared" si="10"/>
        <v>6.4406030322960661E-2</v>
      </c>
    </row>
    <row r="63" spans="1:16" x14ac:dyDescent="0.25">
      <c r="A63" s="412" t="str">
        <f t="shared" si="11"/>
        <v>Fluctuating Load Service Rate FLS</v>
      </c>
      <c r="B63" s="468"/>
      <c r="C63" s="2">
        <f>'WSS-31'!O788</f>
        <v>23550780.444928538</v>
      </c>
      <c r="D63" s="2">
        <f>'WSS-31'!O801</f>
        <v>18053120.29720189</v>
      </c>
      <c r="E63" s="2">
        <f t="shared" si="9"/>
        <v>5497660.1477266476</v>
      </c>
      <c r="F63" s="2">
        <f>'WSS-31'!O805</f>
        <v>104343933.18818319</v>
      </c>
      <c r="G63" s="186">
        <f t="shared" si="10"/>
        <v>5.268787537279887E-2</v>
      </c>
    </row>
    <row r="64" spans="1:16" x14ac:dyDescent="0.25">
      <c r="A64" s="412" t="str">
        <f t="shared" si="11"/>
        <v>Lighting Rate LS &amp; RLS</v>
      </c>
      <c r="B64" s="468"/>
      <c r="C64" s="2">
        <f>'WSS-31'!P788</f>
        <v>30870842.546922229</v>
      </c>
      <c r="D64" s="2">
        <f>'WSS-31'!P801</f>
        <v>16902454.165112138</v>
      </c>
      <c r="E64" s="2">
        <f t="shared" si="9"/>
        <v>13968388.381810091</v>
      </c>
      <c r="F64" s="2">
        <f>'WSS-31'!P805</f>
        <v>113343713.20751949</v>
      </c>
      <c r="G64" s="186">
        <f t="shared" si="10"/>
        <v>0.12323919859794567</v>
      </c>
    </row>
    <row r="65" spans="1:7" x14ac:dyDescent="0.25">
      <c r="A65" s="412" t="str">
        <f t="shared" si="11"/>
        <v>Lighting Rate LE</v>
      </c>
      <c r="B65" s="468"/>
      <c r="C65" s="2">
        <f>'WSS-31'!Q788</f>
        <v>316368.95104675705</v>
      </c>
      <c r="D65" s="2">
        <f>'WSS-31'!Q801</f>
        <v>204501.0568793334</v>
      </c>
      <c r="E65" s="2">
        <f t="shared" si="9"/>
        <v>111867.89416742366</v>
      </c>
      <c r="F65" s="2">
        <f>'WSS-31'!Q805</f>
        <v>398777.2411763831</v>
      </c>
      <c r="G65" s="186">
        <f t="shared" si="10"/>
        <v>0.28052727843097591</v>
      </c>
    </row>
    <row r="66" spans="1:7" x14ac:dyDescent="0.25">
      <c r="A66" s="412" t="str">
        <f t="shared" si="11"/>
        <v>Lighting Rate TE</v>
      </c>
      <c r="B66" s="468"/>
      <c r="C66" s="2">
        <f>'WSS-31'!R788</f>
        <v>274798.40865158051</v>
      </c>
      <c r="D66" s="2">
        <f>'WSS-31'!R801</f>
        <v>198536.48877935015</v>
      </c>
      <c r="E66" s="2">
        <f t="shared" si="9"/>
        <v>76261.919872230355</v>
      </c>
      <c r="F66" s="2">
        <f>'WSS-31'!R805</f>
        <v>615337.83011701179</v>
      </c>
      <c r="G66" s="186">
        <f t="shared" si="10"/>
        <v>0.12393504208530214</v>
      </c>
    </row>
    <row r="67" spans="1:7" x14ac:dyDescent="0.25">
      <c r="A67" s="412" t="str">
        <f t="shared" si="11"/>
        <v>Outdoor Sports Lighting Rate OSL</v>
      </c>
      <c r="B67" s="468"/>
      <c r="C67" s="2">
        <f>'WSS-31'!S788</f>
        <v>90347.026991814608</v>
      </c>
      <c r="D67" s="2">
        <f>'WSS-31'!S801</f>
        <v>40939.469925470337</v>
      </c>
      <c r="E67" s="2">
        <f t="shared" si="9"/>
        <v>49407.55706634427</v>
      </c>
      <c r="F67" s="2">
        <f>'WSS-31'!S805</f>
        <v>174679.19030271503</v>
      </c>
      <c r="G67" s="186">
        <f t="shared" si="10"/>
        <v>0.28284741291004445</v>
      </c>
    </row>
    <row r="68" spans="1:7" x14ac:dyDescent="0.25">
      <c r="A68" s="412" t="str">
        <f t="shared" si="11"/>
        <v>Electric Vehicle Charging Rate EV</v>
      </c>
      <c r="B68" s="468"/>
      <c r="C68" s="2">
        <f>'WSS-31'!T788</f>
        <v>55177.8682960847</v>
      </c>
      <c r="D68" s="2">
        <f>'WSS-31'!T801</f>
        <v>47518.536262195557</v>
      </c>
      <c r="E68" s="2">
        <f t="shared" si="9"/>
        <v>7659.3320338891426</v>
      </c>
      <c r="F68" s="2">
        <f>'WSS-31'!T805</f>
        <v>105538.72018323612</v>
      </c>
      <c r="G68" s="186">
        <f t="shared" si="10"/>
        <v>7.2573667944722337E-2</v>
      </c>
    </row>
    <row r="69" spans="1:7" x14ac:dyDescent="0.25">
      <c r="A69" s="412" t="str">
        <f t="shared" si="11"/>
        <v>Solar Share Rate SSP</v>
      </c>
      <c r="B69" s="468"/>
      <c r="C69" s="2">
        <f>'WSS-31'!U788</f>
        <v>458350.02000000025</v>
      </c>
      <c r="D69" s="2">
        <f>'WSS-31'!U801</f>
        <v>271279.02333687083</v>
      </c>
      <c r="E69" s="2">
        <f t="shared" si="9"/>
        <v>187070.99666312942</v>
      </c>
      <c r="F69" s="2">
        <f>'WSS-31'!U805</f>
        <v>2576969.3631635425</v>
      </c>
      <c r="G69" s="186">
        <f t="shared" si="10"/>
        <v>7.2593411212881889E-2</v>
      </c>
    </row>
    <row r="70" spans="1:7" x14ac:dyDescent="0.25">
      <c r="A70" s="188" t="str">
        <f t="shared" si="11"/>
        <v>Business Solar Rate BS</v>
      </c>
      <c r="B70" s="473"/>
      <c r="C70" s="189">
        <f>'WSS-31'!V788</f>
        <v>47933.62</v>
      </c>
      <c r="D70" s="189">
        <f>'WSS-31'!V801</f>
        <v>26812.187291680402</v>
      </c>
      <c r="E70" s="189">
        <f t="shared" si="9"/>
        <v>21121.4327083196</v>
      </c>
      <c r="F70" s="189">
        <f>'WSS-31'!V805</f>
        <v>290934.43683645804</v>
      </c>
      <c r="G70" s="190">
        <f t="shared" si="10"/>
        <v>7.2598599663856622E-2</v>
      </c>
    </row>
    <row r="71" spans="1:7" x14ac:dyDescent="0.25">
      <c r="C71" s="2">
        <f>SUM(C55:C70)</f>
        <v>1756659700.3421149</v>
      </c>
      <c r="D71" s="2">
        <f>SUM(D55:D70)</f>
        <v>1379414792.0417507</v>
      </c>
      <c r="E71" s="2">
        <f>SUM(E55:E70)</f>
        <v>377244908.30036408</v>
      </c>
      <c r="F71" s="2">
        <f>SUM(F55:F70)</f>
        <v>5197832023.3399992</v>
      </c>
      <c r="G71" s="186">
        <f t="shared" si="10"/>
        <v>7.257735659913761E-2</v>
      </c>
    </row>
  </sheetData>
  <mergeCells count="2">
    <mergeCell ref="M2:P2"/>
    <mergeCell ref="A25:I25"/>
  </mergeCells>
  <conditionalFormatting sqref="K31:K34">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4" orientation="landscape" r:id="rId1"/>
  <rowBreaks count="1" manualBreakCount="1">
    <brk id="4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4"/>
  <sheetViews>
    <sheetView topLeftCell="A7" zoomScale="75" zoomScaleNormal="75" workbookViewId="0">
      <pane xSplit="1" topLeftCell="B1" activePane="topRight" state="frozen"/>
      <selection activeCell="A46" sqref="A46"/>
      <selection pane="topRight" activeCell="A46" sqref="A46"/>
    </sheetView>
  </sheetViews>
  <sheetFormatPr defaultColWidth="9.140625" defaultRowHeight="15" x14ac:dyDescent="0.2"/>
  <cols>
    <col min="1" max="1" width="61.28515625" style="6" bestFit="1" customWidth="1"/>
    <col min="2" max="2" width="18.42578125" style="10" customWidth="1"/>
    <col min="3" max="3" width="20.5703125" style="10" bestFit="1" customWidth="1"/>
    <col min="4" max="4" width="19.42578125" style="15" bestFit="1" customWidth="1"/>
    <col min="5" max="6" width="19.42578125" style="6" customWidth="1"/>
    <col min="7" max="8" width="18.42578125" style="6" bestFit="1" customWidth="1"/>
    <col min="9" max="9" width="18.5703125" style="6" bestFit="1" customWidth="1"/>
    <col min="10" max="11" width="18.42578125" style="6" bestFit="1" customWidth="1"/>
    <col min="12" max="12" width="19.85546875" style="6" bestFit="1" customWidth="1"/>
    <col min="13" max="13" width="16" style="6" bestFit="1" customWidth="1"/>
    <col min="14" max="14" width="14" style="6" bestFit="1" customWidth="1"/>
    <col min="15" max="15" width="19.5703125" style="6" customWidth="1"/>
    <col min="16" max="16" width="13.140625" style="6" bestFit="1" customWidth="1"/>
    <col min="17" max="17" width="14" style="6" bestFit="1" customWidth="1"/>
    <col min="18" max="18" width="12.5703125" style="6" customWidth="1"/>
    <col min="19" max="19" width="11.85546875" style="6" bestFit="1" customWidth="1"/>
    <col min="20" max="20" width="11.5703125" style="6" customWidth="1"/>
    <col min="21" max="16384" width="9.140625" style="6"/>
  </cols>
  <sheetData>
    <row r="1" spans="1:20" ht="18" x14ac:dyDescent="0.25">
      <c r="A1" s="8" t="s">
        <v>1743</v>
      </c>
    </row>
    <row r="2" spans="1:20" x14ac:dyDescent="0.2">
      <c r="A2" s="6" t="s">
        <v>929</v>
      </c>
    </row>
    <row r="3" spans="1:20" x14ac:dyDescent="0.2">
      <c r="B3" s="276" t="s">
        <v>2170</v>
      </c>
      <c r="O3" s="9"/>
    </row>
    <row r="4" spans="1:20" x14ac:dyDescent="0.2">
      <c r="A4" s="9"/>
      <c r="B4" s="276" t="s">
        <v>2171</v>
      </c>
      <c r="C4" s="168"/>
      <c r="D4" s="441"/>
      <c r="E4" s="167"/>
      <c r="F4" s="167" t="s">
        <v>935</v>
      </c>
      <c r="G4" s="169"/>
      <c r="L4" s="9"/>
      <c r="M4" s="9"/>
      <c r="N4" s="9"/>
      <c r="O4" s="9"/>
      <c r="Q4" s="9"/>
    </row>
    <row r="5" spans="1:20" x14ac:dyDescent="0.2">
      <c r="A5" s="9"/>
      <c r="B5" s="276" t="s">
        <v>2098</v>
      </c>
      <c r="C5" s="167"/>
      <c r="D5" s="442" t="s">
        <v>2099</v>
      </c>
      <c r="E5" s="169" t="s">
        <v>2269</v>
      </c>
      <c r="F5" s="167" t="s">
        <v>857</v>
      </c>
      <c r="G5" s="167" t="s">
        <v>526</v>
      </c>
      <c r="L5" s="9"/>
      <c r="M5" s="9"/>
      <c r="N5" s="9"/>
      <c r="O5" s="9"/>
      <c r="Q5" s="9"/>
      <c r="R5" s="9"/>
      <c r="S5" s="9"/>
      <c r="T5" s="9"/>
    </row>
    <row r="6" spans="1:20" s="15" customFormat="1" ht="15.75" thickBot="1" x14ac:dyDescent="0.25">
      <c r="A6" s="396"/>
      <c r="B6" s="277">
        <v>44742</v>
      </c>
      <c r="C6" s="170" t="s">
        <v>2330</v>
      </c>
      <c r="D6" s="170" t="s">
        <v>2100</v>
      </c>
      <c r="E6" s="21" t="s">
        <v>103</v>
      </c>
      <c r="F6" s="21" t="s">
        <v>103</v>
      </c>
      <c r="G6" s="21" t="s">
        <v>527</v>
      </c>
      <c r="N6" s="18"/>
      <c r="O6" s="150"/>
    </row>
    <row r="7" spans="1:20" s="15" customFormat="1" x14ac:dyDescent="0.2">
      <c r="A7" s="150"/>
      <c r="B7" s="151"/>
      <c r="C7" s="18"/>
      <c r="D7" s="18"/>
      <c r="E7" s="18"/>
      <c r="F7" s="18"/>
      <c r="L7" s="18"/>
      <c r="M7" s="18"/>
      <c r="N7" s="153"/>
      <c r="O7" s="150"/>
    </row>
    <row r="8" spans="1:20" s="15" customFormat="1" ht="15.75" x14ac:dyDescent="0.25">
      <c r="A8" s="386" t="s">
        <v>2115</v>
      </c>
      <c r="B8" s="402">
        <f>161405939/365+48922/365</f>
        <v>442342.08493150683</v>
      </c>
      <c r="C8" s="403">
        <f>5942534922+152971+1580188+175576-819961-3865</f>
        <v>5943619831</v>
      </c>
      <c r="D8" s="403">
        <f>611318012.98+174784.03</f>
        <v>611492797.00999999</v>
      </c>
      <c r="E8" s="403">
        <v>1011037.2510929377</v>
      </c>
      <c r="F8" s="403">
        <v>1942660.4689632247</v>
      </c>
      <c r="G8" s="403">
        <v>4316217.873064125</v>
      </c>
      <c r="H8" s="453"/>
      <c r="L8" s="24"/>
      <c r="M8" s="24"/>
      <c r="N8" s="24"/>
    </row>
    <row r="9" spans="1:20" s="15" customFormat="1" ht="15.75" x14ac:dyDescent="0.25">
      <c r="A9" s="213"/>
      <c r="B9" s="402"/>
      <c r="C9" s="403"/>
      <c r="D9" s="403"/>
      <c r="E9" s="403"/>
      <c r="F9" s="403"/>
      <c r="G9" s="403"/>
      <c r="L9" s="18"/>
      <c r="M9" s="18"/>
      <c r="N9" s="171"/>
      <c r="R9" s="163"/>
      <c r="T9" s="163"/>
    </row>
    <row r="10" spans="1:20" s="15" customFormat="1" ht="15.75" x14ac:dyDescent="0.25">
      <c r="A10" s="386" t="s">
        <v>2187</v>
      </c>
      <c r="B10" s="402">
        <f>23120463/365+7095842/365</f>
        <v>82784.397260273967</v>
      </c>
      <c r="C10" s="403">
        <f>695268477+983167862-286443</f>
        <v>1678149896</v>
      </c>
      <c r="D10" s="403">
        <f>224799513.08</f>
        <v>224799513.08000001</v>
      </c>
      <c r="E10" s="403">
        <v>272317.21231124201</v>
      </c>
      <c r="F10" s="403">
        <v>498640.93691638455</v>
      </c>
      <c r="G10" s="403">
        <v>805142.80538294511</v>
      </c>
      <c r="H10" s="453"/>
      <c r="L10" s="172"/>
      <c r="M10" s="24"/>
      <c r="N10" s="24"/>
    </row>
    <row r="11" spans="1:20" s="15" customFormat="1" ht="15.75" x14ac:dyDescent="0.25">
      <c r="A11" s="213"/>
      <c r="B11" s="402"/>
      <c r="C11" s="403"/>
      <c r="D11" s="403"/>
      <c r="E11" s="404"/>
      <c r="F11" s="404"/>
      <c r="G11" s="404"/>
    </row>
    <row r="12" spans="1:20" s="15" customFormat="1" ht="15.75" x14ac:dyDescent="0.25">
      <c r="A12" s="386" t="s">
        <v>2120</v>
      </c>
      <c r="B12" s="402">
        <f>68064/365+86627/365</f>
        <v>423.81095890410961</v>
      </c>
      <c r="C12" s="403">
        <f>5699945+122849054</f>
        <v>128548999</v>
      </c>
      <c r="D12" s="403">
        <v>11901436</v>
      </c>
      <c r="E12" s="403">
        <v>17473.851647119453</v>
      </c>
      <c r="F12" s="404">
        <v>51033.053505076692</v>
      </c>
      <c r="G12" s="404">
        <v>58360.99794267011</v>
      </c>
      <c r="H12" s="453"/>
    </row>
    <row r="13" spans="1:20" s="15" customFormat="1" x14ac:dyDescent="0.2">
      <c r="B13" s="402"/>
      <c r="C13" s="403"/>
      <c r="D13" s="403"/>
      <c r="E13" s="404"/>
      <c r="F13" s="404"/>
      <c r="G13" s="404"/>
    </row>
    <row r="14" spans="1:20" s="15" customFormat="1" ht="15.75" x14ac:dyDescent="0.25">
      <c r="A14" s="386" t="s">
        <v>2341</v>
      </c>
      <c r="B14" s="402">
        <f>1620856/365</f>
        <v>4440.7013698630135</v>
      </c>
      <c r="C14" s="403">
        <f>1699201046-7741</f>
        <v>1699193305</v>
      </c>
      <c r="D14" s="403">
        <v>169760856.79999998</v>
      </c>
      <c r="E14" s="403">
        <v>253946.70088653482</v>
      </c>
      <c r="F14" s="403">
        <v>444831.27870906284</v>
      </c>
      <c r="G14" s="403">
        <v>594859.36407179828</v>
      </c>
      <c r="H14" s="453"/>
      <c r="N14" s="18"/>
    </row>
    <row r="15" spans="1:20" s="15" customFormat="1" ht="15.75" x14ac:dyDescent="0.25">
      <c r="A15" s="213"/>
      <c r="B15" s="402"/>
      <c r="C15" s="403"/>
      <c r="D15" s="403"/>
      <c r="E15" s="403"/>
      <c r="F15" s="403"/>
      <c r="G15" s="403"/>
      <c r="N15" s="18"/>
    </row>
    <row r="16" spans="1:20" s="15" customFormat="1" ht="15.75" x14ac:dyDescent="0.25">
      <c r="A16" s="386" t="s">
        <v>2340</v>
      </c>
      <c r="B16" s="402">
        <f>74378/365</f>
        <v>203.77534246575343</v>
      </c>
      <c r="C16" s="403">
        <f>78721459</f>
        <v>78721459</v>
      </c>
      <c r="D16" s="403">
        <v>9429914.5700000003</v>
      </c>
      <c r="E16" s="403">
        <v>11032.760543498471</v>
      </c>
      <c r="F16" s="403">
        <v>19114.763124868594</v>
      </c>
      <c r="G16" s="403">
        <v>24419.755631361306</v>
      </c>
      <c r="H16" s="453"/>
      <c r="N16" s="18"/>
    </row>
    <row r="17" spans="1:20" s="15" customFormat="1" x14ac:dyDescent="0.2">
      <c r="B17" s="402"/>
      <c r="C17" s="403"/>
      <c r="D17" s="403"/>
      <c r="E17" s="403"/>
      <c r="F17" s="403"/>
      <c r="G17" s="403"/>
      <c r="L17" s="18"/>
      <c r="M17" s="18"/>
      <c r="N17" s="153"/>
    </row>
    <row r="18" spans="1:20" s="15" customFormat="1" ht="15.75" x14ac:dyDescent="0.25">
      <c r="A18" s="386" t="s">
        <v>2339</v>
      </c>
      <c r="B18" s="402">
        <f>279694/365</f>
        <v>766.28493150684926</v>
      </c>
      <c r="C18" s="403">
        <f>1784203069-645</f>
        <v>1784202424</v>
      </c>
      <c r="D18" s="403">
        <v>134172118.09000002</v>
      </c>
      <c r="E18" s="403">
        <v>244227.26935782068</v>
      </c>
      <c r="F18" s="403">
        <v>393526.60100076534</v>
      </c>
      <c r="G18" s="403">
        <v>507680.84211596829</v>
      </c>
      <c r="H18" s="453"/>
      <c r="L18" s="24"/>
      <c r="M18" s="24"/>
      <c r="N18" s="24"/>
    </row>
    <row r="19" spans="1:20" s="15" customFormat="1" ht="15.75" x14ac:dyDescent="0.25">
      <c r="A19" s="213"/>
      <c r="B19" s="402"/>
      <c r="C19" s="403"/>
      <c r="D19" s="403"/>
      <c r="E19" s="403"/>
      <c r="F19" s="403"/>
      <c r="G19" s="403"/>
      <c r="L19" s="18"/>
      <c r="M19" s="18"/>
      <c r="N19" s="171"/>
      <c r="R19" s="163"/>
      <c r="T19" s="163"/>
    </row>
    <row r="20" spans="1:20" s="15" customFormat="1" ht="15.75" x14ac:dyDescent="0.25">
      <c r="A20" s="386" t="s">
        <v>2338</v>
      </c>
      <c r="B20" s="402">
        <f>93271/365</f>
        <v>255.53698630136986</v>
      </c>
      <c r="C20" s="403">
        <v>3951918371</v>
      </c>
      <c r="D20" s="403">
        <v>250417885.84999999</v>
      </c>
      <c r="E20" s="403">
        <v>447085.04602882155</v>
      </c>
      <c r="F20" s="403">
        <v>640911.13921073684</v>
      </c>
      <c r="G20" s="403">
        <v>821887.66590567969</v>
      </c>
      <c r="H20" s="453"/>
      <c r="L20" s="18"/>
      <c r="M20" s="18"/>
      <c r="N20" s="171"/>
      <c r="R20" s="163"/>
      <c r="T20" s="163"/>
    </row>
    <row r="21" spans="1:20" s="15" customFormat="1" ht="15.75" x14ac:dyDescent="0.25">
      <c r="A21" s="213"/>
      <c r="B21" s="402"/>
      <c r="C21" s="403"/>
      <c r="D21" s="403"/>
      <c r="E21" s="403"/>
      <c r="F21" s="403"/>
      <c r="G21" s="403"/>
      <c r="L21" s="18"/>
      <c r="M21" s="18"/>
      <c r="N21" s="171"/>
      <c r="R21" s="163"/>
      <c r="T21" s="163"/>
    </row>
    <row r="22" spans="1:20" s="15" customFormat="1" ht="15.75" x14ac:dyDescent="0.25">
      <c r="A22" s="386" t="s">
        <v>2121</v>
      </c>
      <c r="B22" s="402">
        <f>7300/365</f>
        <v>20</v>
      </c>
      <c r="C22" s="403">
        <v>1404629847</v>
      </c>
      <c r="D22" s="403">
        <v>82247980.760000005</v>
      </c>
      <c r="E22" s="403">
        <v>145532.91289106099</v>
      </c>
      <c r="F22" s="403">
        <v>222254.12773437682</v>
      </c>
      <c r="G22" s="403">
        <v>252917.9920139696</v>
      </c>
      <c r="H22" s="453"/>
      <c r="L22" s="24"/>
      <c r="M22" s="24"/>
      <c r="N22" s="24"/>
    </row>
    <row r="23" spans="1:20" s="15" customFormat="1" ht="15.75" x14ac:dyDescent="0.25">
      <c r="A23" s="213"/>
      <c r="B23" s="403"/>
      <c r="C23" s="405"/>
      <c r="D23" s="403"/>
      <c r="E23" s="404"/>
      <c r="F23" s="404"/>
      <c r="G23" s="404"/>
    </row>
    <row r="24" spans="1:20" s="15" customFormat="1" ht="15.75" x14ac:dyDescent="0.25">
      <c r="A24" s="386" t="s">
        <v>2122</v>
      </c>
      <c r="B24" s="402">
        <f>365/365</f>
        <v>1</v>
      </c>
      <c r="C24" s="403">
        <v>605890405</v>
      </c>
      <c r="D24" s="403">
        <v>32956814.48</v>
      </c>
      <c r="E24" s="403">
        <v>60264.978990539406</v>
      </c>
      <c r="F24" s="403">
        <v>148927.31322082225</v>
      </c>
      <c r="G24" s="403">
        <v>148927.31322082225</v>
      </c>
      <c r="H24" s="453"/>
      <c r="N24" s="18"/>
    </row>
    <row r="25" spans="1:20" s="15" customFormat="1" ht="15.75" x14ac:dyDescent="0.25">
      <c r="A25" s="213"/>
      <c r="B25" s="403"/>
      <c r="C25" s="403"/>
      <c r="D25" s="403"/>
      <c r="E25" s="404"/>
      <c r="F25" s="404"/>
      <c r="G25" s="404"/>
      <c r="L25" s="18"/>
      <c r="M25" s="18"/>
      <c r="N25" s="153"/>
    </row>
    <row r="26" spans="1:20" s="15" customFormat="1" ht="15.75" x14ac:dyDescent="0.25">
      <c r="A26" s="386" t="s">
        <v>2332</v>
      </c>
      <c r="B26" s="402">
        <f>2079516/12</f>
        <v>173293</v>
      </c>
      <c r="C26" s="403">
        <v>120148466.08000028</v>
      </c>
      <c r="D26" s="403">
        <v>30555893.249675881</v>
      </c>
      <c r="E26" s="403">
        <v>392.81061927535228</v>
      </c>
      <c r="F26" s="403">
        <v>29995.599539766878</v>
      </c>
      <c r="G26" s="403">
        <f>F26</f>
        <v>29995.599539766878</v>
      </c>
      <c r="H26" s="453"/>
      <c r="L26" s="24"/>
      <c r="M26" s="24"/>
      <c r="N26" s="24"/>
    </row>
    <row r="27" spans="1:20" s="15" customFormat="1" ht="15.75" x14ac:dyDescent="0.25">
      <c r="A27" s="213"/>
      <c r="B27" s="403"/>
      <c r="C27" s="405"/>
      <c r="D27" s="403"/>
      <c r="E27" s="403"/>
      <c r="F27" s="403"/>
      <c r="G27" s="403"/>
      <c r="L27" s="24"/>
      <c r="M27" s="24"/>
      <c r="N27" s="24"/>
    </row>
    <row r="28" spans="1:20" s="15" customFormat="1" ht="15.75" x14ac:dyDescent="0.25">
      <c r="A28" s="386" t="s">
        <v>2104</v>
      </c>
      <c r="B28" s="402">
        <f>39420/365</f>
        <v>108</v>
      </c>
      <c r="C28" s="403">
        <v>4371371</v>
      </c>
      <c r="D28" s="403">
        <v>307245.55999999994</v>
      </c>
      <c r="E28" s="403">
        <v>14.291659449941212</v>
      </c>
      <c r="F28" s="403">
        <v>1091.3322415009927</v>
      </c>
      <c r="G28" s="403">
        <f>F28</f>
        <v>1091.3322415009927</v>
      </c>
      <c r="H28" s="453"/>
      <c r="L28" s="24"/>
      <c r="M28" s="24"/>
      <c r="N28" s="24"/>
    </row>
    <row r="29" spans="1:20" s="15" customFormat="1" ht="15.75" x14ac:dyDescent="0.25">
      <c r="A29" s="213"/>
      <c r="B29" s="403"/>
      <c r="C29" s="406"/>
      <c r="D29" s="403"/>
      <c r="E29" s="403"/>
      <c r="F29" s="403"/>
      <c r="G29" s="403"/>
      <c r="L29" s="24"/>
      <c r="M29" s="24"/>
      <c r="N29" s="24"/>
    </row>
    <row r="30" spans="1:20" s="15" customFormat="1" ht="15.75" x14ac:dyDescent="0.25">
      <c r="A30" s="394" t="s">
        <v>2342</v>
      </c>
      <c r="B30" s="402">
        <f>485815/365</f>
        <v>1331</v>
      </c>
      <c r="C30" s="403">
        <v>2392654</v>
      </c>
      <c r="D30" s="403">
        <v>271290.95</v>
      </c>
      <c r="E30" s="403">
        <v>233.70122555804252</v>
      </c>
      <c r="F30" s="403">
        <v>294.03156148068956</v>
      </c>
      <c r="G30" s="403">
        <f>F30</f>
        <v>294.03156148068956</v>
      </c>
      <c r="H30" s="453"/>
      <c r="L30" s="24"/>
      <c r="M30" s="24"/>
      <c r="N30" s="24"/>
    </row>
    <row r="31" spans="1:20" s="15" customFormat="1" ht="15.75" x14ac:dyDescent="0.25">
      <c r="A31" s="213"/>
      <c r="B31" s="403"/>
      <c r="C31" s="406"/>
      <c r="D31" s="403"/>
      <c r="E31" s="403"/>
      <c r="F31" s="403"/>
      <c r="G31" s="403"/>
      <c r="L31" s="24"/>
      <c r="M31" s="24"/>
      <c r="N31" s="24"/>
    </row>
    <row r="32" spans="1:20" s="15" customFormat="1" ht="15.75" x14ac:dyDescent="0.25">
      <c r="A32" s="394" t="s">
        <v>2346</v>
      </c>
      <c r="B32" s="402">
        <f>1460/365</f>
        <v>4</v>
      </c>
      <c r="C32" s="403">
        <v>326405</v>
      </c>
      <c r="D32" s="403">
        <v>92319.950000000012</v>
      </c>
      <c r="E32" s="403">
        <v>30.081348263269305</v>
      </c>
      <c r="F32" s="404">
        <v>414.04436710277866</v>
      </c>
      <c r="G32" s="404">
        <v>705.08575977897306</v>
      </c>
      <c r="H32" s="453"/>
      <c r="L32" s="24"/>
      <c r="M32" s="24"/>
      <c r="N32" s="24"/>
    </row>
    <row r="33" spans="1:22" s="15" customFormat="1" ht="15.75" x14ac:dyDescent="0.25">
      <c r="A33" s="394"/>
      <c r="B33" s="402"/>
      <c r="C33" s="403"/>
      <c r="D33" s="403"/>
      <c r="E33" s="403"/>
      <c r="F33" s="404"/>
      <c r="G33" s="404"/>
      <c r="L33" s="24"/>
      <c r="M33" s="24"/>
      <c r="N33" s="24"/>
    </row>
    <row r="34" spans="1:22" s="15" customFormat="1" ht="15.75" x14ac:dyDescent="0.25">
      <c r="A34" s="394" t="s">
        <v>2344</v>
      </c>
      <c r="B34" s="402">
        <v>10</v>
      </c>
      <c r="C34" s="403">
        <v>10950</v>
      </c>
      <c r="D34" s="403">
        <v>1533</v>
      </c>
      <c r="E34" s="403">
        <v>2.0341450058514727</v>
      </c>
      <c r="F34" s="404">
        <v>2.5836240000000004</v>
      </c>
      <c r="G34" s="404">
        <f>F34</f>
        <v>2.5836240000000004</v>
      </c>
      <c r="L34" s="24"/>
      <c r="M34" s="24"/>
      <c r="N34" s="24"/>
    </row>
    <row r="35" spans="1:22" s="15" customFormat="1" ht="15.75" x14ac:dyDescent="0.25">
      <c r="A35" s="394"/>
      <c r="B35" s="402"/>
      <c r="C35" s="403"/>
      <c r="D35" s="403"/>
      <c r="E35" s="403"/>
      <c r="F35" s="404"/>
      <c r="G35" s="404"/>
      <c r="L35" s="24"/>
      <c r="M35" s="24"/>
      <c r="N35" s="24"/>
    </row>
    <row r="36" spans="1:22" s="15" customFormat="1" ht="15.75" x14ac:dyDescent="0.25">
      <c r="A36" s="394" t="s">
        <v>2345</v>
      </c>
      <c r="B36" s="459"/>
      <c r="C36" s="406"/>
      <c r="D36" s="406">
        <v>162504.0000000002</v>
      </c>
      <c r="E36" s="406"/>
      <c r="F36" s="460"/>
      <c r="G36" s="460"/>
      <c r="L36" s="24"/>
      <c r="M36" s="24"/>
      <c r="N36" s="24"/>
    </row>
    <row r="37" spans="1:22" s="15" customFormat="1" ht="15.75" x14ac:dyDescent="0.25">
      <c r="A37" s="394"/>
      <c r="B37" s="459"/>
      <c r="C37" s="406"/>
      <c r="D37" s="406"/>
      <c r="E37" s="406"/>
      <c r="F37" s="460"/>
      <c r="G37" s="460"/>
      <c r="L37" s="24"/>
      <c r="M37" s="24"/>
      <c r="N37" s="24"/>
    </row>
    <row r="38" spans="1:22" s="15" customFormat="1" ht="15.75" x14ac:dyDescent="0.25">
      <c r="A38" s="395" t="s">
        <v>2543</v>
      </c>
      <c r="B38" s="408"/>
      <c r="C38" s="409"/>
      <c r="D38" s="409">
        <v>38355.120000000003</v>
      </c>
      <c r="E38" s="409"/>
      <c r="F38" s="410"/>
      <c r="G38" s="410"/>
      <c r="L38" s="24"/>
      <c r="M38" s="24"/>
      <c r="N38" s="24"/>
    </row>
    <row r="39" spans="1:22" s="15" customFormat="1" x14ac:dyDescent="0.2">
      <c r="B39" s="403">
        <f t="shared" ref="B39:G39" si="0">SUM(B8:B38)</f>
        <v>705983.59178082191</v>
      </c>
      <c r="C39" s="403">
        <f t="shared" si="0"/>
        <v>17402124383.080002</v>
      </c>
      <c r="D39" s="407">
        <f t="shared" si="0"/>
        <v>1558608458.4696758</v>
      </c>
      <c r="E39" s="403">
        <f t="shared" si="0"/>
        <v>2463590.9027471277</v>
      </c>
      <c r="F39" s="403">
        <f t="shared" si="0"/>
        <v>4393697.2737191701</v>
      </c>
      <c r="G39" s="403">
        <f t="shared" si="0"/>
        <v>7562503.242075867</v>
      </c>
      <c r="L39" s="24"/>
      <c r="M39" s="24"/>
      <c r="N39" s="24"/>
      <c r="P39" s="166"/>
      <c r="Q39" s="166"/>
      <c r="R39" s="166"/>
      <c r="S39" s="166"/>
      <c r="T39" s="166"/>
      <c r="U39" s="166"/>
      <c r="V39" s="166"/>
    </row>
    <row r="40" spans="1:22" s="15" customFormat="1" x14ac:dyDescent="0.2">
      <c r="B40" s="18"/>
      <c r="C40" s="18"/>
      <c r="D40" s="18"/>
      <c r="E40" s="18"/>
      <c r="F40" s="18"/>
      <c r="G40" s="18"/>
      <c r="H40" s="156"/>
      <c r="I40" s="18"/>
      <c r="J40" s="157"/>
      <c r="K40" s="18"/>
      <c r="L40" s="24"/>
      <c r="M40" s="24"/>
      <c r="N40" s="24"/>
      <c r="P40" s="166"/>
      <c r="Q40" s="166"/>
      <c r="R40" s="166"/>
      <c r="S40" s="166"/>
      <c r="T40" s="166"/>
      <c r="U40" s="166"/>
      <c r="V40" s="166"/>
    </row>
    <row r="41" spans="1:22" s="15" customFormat="1" x14ac:dyDescent="0.2">
      <c r="B41" s="18"/>
      <c r="C41" s="18"/>
      <c r="D41" s="18"/>
      <c r="E41" s="18"/>
      <c r="F41" s="18"/>
      <c r="G41" s="18"/>
      <c r="H41" s="156"/>
      <c r="I41" s="18"/>
      <c r="J41" s="157"/>
      <c r="K41" s="18"/>
      <c r="L41" s="24"/>
      <c r="M41" s="24"/>
      <c r="N41" s="24"/>
      <c r="P41" s="166"/>
      <c r="Q41" s="166"/>
      <c r="R41" s="166"/>
      <c r="S41" s="166"/>
      <c r="T41" s="166"/>
      <c r="U41" s="166"/>
      <c r="V41" s="166"/>
    </row>
    <row r="42" spans="1:22" s="34" customFormat="1" x14ac:dyDescent="0.2">
      <c r="B42" s="397"/>
      <c r="C42" s="397"/>
      <c r="D42" s="158"/>
      <c r="E42" s="397"/>
      <c r="F42" s="397"/>
      <c r="G42" s="397"/>
      <c r="H42" s="398"/>
      <c r="I42" s="397"/>
      <c r="J42" s="399"/>
      <c r="K42" s="397"/>
      <c r="L42" s="400"/>
      <c r="M42" s="400"/>
      <c r="N42" s="400"/>
    </row>
    <row r="44" spans="1:22" x14ac:dyDescent="0.2">
      <c r="D44" s="18"/>
      <c r="E44" s="10"/>
      <c r="F44" s="10"/>
      <c r="G44" s="10"/>
      <c r="H44" s="13"/>
      <c r="I44" s="10"/>
      <c r="J44" s="11"/>
      <c r="K44" s="10"/>
      <c r="L44" s="12"/>
      <c r="M44" s="12"/>
      <c r="N44" s="12"/>
      <c r="P44" s="34"/>
      <c r="Q44" s="34"/>
      <c r="R44" s="34"/>
      <c r="S44" s="34"/>
      <c r="T44" s="34"/>
      <c r="U44" s="34"/>
      <c r="V44" s="34"/>
    </row>
    <row r="45" spans="1:22" x14ac:dyDescent="0.2">
      <c r="C45" s="179"/>
      <c r="D45" s="443"/>
      <c r="E45" s="180"/>
      <c r="F45" s="180"/>
      <c r="G45" s="10"/>
      <c r="H45" s="13"/>
      <c r="I45" s="10"/>
      <c r="J45" s="11"/>
      <c r="K45" s="10"/>
      <c r="L45" s="12"/>
      <c r="M45" s="12"/>
      <c r="N45" s="12"/>
      <c r="P45" s="34"/>
      <c r="Q45" s="34"/>
      <c r="R45" s="34"/>
      <c r="S45" s="34"/>
      <c r="T45" s="34"/>
      <c r="U45" s="34"/>
      <c r="V45" s="34"/>
    </row>
    <row r="46" spans="1:22" x14ac:dyDescent="0.2">
      <c r="C46" s="178"/>
      <c r="D46" s="109"/>
      <c r="E46" s="109"/>
      <c r="F46" s="109"/>
      <c r="G46" s="10"/>
      <c r="H46" s="13"/>
      <c r="I46" s="10"/>
      <c r="J46" s="11"/>
      <c r="K46" s="10"/>
      <c r="L46" s="12"/>
      <c r="M46" s="12"/>
      <c r="N46" s="12"/>
      <c r="P46" s="34"/>
      <c r="Q46" s="34"/>
      <c r="R46" s="34"/>
      <c r="S46" s="34"/>
      <c r="T46" s="34"/>
      <c r="U46" s="34"/>
      <c r="V46" s="34"/>
    </row>
    <row r="47" spans="1:22" x14ac:dyDescent="0.2">
      <c r="C47" s="178"/>
      <c r="D47" s="37"/>
      <c r="E47" s="37"/>
      <c r="F47" s="37"/>
      <c r="G47" s="10"/>
      <c r="H47" s="13"/>
      <c r="I47" s="10"/>
      <c r="J47" s="11"/>
      <c r="K47" s="10"/>
      <c r="L47" s="12"/>
      <c r="M47" s="12"/>
      <c r="N47" s="12"/>
      <c r="P47" s="34"/>
      <c r="Q47" s="34"/>
      <c r="R47" s="34"/>
      <c r="S47" s="34"/>
      <c r="T47" s="34"/>
      <c r="U47" s="34"/>
      <c r="V47" s="34"/>
    </row>
    <row r="48" spans="1:22" x14ac:dyDescent="0.2">
      <c r="C48" s="178"/>
      <c r="D48" s="109"/>
      <c r="E48" s="109"/>
      <c r="F48" s="109"/>
      <c r="G48" s="10"/>
      <c r="H48" s="13"/>
      <c r="I48" s="10"/>
      <c r="J48" s="11"/>
      <c r="K48" s="10"/>
      <c r="L48" s="12"/>
      <c r="M48" s="12"/>
      <c r="N48" s="12"/>
    </row>
    <row r="49" spans="1:14" x14ac:dyDescent="0.2">
      <c r="C49" s="178"/>
      <c r="D49" s="109"/>
      <c r="E49" s="109"/>
      <c r="F49" s="109"/>
      <c r="G49" s="10"/>
      <c r="H49" s="13"/>
      <c r="I49" s="10"/>
      <c r="J49" s="11"/>
      <c r="K49" s="10"/>
      <c r="L49" s="12"/>
      <c r="M49" s="12"/>
      <c r="N49" s="12"/>
    </row>
    <row r="50" spans="1:14" x14ac:dyDescent="0.2">
      <c r="C50" s="178"/>
      <c r="D50" s="109"/>
      <c r="E50" s="109"/>
      <c r="F50" s="109"/>
      <c r="G50" s="10"/>
      <c r="H50" s="13"/>
      <c r="I50" s="10"/>
      <c r="J50" s="11"/>
      <c r="K50" s="10"/>
      <c r="L50" s="12"/>
      <c r="M50" s="12"/>
      <c r="N50" s="12"/>
    </row>
    <row r="51" spans="1:14" x14ac:dyDescent="0.2">
      <c r="A51" s="176"/>
      <c r="D51" s="18"/>
      <c r="E51" s="10"/>
      <c r="F51" s="10"/>
      <c r="G51" s="166"/>
      <c r="H51" s="165"/>
      <c r="I51" s="166"/>
      <c r="J51" s="165"/>
      <c r="K51" s="10"/>
      <c r="L51" s="12"/>
      <c r="M51" s="12"/>
      <c r="N51" s="12"/>
    </row>
    <row r="52" spans="1:14" x14ac:dyDescent="0.2">
      <c r="A52" s="177"/>
      <c r="D52" s="18"/>
      <c r="E52" s="10"/>
      <c r="F52" s="10"/>
      <c r="G52" s="166"/>
      <c r="H52" s="165"/>
      <c r="I52" s="166"/>
      <c r="J52" s="165"/>
      <c r="K52" s="10"/>
      <c r="L52" s="12"/>
      <c r="M52" s="12"/>
      <c r="N52" s="12"/>
    </row>
    <row r="53" spans="1:14" x14ac:dyDescent="0.2">
      <c r="C53" s="178"/>
      <c r="D53" s="18"/>
      <c r="E53" s="10"/>
      <c r="F53" s="10"/>
      <c r="G53" s="166"/>
      <c r="H53" s="165"/>
      <c r="I53" s="166"/>
      <c r="J53" s="165"/>
      <c r="K53" s="10"/>
      <c r="L53" s="12"/>
      <c r="M53" s="12"/>
      <c r="N53" s="12"/>
    </row>
    <row r="54" spans="1:14" x14ac:dyDescent="0.2">
      <c r="C54" s="178"/>
      <c r="D54" s="18"/>
      <c r="E54" s="10"/>
      <c r="F54" s="10"/>
      <c r="G54" s="166"/>
      <c r="H54" s="165"/>
      <c r="I54" s="166"/>
      <c r="J54" s="165"/>
      <c r="K54" s="10"/>
      <c r="L54" s="12"/>
      <c r="M54" s="12"/>
      <c r="N54" s="12"/>
    </row>
    <row r="55" spans="1:14" x14ac:dyDescent="0.2">
      <c r="C55" s="178"/>
      <c r="D55" s="18"/>
      <c r="E55" s="10"/>
      <c r="F55" s="10"/>
      <c r="G55" s="166"/>
      <c r="H55" s="165"/>
      <c r="I55" s="166"/>
      <c r="J55" s="165"/>
      <c r="K55" s="10"/>
      <c r="L55" s="12"/>
      <c r="M55" s="12"/>
      <c r="N55" s="12"/>
    </row>
    <row r="56" spans="1:14" x14ac:dyDescent="0.2">
      <c r="A56" s="176"/>
      <c r="D56" s="18"/>
      <c r="E56" s="10"/>
      <c r="F56" s="10"/>
      <c r="G56" s="166"/>
      <c r="H56" s="166"/>
      <c r="I56" s="166"/>
      <c r="J56" s="166"/>
      <c r="K56" s="10"/>
      <c r="L56" s="12"/>
      <c r="M56" s="12"/>
      <c r="N56" s="12"/>
    </row>
    <row r="57" spans="1:14" x14ac:dyDescent="0.2">
      <c r="D57" s="18"/>
      <c r="E57" s="10"/>
      <c r="F57" s="10"/>
      <c r="G57" s="166"/>
      <c r="H57" s="166"/>
      <c r="I57" s="166"/>
      <c r="J57" s="166"/>
      <c r="K57" s="10"/>
      <c r="L57" s="12"/>
      <c r="M57" s="12"/>
      <c r="N57" s="12"/>
    </row>
    <row r="58" spans="1:14" x14ac:dyDescent="0.2">
      <c r="D58" s="18"/>
      <c r="E58" s="10"/>
      <c r="F58" s="10"/>
      <c r="G58" s="166"/>
      <c r="H58" s="166"/>
      <c r="I58" s="166"/>
      <c r="J58" s="166"/>
      <c r="K58" s="10"/>
      <c r="L58" s="12"/>
      <c r="M58" s="12"/>
      <c r="N58" s="12"/>
    </row>
    <row r="59" spans="1:14" x14ac:dyDescent="0.2">
      <c r="D59" s="18"/>
      <c r="E59" s="10"/>
      <c r="F59" s="10"/>
      <c r="G59" s="166"/>
      <c r="H59" s="166"/>
      <c r="I59" s="166"/>
      <c r="J59" s="166"/>
      <c r="K59" s="10"/>
      <c r="L59" s="12"/>
      <c r="M59" s="12"/>
      <c r="N59" s="12"/>
    </row>
    <row r="60" spans="1:14" x14ac:dyDescent="0.2">
      <c r="D60" s="18"/>
      <c r="E60" s="10"/>
      <c r="F60" s="10"/>
      <c r="G60" s="166"/>
      <c r="H60" s="166"/>
      <c r="I60" s="166"/>
      <c r="J60" s="166"/>
      <c r="K60" s="10"/>
      <c r="L60" s="12"/>
      <c r="M60" s="12"/>
      <c r="N60" s="12"/>
    </row>
    <row r="61" spans="1:14" x14ac:dyDescent="0.2">
      <c r="D61" s="18"/>
      <c r="E61" s="10"/>
      <c r="F61" s="10"/>
      <c r="G61" s="166"/>
      <c r="H61" s="166"/>
      <c r="I61" s="166"/>
      <c r="J61" s="166"/>
      <c r="K61" s="10"/>
      <c r="L61" s="12"/>
      <c r="M61" s="12"/>
      <c r="N61" s="12"/>
    </row>
    <row r="62" spans="1:14" x14ac:dyDescent="0.2">
      <c r="D62" s="18"/>
      <c r="E62" s="10"/>
      <c r="F62" s="10"/>
      <c r="G62" s="166"/>
      <c r="H62" s="166"/>
      <c r="I62" s="166"/>
      <c r="J62" s="166"/>
      <c r="K62" s="10"/>
      <c r="L62" s="12"/>
      <c r="M62" s="12"/>
      <c r="N62" s="12"/>
    </row>
    <row r="63" spans="1:14" x14ac:dyDescent="0.2">
      <c r="D63" s="18"/>
      <c r="E63" s="10"/>
      <c r="F63" s="10"/>
      <c r="G63" s="166"/>
      <c r="H63" s="166"/>
      <c r="I63" s="166"/>
      <c r="J63" s="166"/>
      <c r="K63" s="10"/>
      <c r="L63" s="12"/>
      <c r="M63" s="12"/>
      <c r="N63" s="12"/>
    </row>
    <row r="64" spans="1:14" x14ac:dyDescent="0.2">
      <c r="D64" s="18"/>
      <c r="E64" s="10"/>
      <c r="F64" s="10"/>
      <c r="G64" s="10"/>
      <c r="H64" s="13"/>
      <c r="I64" s="10"/>
      <c r="J64" s="11"/>
      <c r="K64" s="10"/>
      <c r="L64" s="12"/>
      <c r="M64" s="12"/>
      <c r="N64" s="12"/>
    </row>
    <row r="65" spans="1:20" x14ac:dyDescent="0.2">
      <c r="D65" s="18"/>
      <c r="E65" s="10"/>
      <c r="F65" s="10"/>
      <c r="G65" s="10"/>
      <c r="H65" s="13"/>
      <c r="I65" s="10"/>
      <c r="J65" s="11"/>
      <c r="K65" s="10"/>
      <c r="L65" s="12"/>
      <c r="M65" s="12"/>
      <c r="N65" s="12"/>
    </row>
    <row r="66" spans="1:20" x14ac:dyDescent="0.2">
      <c r="D66" s="18"/>
      <c r="E66" s="10"/>
      <c r="F66" s="10"/>
      <c r="G66" s="10"/>
      <c r="H66" s="13"/>
      <c r="I66" s="10"/>
      <c r="J66" s="11"/>
      <c r="K66" s="10"/>
      <c r="L66" s="12"/>
      <c r="M66" s="12"/>
      <c r="N66" s="12"/>
    </row>
    <row r="67" spans="1:20" x14ac:dyDescent="0.2">
      <c r="D67" s="18"/>
      <c r="E67" s="10"/>
      <c r="F67" s="10"/>
      <c r="G67" s="10"/>
      <c r="H67" s="13"/>
      <c r="I67" s="10"/>
      <c r="J67" s="11"/>
      <c r="K67" s="10"/>
      <c r="L67" s="12"/>
      <c r="M67" s="12"/>
      <c r="N67" s="12"/>
    </row>
    <row r="68" spans="1:20" x14ac:dyDescent="0.2">
      <c r="D68" s="18"/>
      <c r="E68" s="10"/>
      <c r="F68" s="10"/>
      <c r="G68" s="10"/>
      <c r="H68" s="13"/>
      <c r="I68" s="10"/>
      <c r="J68" s="11"/>
      <c r="K68" s="10"/>
      <c r="L68" s="12"/>
      <c r="M68" s="12"/>
      <c r="N68" s="12"/>
    </row>
    <row r="69" spans="1:20" x14ac:dyDescent="0.2">
      <c r="D69" s="18"/>
      <c r="E69" s="10"/>
      <c r="F69" s="10"/>
      <c r="G69" s="10"/>
      <c r="H69" s="13"/>
      <c r="I69" s="10"/>
      <c r="J69" s="11"/>
      <c r="K69" s="10"/>
      <c r="L69" s="12"/>
      <c r="M69" s="12"/>
      <c r="N69" s="12"/>
    </row>
    <row r="70" spans="1:20" x14ac:dyDescent="0.2">
      <c r="D70" s="18"/>
      <c r="E70" s="10"/>
      <c r="F70" s="10"/>
      <c r="G70" s="10"/>
      <c r="H70" s="13"/>
      <c r="I70" s="10"/>
      <c r="J70" s="11"/>
      <c r="K70" s="10"/>
      <c r="L70" s="12"/>
      <c r="M70" s="12"/>
      <c r="N70" s="12"/>
    </row>
    <row r="71" spans="1:20" x14ac:dyDescent="0.2">
      <c r="D71" s="18"/>
      <c r="E71" s="10"/>
      <c r="F71" s="10"/>
      <c r="G71" s="10"/>
      <c r="H71" s="13"/>
      <c r="I71" s="10"/>
      <c r="J71" s="11"/>
      <c r="K71" s="10"/>
      <c r="L71" s="12"/>
      <c r="M71" s="12"/>
      <c r="N71" s="12"/>
    </row>
    <row r="72" spans="1:20" x14ac:dyDescent="0.2">
      <c r="J72" s="11"/>
      <c r="K72" s="10"/>
      <c r="L72" s="12"/>
      <c r="M72" s="12"/>
      <c r="N72" s="12"/>
    </row>
    <row r="73" spans="1:20" x14ac:dyDescent="0.2">
      <c r="D73" s="18"/>
      <c r="E73" s="10"/>
      <c r="F73" s="10"/>
      <c r="G73" s="10"/>
      <c r="H73" s="13"/>
      <c r="I73" s="10"/>
      <c r="J73" s="11"/>
      <c r="K73" s="10"/>
      <c r="L73" s="12"/>
      <c r="M73" s="12"/>
      <c r="N73" s="12"/>
    </row>
    <row r="74" spans="1:20" x14ac:dyDescent="0.2">
      <c r="D74" s="18"/>
      <c r="E74" s="10"/>
      <c r="F74" s="10"/>
      <c r="G74" s="10"/>
      <c r="H74" s="13"/>
      <c r="I74" s="10"/>
      <c r="J74" s="11"/>
      <c r="K74" s="10"/>
      <c r="L74" s="12"/>
      <c r="M74" s="12"/>
      <c r="N74" s="12"/>
    </row>
    <row r="75" spans="1:20" s="15" customFormat="1" x14ac:dyDescent="0.2">
      <c r="A75" s="150"/>
      <c r="B75" s="151"/>
      <c r="C75" s="151"/>
      <c r="D75" s="152"/>
      <c r="E75" s="152"/>
      <c r="F75" s="152"/>
      <c r="G75" s="152"/>
      <c r="H75" s="152"/>
      <c r="I75" s="152"/>
      <c r="J75" s="152"/>
      <c r="K75" s="152"/>
      <c r="L75" s="152"/>
      <c r="M75" s="152"/>
      <c r="N75" s="152"/>
      <c r="O75" s="152"/>
      <c r="P75" s="152"/>
      <c r="S75" s="152"/>
      <c r="T75" s="152"/>
    </row>
    <row r="76" spans="1:20" s="15" customFormat="1" x14ac:dyDescent="0.2">
      <c r="A76" s="150"/>
      <c r="B76" s="151"/>
      <c r="C76" s="151"/>
      <c r="D76" s="152"/>
      <c r="E76" s="152"/>
      <c r="F76" s="152"/>
      <c r="G76" s="152"/>
      <c r="H76" s="152"/>
      <c r="I76" s="152"/>
      <c r="J76" s="152"/>
      <c r="K76" s="152"/>
      <c r="L76" s="152"/>
    </row>
    <row r="77" spans="1:20" s="15" customFormat="1" x14ac:dyDescent="0.2">
      <c r="A77" s="14"/>
      <c r="B77" s="17"/>
      <c r="C77" s="17"/>
      <c r="D77" s="152"/>
      <c r="E77" s="152"/>
      <c r="F77" s="152"/>
      <c r="G77" s="152"/>
      <c r="H77" s="152"/>
      <c r="I77" s="152"/>
      <c r="J77" s="152"/>
      <c r="K77" s="152"/>
      <c r="L77" s="152"/>
      <c r="M77" s="153"/>
    </row>
    <row r="78" spans="1:20" s="15" customFormat="1" x14ac:dyDescent="0.2">
      <c r="B78" s="18"/>
      <c r="C78" s="18"/>
      <c r="D78" s="152"/>
      <c r="E78" s="152"/>
      <c r="F78" s="152"/>
      <c r="G78" s="152"/>
      <c r="H78" s="152"/>
      <c r="I78" s="152"/>
      <c r="J78" s="152"/>
      <c r="K78" s="152"/>
      <c r="L78" s="152"/>
    </row>
    <row r="79" spans="1:20" s="15" customFormat="1" x14ac:dyDescent="0.2">
      <c r="B79" s="18"/>
      <c r="C79" s="18"/>
      <c r="D79" s="154"/>
      <c r="E79" s="154"/>
      <c r="F79" s="154"/>
      <c r="G79" s="154"/>
      <c r="H79" s="154"/>
      <c r="I79" s="154"/>
      <c r="J79" s="154"/>
      <c r="K79" s="154"/>
      <c r="L79" s="155"/>
    </row>
    <row r="80" spans="1:20" s="15" customFormat="1" x14ac:dyDescent="0.2">
      <c r="B80" s="18"/>
      <c r="C80" s="18"/>
      <c r="D80" s="152"/>
      <c r="E80" s="152"/>
      <c r="F80" s="152"/>
      <c r="G80" s="152"/>
      <c r="H80" s="152"/>
      <c r="I80" s="152"/>
      <c r="J80" s="152"/>
      <c r="K80" s="152"/>
      <c r="L80" s="152"/>
      <c r="M80" s="153"/>
      <c r="N80" s="153"/>
    </row>
    <row r="81" spans="1:17" s="15" customFormat="1" x14ac:dyDescent="0.2">
      <c r="B81" s="18"/>
      <c r="C81" s="18"/>
      <c r="D81" s="154"/>
      <c r="E81" s="154"/>
      <c r="F81" s="154"/>
      <c r="G81" s="154"/>
      <c r="H81" s="154"/>
      <c r="I81" s="154"/>
      <c r="J81" s="154"/>
      <c r="K81" s="154"/>
      <c r="L81" s="154"/>
    </row>
    <row r="82" spans="1:17" s="15" customFormat="1" x14ac:dyDescent="0.2">
      <c r="B82" s="18"/>
      <c r="C82" s="18"/>
      <c r="D82" s="152"/>
      <c r="E82" s="152"/>
      <c r="F82" s="152"/>
      <c r="G82" s="152"/>
      <c r="H82" s="152"/>
      <c r="I82" s="152"/>
      <c r="J82" s="152"/>
      <c r="K82" s="152"/>
      <c r="L82" s="152"/>
      <c r="M82" s="153"/>
      <c r="O82" s="153"/>
      <c r="P82" s="153"/>
      <c r="Q82" s="153"/>
    </row>
    <row r="83" spans="1:17" s="15" customFormat="1" x14ac:dyDescent="0.2">
      <c r="B83" s="18"/>
      <c r="C83" s="18"/>
      <c r="D83" s="154"/>
      <c r="E83" s="154"/>
      <c r="F83" s="154"/>
      <c r="G83" s="154"/>
      <c r="H83" s="154"/>
      <c r="I83" s="154"/>
      <c r="J83" s="154"/>
      <c r="K83" s="154"/>
      <c r="L83" s="152"/>
      <c r="M83" s="153"/>
    </row>
    <row r="84" spans="1:17" s="15" customFormat="1" x14ac:dyDescent="0.2">
      <c r="B84" s="18"/>
      <c r="C84" s="18"/>
      <c r="D84" s="152"/>
      <c r="E84" s="152"/>
      <c r="F84" s="152"/>
      <c r="G84" s="152"/>
      <c r="H84" s="152"/>
      <c r="I84" s="152"/>
      <c r="J84" s="152"/>
      <c r="K84" s="152"/>
      <c r="L84" s="152"/>
      <c r="M84" s="153"/>
      <c r="N84" s="153"/>
    </row>
    <row r="85" spans="1:17" s="15" customFormat="1" x14ac:dyDescent="0.2">
      <c r="A85" s="150"/>
      <c r="B85" s="151"/>
      <c r="C85" s="151"/>
      <c r="D85" s="152"/>
      <c r="E85" s="152"/>
      <c r="F85" s="152"/>
      <c r="G85" s="152"/>
      <c r="H85" s="152"/>
      <c r="I85" s="152"/>
      <c r="J85" s="152"/>
      <c r="K85" s="152"/>
      <c r="L85" s="152"/>
    </row>
    <row r="86" spans="1:17" s="15" customFormat="1" x14ac:dyDescent="0.2">
      <c r="A86" s="14"/>
      <c r="B86" s="17"/>
      <c r="C86" s="17"/>
      <c r="D86" s="152"/>
      <c r="E86" s="152"/>
      <c r="F86" s="152"/>
      <c r="G86" s="152"/>
      <c r="H86" s="152"/>
      <c r="I86" s="152"/>
      <c r="J86" s="152"/>
      <c r="K86" s="152"/>
      <c r="L86" s="152"/>
      <c r="M86" s="153"/>
    </row>
    <row r="87" spans="1:17" s="15" customFormat="1" x14ac:dyDescent="0.2">
      <c r="B87" s="18"/>
      <c r="C87" s="18"/>
      <c r="D87" s="152"/>
      <c r="E87" s="152"/>
      <c r="F87" s="152"/>
      <c r="G87" s="152"/>
      <c r="H87" s="152"/>
      <c r="I87" s="152"/>
      <c r="J87" s="152"/>
      <c r="K87" s="152"/>
      <c r="L87" s="152"/>
    </row>
    <row r="88" spans="1:17" s="15" customFormat="1" x14ac:dyDescent="0.2">
      <c r="B88" s="18"/>
      <c r="C88" s="18"/>
      <c r="D88" s="154"/>
      <c r="E88" s="154"/>
      <c r="F88" s="154"/>
      <c r="G88" s="154"/>
      <c r="H88" s="154"/>
      <c r="I88" s="154"/>
      <c r="J88" s="154"/>
      <c r="K88" s="154"/>
      <c r="L88" s="155"/>
    </row>
    <row r="89" spans="1:17" s="15" customFormat="1" x14ac:dyDescent="0.2">
      <c r="B89" s="18"/>
      <c r="C89" s="18"/>
      <c r="D89" s="152"/>
      <c r="E89" s="152"/>
      <c r="F89" s="152"/>
      <c r="G89" s="152"/>
      <c r="H89" s="152"/>
      <c r="I89" s="152"/>
      <c r="J89" s="152"/>
      <c r="K89" s="152"/>
      <c r="L89" s="152"/>
      <c r="M89" s="153"/>
      <c r="N89" s="153"/>
    </row>
    <row r="90" spans="1:17" s="15" customFormat="1" x14ac:dyDescent="0.2">
      <c r="B90" s="18"/>
      <c r="C90" s="18"/>
      <c r="D90" s="154"/>
      <c r="E90" s="154"/>
      <c r="F90" s="154"/>
      <c r="G90" s="154"/>
      <c r="H90" s="154"/>
      <c r="I90" s="154"/>
      <c r="J90" s="154"/>
      <c r="K90" s="154"/>
      <c r="L90" s="154"/>
    </row>
    <row r="91" spans="1:17" s="15" customFormat="1" x14ac:dyDescent="0.2">
      <c r="B91" s="18"/>
      <c r="C91" s="18"/>
      <c r="D91" s="152"/>
      <c r="E91" s="152"/>
      <c r="F91" s="152"/>
      <c r="G91" s="152"/>
      <c r="H91" s="152"/>
      <c r="I91" s="152"/>
      <c r="J91" s="152"/>
      <c r="K91" s="152"/>
      <c r="L91" s="152"/>
      <c r="M91" s="153"/>
      <c r="O91" s="153"/>
      <c r="P91" s="153"/>
    </row>
    <row r="92" spans="1:17" s="15" customFormat="1" x14ac:dyDescent="0.2">
      <c r="B92" s="18"/>
      <c r="C92" s="18"/>
      <c r="D92" s="154"/>
      <c r="E92" s="154"/>
      <c r="F92" s="154"/>
      <c r="G92" s="154"/>
      <c r="H92" s="154"/>
      <c r="I92" s="154"/>
      <c r="J92" s="154"/>
      <c r="K92" s="154"/>
      <c r="L92" s="152"/>
      <c r="M92" s="153"/>
    </row>
    <row r="93" spans="1:17" s="15" customFormat="1" x14ac:dyDescent="0.2">
      <c r="B93" s="18"/>
      <c r="C93" s="18"/>
      <c r="D93" s="152"/>
      <c r="E93" s="152"/>
      <c r="F93" s="152"/>
      <c r="G93" s="152"/>
      <c r="H93" s="152"/>
      <c r="I93" s="152"/>
      <c r="J93" s="152"/>
      <c r="K93" s="152"/>
      <c r="L93" s="152"/>
      <c r="M93" s="153"/>
      <c r="N93" s="153"/>
    </row>
    <row r="94" spans="1:17" s="15" customFormat="1" x14ac:dyDescent="0.2">
      <c r="A94" s="150"/>
      <c r="B94" s="151"/>
      <c r="C94" s="151"/>
      <c r="D94" s="18"/>
      <c r="E94" s="18"/>
      <c r="F94" s="18"/>
      <c r="G94" s="18"/>
      <c r="H94" s="156"/>
      <c r="I94" s="18"/>
      <c r="J94" s="157"/>
      <c r="K94" s="18"/>
      <c r="N94" s="153"/>
    </row>
    <row r="95" spans="1:17" s="15" customFormat="1" x14ac:dyDescent="0.2">
      <c r="A95" s="14"/>
      <c r="B95" s="17"/>
      <c r="C95" s="17"/>
      <c r="D95" s="18"/>
      <c r="E95" s="18"/>
      <c r="F95" s="18"/>
      <c r="G95" s="18"/>
      <c r="H95" s="18"/>
      <c r="I95" s="18"/>
      <c r="J95" s="18"/>
      <c r="K95" s="18"/>
      <c r="L95" s="152"/>
      <c r="M95" s="153"/>
      <c r="N95" s="153"/>
    </row>
    <row r="96" spans="1:17" s="15" customFormat="1" x14ac:dyDescent="0.2">
      <c r="B96" s="18"/>
      <c r="C96" s="18"/>
      <c r="D96" s="152"/>
      <c r="E96" s="152"/>
      <c r="F96" s="152"/>
      <c r="G96" s="152"/>
      <c r="H96" s="152"/>
      <c r="I96" s="152"/>
      <c r="J96" s="152"/>
      <c r="K96" s="152"/>
      <c r="L96" s="152"/>
      <c r="M96" s="18"/>
      <c r="N96" s="153"/>
    </row>
    <row r="97" spans="1:16" s="15" customFormat="1" x14ac:dyDescent="0.2">
      <c r="B97" s="18"/>
      <c r="C97" s="18"/>
      <c r="D97" s="154"/>
      <c r="E97" s="154"/>
      <c r="F97" s="154"/>
      <c r="G97" s="154"/>
      <c r="H97" s="154"/>
      <c r="I97" s="154"/>
      <c r="J97" s="154"/>
      <c r="K97" s="154"/>
      <c r="L97" s="152"/>
      <c r="M97" s="18"/>
      <c r="N97" s="153"/>
    </row>
    <row r="98" spans="1:16" s="15" customFormat="1" x14ac:dyDescent="0.2">
      <c r="B98" s="18"/>
      <c r="C98" s="18"/>
      <c r="D98" s="152"/>
      <c r="E98" s="152"/>
      <c r="F98" s="152"/>
      <c r="G98" s="152"/>
      <c r="H98" s="152"/>
      <c r="I98" s="152"/>
      <c r="J98" s="152"/>
      <c r="K98" s="152"/>
      <c r="L98" s="152"/>
      <c r="M98" s="153"/>
      <c r="N98" s="153"/>
    </row>
    <row r="99" spans="1:16" s="15" customFormat="1" x14ac:dyDescent="0.2">
      <c r="B99" s="18"/>
      <c r="C99" s="18"/>
      <c r="D99" s="154"/>
      <c r="E99" s="154"/>
      <c r="F99" s="154"/>
      <c r="G99" s="154"/>
      <c r="H99" s="154"/>
      <c r="I99" s="154"/>
      <c r="J99" s="154"/>
      <c r="K99" s="154"/>
      <c r="L99" s="154"/>
      <c r="M99" s="18"/>
      <c r="N99" s="153"/>
    </row>
    <row r="100" spans="1:16" s="15" customFormat="1" x14ac:dyDescent="0.2">
      <c r="B100" s="18"/>
      <c r="C100" s="18"/>
      <c r="D100" s="152"/>
      <c r="E100" s="152"/>
      <c r="F100" s="152"/>
      <c r="G100" s="152"/>
      <c r="H100" s="152"/>
      <c r="I100" s="152"/>
      <c r="J100" s="152"/>
      <c r="K100" s="152"/>
      <c r="L100" s="152"/>
      <c r="M100" s="153"/>
      <c r="N100" s="153"/>
      <c r="O100" s="153"/>
      <c r="P100" s="153"/>
    </row>
    <row r="101" spans="1:16" s="15" customFormat="1" x14ac:dyDescent="0.2">
      <c r="B101" s="18"/>
      <c r="C101" s="18"/>
      <c r="D101" s="154"/>
      <c r="E101" s="154"/>
      <c r="F101" s="154"/>
      <c r="G101" s="154"/>
      <c r="H101" s="154"/>
      <c r="I101" s="154"/>
      <c r="J101" s="154"/>
      <c r="K101" s="154"/>
      <c r="L101" s="152"/>
      <c r="M101" s="153"/>
    </row>
    <row r="102" spans="1:16" s="15" customFormat="1" x14ac:dyDescent="0.2">
      <c r="B102" s="18"/>
      <c r="C102" s="18"/>
      <c r="D102" s="152"/>
      <c r="E102" s="152"/>
      <c r="F102" s="152"/>
      <c r="G102" s="152"/>
      <c r="H102" s="152"/>
      <c r="I102" s="152"/>
      <c r="J102" s="152"/>
      <c r="K102" s="152"/>
      <c r="L102" s="152"/>
      <c r="M102" s="153"/>
      <c r="N102" s="153"/>
    </row>
    <row r="103" spans="1:16" s="15" customFormat="1" x14ac:dyDescent="0.2">
      <c r="A103" s="150"/>
      <c r="B103" s="151"/>
      <c r="C103" s="151"/>
      <c r="D103" s="159"/>
      <c r="E103" s="159"/>
      <c r="F103" s="159"/>
      <c r="G103" s="158"/>
      <c r="H103" s="160"/>
      <c r="I103" s="158"/>
      <c r="J103" s="161"/>
      <c r="K103" s="158"/>
      <c r="L103" s="24"/>
      <c r="M103" s="24"/>
      <c r="N103" s="24"/>
    </row>
    <row r="104" spans="1:16" s="15" customFormat="1" x14ac:dyDescent="0.2">
      <c r="A104" s="14"/>
      <c r="B104" s="17"/>
      <c r="C104" s="17"/>
      <c r="D104" s="18"/>
      <c r="E104" s="18"/>
      <c r="F104" s="18"/>
      <c r="G104" s="18"/>
      <c r="H104" s="18"/>
      <c r="I104" s="18"/>
      <c r="J104" s="18"/>
      <c r="K104" s="18"/>
      <c r="L104" s="152"/>
      <c r="M104" s="153"/>
      <c r="N104" s="153"/>
    </row>
    <row r="105" spans="1:16" s="15" customFormat="1" x14ac:dyDescent="0.2">
      <c r="B105" s="18"/>
      <c r="C105" s="18"/>
      <c r="D105" s="152"/>
      <c r="E105" s="152"/>
      <c r="F105" s="152"/>
      <c r="G105" s="152"/>
      <c r="H105" s="152"/>
      <c r="I105" s="152"/>
      <c r="J105" s="152"/>
      <c r="K105" s="152"/>
      <c r="L105" s="152"/>
      <c r="N105" s="153"/>
    </row>
    <row r="106" spans="1:16" s="15" customFormat="1" x14ac:dyDescent="0.2">
      <c r="B106" s="18"/>
      <c r="C106" s="18"/>
      <c r="D106" s="154"/>
      <c r="E106" s="154"/>
      <c r="F106" s="154"/>
      <c r="G106" s="154"/>
      <c r="H106" s="154"/>
      <c r="I106" s="154"/>
      <c r="J106" s="154"/>
      <c r="K106" s="154"/>
      <c r="L106" s="152"/>
      <c r="N106" s="153"/>
    </row>
    <row r="107" spans="1:16" s="15" customFormat="1" x14ac:dyDescent="0.2">
      <c r="B107" s="18"/>
      <c r="C107" s="18"/>
      <c r="D107" s="152"/>
      <c r="E107" s="152"/>
      <c r="F107" s="152"/>
      <c r="G107" s="152"/>
      <c r="H107" s="152"/>
      <c r="I107" s="152"/>
      <c r="J107" s="152"/>
      <c r="K107" s="152"/>
      <c r="L107" s="152"/>
      <c r="M107" s="153"/>
      <c r="N107" s="153"/>
    </row>
    <row r="108" spans="1:16" s="15" customFormat="1" x14ac:dyDescent="0.2">
      <c r="B108" s="18"/>
      <c r="C108" s="18"/>
      <c r="D108" s="154"/>
      <c r="E108" s="154"/>
      <c r="F108" s="154"/>
      <c r="G108" s="154"/>
      <c r="H108" s="154"/>
      <c r="I108" s="154"/>
      <c r="J108" s="154"/>
      <c r="K108" s="154"/>
      <c r="L108" s="154"/>
      <c r="N108" s="153"/>
    </row>
    <row r="109" spans="1:16" s="15" customFormat="1" x14ac:dyDescent="0.2">
      <c r="B109" s="18"/>
      <c r="C109" s="18"/>
      <c r="D109" s="152"/>
      <c r="E109" s="152"/>
      <c r="F109" s="152"/>
      <c r="G109" s="152"/>
      <c r="H109" s="152"/>
      <c r="I109" s="152"/>
      <c r="J109" s="152"/>
      <c r="K109" s="152"/>
      <c r="L109" s="152"/>
      <c r="M109" s="153"/>
      <c r="N109" s="153"/>
      <c r="O109" s="153"/>
      <c r="P109" s="153"/>
    </row>
    <row r="110" spans="1:16" s="15" customFormat="1" x14ac:dyDescent="0.2">
      <c r="B110" s="18"/>
      <c r="C110" s="18"/>
      <c r="D110" s="154"/>
      <c r="E110" s="154"/>
      <c r="F110" s="154"/>
      <c r="G110" s="154"/>
      <c r="H110" s="154"/>
      <c r="I110" s="154"/>
      <c r="J110" s="154"/>
      <c r="K110" s="154"/>
      <c r="L110" s="152"/>
      <c r="M110" s="153"/>
    </row>
    <row r="111" spans="1:16" s="15" customFormat="1" x14ac:dyDescent="0.2">
      <c r="B111" s="18"/>
      <c r="C111" s="18"/>
      <c r="D111" s="152"/>
      <c r="E111" s="152"/>
      <c r="F111" s="152"/>
      <c r="G111" s="152"/>
      <c r="H111" s="152"/>
      <c r="I111" s="152"/>
      <c r="J111" s="152"/>
      <c r="K111" s="152"/>
      <c r="L111" s="152"/>
      <c r="M111" s="153"/>
      <c r="N111" s="153"/>
    </row>
    <row r="112" spans="1:16" s="15" customFormat="1" x14ac:dyDescent="0.2">
      <c r="A112" s="150"/>
      <c r="B112" s="151"/>
      <c r="C112" s="151"/>
      <c r="D112" s="18"/>
      <c r="E112" s="18"/>
      <c r="F112" s="18"/>
      <c r="G112" s="18"/>
      <c r="H112" s="18"/>
      <c r="I112" s="18"/>
      <c r="J112" s="18"/>
      <c r="K112" s="18"/>
      <c r="L112" s="18"/>
      <c r="M112" s="18"/>
      <c r="N112" s="153"/>
    </row>
    <row r="113" spans="1:20" s="15" customFormat="1" x14ac:dyDescent="0.2">
      <c r="A113" s="14"/>
      <c r="B113" s="17"/>
      <c r="C113" s="17"/>
      <c r="D113" s="18"/>
      <c r="E113" s="18"/>
      <c r="F113" s="18"/>
      <c r="G113" s="18"/>
      <c r="H113" s="18"/>
      <c r="I113" s="18"/>
      <c r="J113" s="18"/>
      <c r="K113" s="18"/>
      <c r="L113" s="153"/>
      <c r="M113" s="153"/>
      <c r="N113" s="24"/>
      <c r="R113" s="163"/>
      <c r="T113" s="163"/>
    </row>
    <row r="114" spans="1:20" s="15" customFormat="1" x14ac:dyDescent="0.2">
      <c r="B114" s="18"/>
      <c r="C114" s="18"/>
      <c r="D114" s="152"/>
      <c r="E114" s="152"/>
      <c r="F114" s="152"/>
      <c r="G114" s="152"/>
      <c r="H114" s="152"/>
      <c r="I114" s="152"/>
      <c r="J114" s="152"/>
      <c r="K114" s="152"/>
      <c r="L114" s="152"/>
      <c r="N114" s="24"/>
      <c r="R114" s="163"/>
      <c r="T114" s="163"/>
    </row>
    <row r="115" spans="1:20" s="15" customFormat="1" x14ac:dyDescent="0.2">
      <c r="B115" s="18"/>
      <c r="C115" s="18"/>
      <c r="D115" s="154"/>
      <c r="E115" s="154"/>
      <c r="F115" s="154"/>
      <c r="G115" s="154"/>
      <c r="H115" s="154"/>
      <c r="I115" s="154"/>
      <c r="J115" s="154"/>
      <c r="K115" s="154"/>
      <c r="L115" s="152"/>
      <c r="N115" s="153"/>
      <c r="R115" s="163"/>
      <c r="T115" s="163"/>
    </row>
    <row r="116" spans="1:20" s="15" customFormat="1" x14ac:dyDescent="0.2">
      <c r="B116" s="18"/>
      <c r="C116" s="18"/>
      <c r="D116" s="152"/>
      <c r="E116" s="152"/>
      <c r="F116" s="152"/>
      <c r="G116" s="152"/>
      <c r="H116" s="152"/>
      <c r="I116" s="152"/>
      <c r="J116" s="152"/>
      <c r="K116" s="152"/>
      <c r="L116" s="153"/>
      <c r="M116" s="153"/>
      <c r="N116" s="153"/>
      <c r="R116" s="163"/>
      <c r="T116" s="163"/>
    </row>
    <row r="117" spans="1:20" s="15" customFormat="1" x14ac:dyDescent="0.2">
      <c r="B117" s="18"/>
      <c r="C117" s="18"/>
      <c r="D117" s="154"/>
      <c r="E117" s="154"/>
      <c r="F117" s="154"/>
      <c r="G117" s="154"/>
      <c r="H117" s="154"/>
      <c r="I117" s="154"/>
      <c r="J117" s="154"/>
      <c r="K117" s="154"/>
      <c r="L117" s="154"/>
      <c r="M117" s="24"/>
      <c r="N117" s="24"/>
      <c r="R117" s="163"/>
      <c r="T117" s="163"/>
    </row>
    <row r="118" spans="1:20" s="15" customFormat="1" x14ac:dyDescent="0.2">
      <c r="B118" s="18"/>
      <c r="C118" s="18"/>
      <c r="D118" s="152"/>
      <c r="E118" s="152"/>
      <c r="F118" s="152"/>
      <c r="G118" s="152"/>
      <c r="H118" s="152"/>
      <c r="I118" s="152"/>
      <c r="J118" s="152"/>
      <c r="K118" s="152"/>
      <c r="L118" s="153"/>
      <c r="M118" s="153"/>
      <c r="N118" s="24"/>
      <c r="O118" s="153"/>
      <c r="P118" s="153"/>
      <c r="R118" s="163"/>
      <c r="T118" s="163"/>
    </row>
    <row r="119" spans="1:20" s="15" customFormat="1" x14ac:dyDescent="0.2">
      <c r="B119" s="18"/>
      <c r="C119" s="18"/>
      <c r="D119" s="154"/>
      <c r="E119" s="154"/>
      <c r="F119" s="154"/>
      <c r="G119" s="154"/>
      <c r="H119" s="154"/>
      <c r="I119" s="154"/>
      <c r="J119" s="154"/>
      <c r="K119" s="154"/>
      <c r="L119" s="152"/>
      <c r="M119" s="153"/>
    </row>
    <row r="120" spans="1:20" s="15" customFormat="1" x14ac:dyDescent="0.2">
      <c r="B120" s="18"/>
      <c r="C120" s="18"/>
      <c r="D120" s="152"/>
      <c r="E120" s="152"/>
      <c r="F120" s="152"/>
      <c r="G120" s="152"/>
      <c r="H120" s="152"/>
      <c r="I120" s="152"/>
      <c r="J120" s="152"/>
      <c r="K120" s="152"/>
      <c r="L120" s="152"/>
      <c r="M120" s="153"/>
      <c r="N120" s="153"/>
    </row>
    <row r="121" spans="1:20" s="15" customFormat="1" x14ac:dyDescent="0.2">
      <c r="B121" s="18"/>
      <c r="C121" s="18"/>
      <c r="D121" s="152"/>
      <c r="E121" s="152"/>
      <c r="F121" s="152"/>
      <c r="G121" s="152"/>
      <c r="H121" s="152"/>
      <c r="I121" s="152"/>
      <c r="J121" s="152"/>
      <c r="K121" s="152"/>
      <c r="L121" s="152"/>
      <c r="M121" s="153"/>
    </row>
    <row r="122" spans="1:20" s="15" customFormat="1" x14ac:dyDescent="0.2">
      <c r="A122" s="14"/>
      <c r="B122" s="17"/>
      <c r="C122" s="17"/>
      <c r="D122" s="18"/>
      <c r="E122" s="18"/>
      <c r="F122" s="18"/>
      <c r="G122" s="18"/>
      <c r="H122" s="18"/>
      <c r="I122" s="18"/>
      <c r="J122" s="18"/>
      <c r="K122" s="18"/>
      <c r="L122" s="153"/>
      <c r="M122" s="153"/>
      <c r="N122" s="24"/>
      <c r="R122" s="163"/>
      <c r="T122" s="163"/>
    </row>
    <row r="123" spans="1:20" s="15" customFormat="1" x14ac:dyDescent="0.2">
      <c r="B123" s="18"/>
      <c r="C123" s="18"/>
      <c r="D123" s="152"/>
      <c r="E123" s="152"/>
      <c r="F123" s="152"/>
      <c r="G123" s="152"/>
      <c r="H123" s="152"/>
      <c r="I123" s="152"/>
      <c r="J123" s="152"/>
      <c r="K123" s="152"/>
      <c r="L123" s="152"/>
      <c r="N123" s="24"/>
      <c r="R123" s="163"/>
      <c r="T123" s="163"/>
    </row>
    <row r="124" spans="1:20" s="15" customFormat="1" x14ac:dyDescent="0.2">
      <c r="B124" s="18"/>
      <c r="C124" s="18"/>
      <c r="D124" s="154"/>
      <c r="E124" s="154"/>
      <c r="F124" s="154"/>
      <c r="G124" s="154"/>
      <c r="H124" s="154"/>
      <c r="I124" s="154"/>
      <c r="J124" s="154"/>
      <c r="K124" s="154"/>
      <c r="L124" s="152"/>
      <c r="N124" s="153"/>
      <c r="R124" s="163"/>
      <c r="T124" s="163"/>
    </row>
    <row r="125" spans="1:20" s="15" customFormat="1" x14ac:dyDescent="0.2">
      <c r="B125" s="18"/>
      <c r="C125" s="18"/>
      <c r="D125" s="152"/>
      <c r="E125" s="152"/>
      <c r="F125" s="152"/>
      <c r="G125" s="152"/>
      <c r="H125" s="152"/>
      <c r="I125" s="152"/>
      <c r="J125" s="152"/>
      <c r="K125" s="152"/>
      <c r="L125" s="153"/>
      <c r="M125" s="153"/>
      <c r="N125" s="153"/>
      <c r="R125" s="163"/>
      <c r="T125" s="163"/>
    </row>
    <row r="126" spans="1:20" s="15" customFormat="1" x14ac:dyDescent="0.2">
      <c r="B126" s="18"/>
      <c r="C126" s="18"/>
      <c r="D126" s="154"/>
      <c r="E126" s="154"/>
      <c r="F126" s="154"/>
      <c r="G126" s="154"/>
      <c r="H126" s="154"/>
      <c r="I126" s="154"/>
      <c r="J126" s="154"/>
      <c r="K126" s="154"/>
      <c r="L126" s="154"/>
      <c r="M126" s="24"/>
      <c r="N126" s="24"/>
      <c r="R126" s="163"/>
      <c r="T126" s="163"/>
    </row>
    <row r="127" spans="1:20" s="15" customFormat="1" x14ac:dyDescent="0.2">
      <c r="B127" s="18"/>
      <c r="C127" s="18"/>
      <c r="D127" s="152"/>
      <c r="E127" s="152"/>
      <c r="F127" s="152"/>
      <c r="G127" s="152"/>
      <c r="H127" s="152"/>
      <c r="I127" s="152"/>
      <c r="J127" s="152"/>
      <c r="K127" s="152"/>
      <c r="L127" s="153"/>
      <c r="M127" s="153"/>
      <c r="N127" s="24"/>
      <c r="O127" s="153"/>
      <c r="P127" s="153"/>
      <c r="R127" s="163"/>
      <c r="T127" s="163"/>
    </row>
    <row r="128" spans="1:20" s="15" customFormat="1" x14ac:dyDescent="0.2">
      <c r="B128" s="18"/>
      <c r="C128" s="18"/>
      <c r="D128" s="154"/>
      <c r="E128" s="154"/>
      <c r="F128" s="154"/>
      <c r="G128" s="154"/>
      <c r="H128" s="154"/>
      <c r="I128" s="154"/>
      <c r="J128" s="154"/>
      <c r="K128" s="154"/>
      <c r="L128" s="152"/>
      <c r="M128" s="153"/>
    </row>
    <row r="129" spans="1:20" s="15" customFormat="1" x14ac:dyDescent="0.2">
      <c r="B129" s="18"/>
      <c r="C129" s="18"/>
      <c r="D129" s="152"/>
      <c r="E129" s="152"/>
      <c r="F129" s="152"/>
      <c r="G129" s="152"/>
      <c r="H129" s="152"/>
      <c r="I129" s="152"/>
      <c r="J129" s="152"/>
      <c r="K129" s="152"/>
      <c r="L129" s="152"/>
      <c r="M129" s="153"/>
      <c r="N129" s="153"/>
    </row>
    <row r="130" spans="1:20" s="15" customFormat="1" x14ac:dyDescent="0.2">
      <c r="B130" s="18"/>
      <c r="C130" s="18"/>
      <c r="D130" s="152"/>
      <c r="E130" s="152"/>
      <c r="F130" s="152"/>
      <c r="G130" s="152"/>
      <c r="H130" s="152"/>
      <c r="I130" s="152"/>
      <c r="J130" s="152"/>
      <c r="K130" s="152"/>
      <c r="L130" s="152"/>
      <c r="M130" s="153"/>
    </row>
    <row r="131" spans="1:20" s="15" customFormat="1" x14ac:dyDescent="0.2">
      <c r="A131" s="14"/>
      <c r="B131" s="17"/>
      <c r="C131" s="17"/>
      <c r="D131" s="152"/>
      <c r="E131" s="152"/>
      <c r="F131" s="152"/>
      <c r="G131" s="152"/>
      <c r="H131" s="152"/>
      <c r="I131" s="152"/>
      <c r="J131" s="152"/>
      <c r="K131" s="152"/>
      <c r="L131" s="153"/>
      <c r="M131" s="153"/>
      <c r="N131" s="24"/>
    </row>
    <row r="132" spans="1:20" s="15" customFormat="1" x14ac:dyDescent="0.2">
      <c r="B132" s="18"/>
      <c r="C132" s="18"/>
      <c r="D132" s="152"/>
      <c r="E132" s="152"/>
      <c r="F132" s="152"/>
      <c r="G132" s="152"/>
      <c r="H132" s="152"/>
      <c r="I132" s="152"/>
      <c r="J132" s="152"/>
      <c r="K132" s="152"/>
      <c r="L132" s="153"/>
      <c r="M132" s="153"/>
      <c r="N132" s="24"/>
    </row>
    <row r="133" spans="1:20" s="15" customFormat="1" x14ac:dyDescent="0.2">
      <c r="B133" s="18"/>
      <c r="C133" s="18"/>
      <c r="D133" s="154"/>
      <c r="E133" s="154"/>
      <c r="F133" s="154"/>
      <c r="G133" s="154"/>
      <c r="H133" s="154"/>
      <c r="I133" s="154"/>
      <c r="J133" s="154"/>
      <c r="K133" s="154"/>
      <c r="L133" s="154"/>
      <c r="M133" s="153"/>
      <c r="N133" s="24"/>
    </row>
    <row r="134" spans="1:20" s="15" customFormat="1" x14ac:dyDescent="0.2">
      <c r="B134" s="18"/>
      <c r="C134" s="18"/>
      <c r="D134" s="152"/>
      <c r="E134" s="152"/>
      <c r="F134" s="152"/>
      <c r="G134" s="152"/>
      <c r="H134" s="152"/>
      <c r="I134" s="152"/>
      <c r="J134" s="152"/>
      <c r="K134" s="152"/>
      <c r="L134" s="153"/>
      <c r="M134" s="153"/>
      <c r="N134" s="153"/>
    </row>
    <row r="135" spans="1:20" s="15" customFormat="1" x14ac:dyDescent="0.2">
      <c r="B135" s="18"/>
      <c r="C135" s="18"/>
      <c r="D135" s="154"/>
      <c r="E135" s="154"/>
      <c r="F135" s="154"/>
      <c r="G135" s="154"/>
      <c r="H135" s="154"/>
      <c r="I135" s="154"/>
      <c r="J135" s="154"/>
      <c r="K135" s="154"/>
      <c r="L135" s="154"/>
      <c r="M135" s="24"/>
      <c r="N135" s="24"/>
    </row>
    <row r="136" spans="1:20" s="15" customFormat="1" x14ac:dyDescent="0.2">
      <c r="B136" s="18"/>
      <c r="C136" s="18"/>
      <c r="D136" s="152"/>
      <c r="E136" s="152"/>
      <c r="F136" s="152"/>
      <c r="G136" s="152"/>
      <c r="H136" s="152"/>
      <c r="I136" s="152"/>
      <c r="J136" s="152"/>
      <c r="K136" s="152"/>
      <c r="L136" s="153"/>
      <c r="M136" s="153"/>
      <c r="O136" s="153"/>
      <c r="P136" s="153"/>
    </row>
    <row r="137" spans="1:20" s="15" customFormat="1" x14ac:dyDescent="0.2">
      <c r="B137" s="18"/>
      <c r="C137" s="18"/>
      <c r="D137" s="154"/>
      <c r="E137" s="154"/>
      <c r="F137" s="154"/>
      <c r="G137" s="154"/>
      <c r="H137" s="154"/>
      <c r="I137" s="154"/>
      <c r="J137" s="154"/>
      <c r="K137" s="154"/>
      <c r="L137" s="154"/>
      <c r="M137" s="153"/>
      <c r="N137" s="153"/>
      <c r="O137" s="153"/>
      <c r="P137" s="153"/>
    </row>
    <row r="138" spans="1:20" s="15" customFormat="1" x14ac:dyDescent="0.2">
      <c r="B138" s="18"/>
      <c r="C138" s="18"/>
      <c r="D138" s="152"/>
      <c r="E138" s="152"/>
      <c r="F138" s="152"/>
      <c r="G138" s="152"/>
      <c r="H138" s="152"/>
      <c r="I138" s="152"/>
      <c r="J138" s="152"/>
      <c r="K138" s="152"/>
      <c r="L138" s="153"/>
      <c r="M138" s="153"/>
      <c r="N138" s="153"/>
      <c r="O138" s="153"/>
      <c r="P138" s="153"/>
    </row>
    <row r="139" spans="1:20" s="15" customFormat="1" x14ac:dyDescent="0.2">
      <c r="B139" s="18"/>
      <c r="C139" s="18"/>
      <c r="D139" s="152"/>
      <c r="E139" s="152"/>
      <c r="F139" s="152"/>
      <c r="G139" s="152"/>
      <c r="H139" s="152"/>
      <c r="I139" s="152"/>
      <c r="J139" s="152"/>
      <c r="K139" s="152"/>
      <c r="L139" s="153"/>
      <c r="M139" s="153"/>
      <c r="N139" s="24"/>
      <c r="O139" s="153"/>
      <c r="P139" s="153"/>
    </row>
    <row r="140" spans="1:20" s="15" customFormat="1" x14ac:dyDescent="0.2">
      <c r="A140" s="14"/>
      <c r="B140" s="17"/>
      <c r="C140" s="17"/>
      <c r="D140" s="18"/>
      <c r="E140" s="18"/>
      <c r="F140" s="18"/>
      <c r="G140" s="18"/>
      <c r="H140" s="18"/>
      <c r="I140" s="18"/>
      <c r="J140" s="18"/>
      <c r="K140" s="18"/>
      <c r="L140" s="153"/>
      <c r="M140" s="18"/>
      <c r="N140" s="24"/>
      <c r="R140" s="163"/>
      <c r="T140" s="163"/>
    </row>
    <row r="141" spans="1:20" s="15" customFormat="1" x14ac:dyDescent="0.2">
      <c r="B141" s="18"/>
      <c r="C141" s="18"/>
      <c r="D141" s="152"/>
      <c r="E141" s="152"/>
      <c r="F141" s="152"/>
      <c r="G141" s="152"/>
      <c r="H141" s="152"/>
      <c r="I141" s="152"/>
      <c r="J141" s="152"/>
      <c r="K141" s="152"/>
      <c r="L141" s="152"/>
      <c r="N141" s="24"/>
      <c r="R141" s="163"/>
      <c r="T141" s="163"/>
    </row>
    <row r="142" spans="1:20" s="15" customFormat="1" x14ac:dyDescent="0.2">
      <c r="B142" s="18"/>
      <c r="C142" s="18"/>
      <c r="D142" s="154"/>
      <c r="E142" s="154"/>
      <c r="F142" s="154"/>
      <c r="G142" s="154"/>
      <c r="H142" s="154"/>
      <c r="I142" s="154"/>
      <c r="J142" s="154"/>
      <c r="K142" s="154"/>
      <c r="L142" s="152"/>
      <c r="N142" s="153"/>
      <c r="R142" s="163"/>
      <c r="T142" s="163"/>
    </row>
    <row r="143" spans="1:20" s="15" customFormat="1" x14ac:dyDescent="0.2">
      <c r="B143" s="18"/>
      <c r="C143" s="18"/>
      <c r="D143" s="152"/>
      <c r="E143" s="152"/>
      <c r="F143" s="152"/>
      <c r="G143" s="152"/>
      <c r="H143" s="152"/>
      <c r="I143" s="152"/>
      <c r="J143" s="152"/>
      <c r="K143" s="152"/>
      <c r="L143" s="153"/>
      <c r="M143" s="153"/>
      <c r="N143" s="153"/>
      <c r="R143" s="163"/>
      <c r="T143" s="163"/>
    </row>
    <row r="144" spans="1:20" s="15" customFormat="1" x14ac:dyDescent="0.2">
      <c r="B144" s="18"/>
      <c r="C144" s="18"/>
      <c r="D144" s="154"/>
      <c r="E144" s="154"/>
      <c r="F144" s="154"/>
      <c r="G144" s="154"/>
      <c r="H144" s="154"/>
      <c r="I144" s="154"/>
      <c r="J144" s="154"/>
      <c r="K144" s="154"/>
      <c r="L144" s="154"/>
      <c r="M144" s="24"/>
      <c r="N144" s="24"/>
      <c r="R144" s="163"/>
      <c r="T144" s="163"/>
    </row>
    <row r="145" spans="1:20" s="15" customFormat="1" x14ac:dyDescent="0.2">
      <c r="B145" s="18"/>
      <c r="C145" s="18"/>
      <c r="D145" s="152"/>
      <c r="E145" s="152"/>
      <c r="F145" s="152"/>
      <c r="G145" s="152"/>
      <c r="H145" s="152"/>
      <c r="I145" s="152"/>
      <c r="J145" s="152"/>
      <c r="K145" s="152"/>
      <c r="L145" s="153"/>
      <c r="M145" s="153"/>
      <c r="N145" s="24"/>
      <c r="O145" s="153"/>
      <c r="P145" s="153"/>
      <c r="R145" s="163"/>
      <c r="T145" s="163"/>
    </row>
    <row r="146" spans="1:20" s="15" customFormat="1" x14ac:dyDescent="0.2">
      <c r="B146" s="18"/>
      <c r="C146" s="18"/>
      <c r="D146" s="154"/>
      <c r="E146" s="154"/>
      <c r="F146" s="154"/>
      <c r="G146" s="154"/>
      <c r="H146" s="154"/>
      <c r="I146" s="154"/>
      <c r="J146" s="154"/>
      <c r="K146" s="154"/>
      <c r="L146" s="152"/>
      <c r="M146" s="153"/>
    </row>
    <row r="147" spans="1:20" s="15" customFormat="1" x14ac:dyDescent="0.2">
      <c r="B147" s="18"/>
      <c r="C147" s="18"/>
      <c r="D147" s="152"/>
      <c r="E147" s="152"/>
      <c r="F147" s="152"/>
      <c r="G147" s="152"/>
      <c r="H147" s="152"/>
      <c r="I147" s="152"/>
      <c r="J147" s="152"/>
      <c r="K147" s="152"/>
      <c r="L147" s="152"/>
      <c r="M147" s="153"/>
      <c r="N147" s="153"/>
    </row>
    <row r="148" spans="1:20" s="15" customFormat="1" x14ac:dyDescent="0.2">
      <c r="B148" s="18"/>
      <c r="C148" s="18"/>
      <c r="D148" s="152"/>
      <c r="E148" s="152"/>
      <c r="F148" s="152"/>
      <c r="G148" s="152"/>
      <c r="H148" s="152"/>
      <c r="I148" s="152"/>
      <c r="J148" s="152"/>
      <c r="K148" s="152"/>
      <c r="L148" s="153"/>
      <c r="M148" s="153"/>
      <c r="N148" s="24"/>
      <c r="O148" s="153"/>
      <c r="P148" s="153"/>
    </row>
    <row r="149" spans="1:20" s="15" customFormat="1" x14ac:dyDescent="0.2">
      <c r="A149" s="14"/>
      <c r="B149" s="17"/>
      <c r="C149" s="17"/>
      <c r="D149" s="18"/>
      <c r="E149" s="18"/>
      <c r="F149" s="18"/>
      <c r="G149" s="18"/>
      <c r="H149" s="18"/>
      <c r="I149" s="18"/>
      <c r="J149" s="18"/>
      <c r="K149" s="18"/>
      <c r="L149" s="153"/>
      <c r="M149" s="24"/>
      <c r="N149" s="24"/>
      <c r="R149" s="163"/>
      <c r="T149" s="163"/>
    </row>
    <row r="150" spans="1:20" s="15" customFormat="1" x14ac:dyDescent="0.2">
      <c r="B150" s="18"/>
      <c r="C150" s="18"/>
      <c r="D150" s="152"/>
      <c r="E150" s="152"/>
      <c r="F150" s="152"/>
      <c r="G150" s="152"/>
      <c r="H150" s="152"/>
      <c r="I150" s="152"/>
      <c r="J150" s="152"/>
      <c r="K150" s="152"/>
      <c r="L150" s="152"/>
      <c r="N150" s="24"/>
      <c r="R150" s="163"/>
      <c r="T150" s="163"/>
    </row>
    <row r="151" spans="1:20" s="15" customFormat="1" x14ac:dyDescent="0.2">
      <c r="B151" s="18"/>
      <c r="C151" s="18"/>
      <c r="D151" s="154"/>
      <c r="E151" s="154"/>
      <c r="F151" s="154"/>
      <c r="G151" s="154"/>
      <c r="H151" s="154"/>
      <c r="I151" s="154"/>
      <c r="J151" s="154"/>
      <c r="K151" s="154"/>
      <c r="L151" s="152"/>
      <c r="N151" s="153"/>
      <c r="R151" s="163"/>
      <c r="T151" s="163"/>
    </row>
    <row r="152" spans="1:20" s="15" customFormat="1" x14ac:dyDescent="0.2">
      <c r="B152" s="18"/>
      <c r="C152" s="18"/>
      <c r="D152" s="152"/>
      <c r="E152" s="152"/>
      <c r="F152" s="152"/>
      <c r="G152" s="152"/>
      <c r="H152" s="152"/>
      <c r="I152" s="152"/>
      <c r="J152" s="152"/>
      <c r="K152" s="152"/>
      <c r="L152" s="153"/>
      <c r="M152" s="153"/>
      <c r="N152" s="153"/>
      <c r="R152" s="163"/>
      <c r="T152" s="163"/>
    </row>
    <row r="153" spans="1:20" s="15" customFormat="1" x14ac:dyDescent="0.2">
      <c r="B153" s="18"/>
      <c r="C153" s="18"/>
      <c r="D153" s="154"/>
      <c r="E153" s="154"/>
      <c r="F153" s="154"/>
      <c r="G153" s="154"/>
      <c r="H153" s="154"/>
      <c r="I153" s="154"/>
      <c r="J153" s="154"/>
      <c r="K153" s="154"/>
      <c r="L153" s="154"/>
      <c r="M153" s="24"/>
      <c r="N153" s="24"/>
      <c r="R153" s="163"/>
      <c r="T153" s="163"/>
    </row>
    <row r="154" spans="1:20" s="15" customFormat="1" x14ac:dyDescent="0.2">
      <c r="B154" s="18"/>
      <c r="C154" s="18"/>
      <c r="D154" s="152"/>
      <c r="E154" s="152"/>
      <c r="F154" s="152"/>
      <c r="G154" s="152"/>
      <c r="H154" s="152"/>
      <c r="I154" s="152"/>
      <c r="J154" s="152"/>
      <c r="K154" s="152"/>
      <c r="L154" s="153"/>
      <c r="M154" s="153"/>
      <c r="N154" s="24"/>
      <c r="O154" s="153"/>
      <c r="P154" s="153"/>
      <c r="R154" s="163"/>
      <c r="T154" s="163"/>
    </row>
    <row r="155" spans="1:20" s="15" customFormat="1" x14ac:dyDescent="0.2">
      <c r="B155" s="18"/>
      <c r="C155" s="18"/>
      <c r="D155" s="154"/>
      <c r="E155" s="154"/>
      <c r="F155" s="154"/>
      <c r="G155" s="154"/>
      <c r="H155" s="154"/>
      <c r="I155" s="154"/>
      <c r="J155" s="154"/>
      <c r="K155" s="154"/>
      <c r="L155" s="152"/>
      <c r="M155" s="153"/>
    </row>
    <row r="156" spans="1:20" s="15" customFormat="1" x14ac:dyDescent="0.2">
      <c r="B156" s="18"/>
      <c r="C156" s="18"/>
      <c r="D156" s="152"/>
      <c r="E156" s="152"/>
      <c r="F156" s="152"/>
      <c r="G156" s="152"/>
      <c r="H156" s="152"/>
      <c r="I156" s="152"/>
      <c r="J156" s="152"/>
      <c r="K156" s="152"/>
      <c r="L156" s="152"/>
      <c r="M156" s="153"/>
      <c r="N156" s="153"/>
    </row>
    <row r="157" spans="1:20" s="15" customFormat="1" x14ac:dyDescent="0.2">
      <c r="B157" s="18"/>
      <c r="C157" s="18"/>
      <c r="D157" s="152"/>
      <c r="E157" s="152"/>
      <c r="F157" s="152"/>
      <c r="G157" s="152"/>
      <c r="H157" s="152"/>
      <c r="I157" s="152"/>
      <c r="J157" s="152"/>
      <c r="K157" s="152"/>
      <c r="L157" s="152"/>
      <c r="M157" s="153"/>
    </row>
    <row r="158" spans="1:20" s="15" customFormat="1" x14ac:dyDescent="0.2">
      <c r="B158" s="18"/>
      <c r="C158" s="18"/>
      <c r="D158" s="18"/>
      <c r="E158" s="18"/>
      <c r="F158" s="18"/>
      <c r="G158" s="18"/>
      <c r="H158" s="18"/>
      <c r="I158" s="18"/>
      <c r="J158" s="18"/>
      <c r="K158" s="18"/>
      <c r="L158" s="153"/>
      <c r="M158" s="24"/>
      <c r="N158" s="24"/>
      <c r="R158" s="163"/>
      <c r="T158" s="163"/>
    </row>
    <row r="159" spans="1:20" s="15" customFormat="1" x14ac:dyDescent="0.2">
      <c r="B159" s="18"/>
      <c r="C159" s="18"/>
      <c r="D159" s="152"/>
      <c r="E159" s="152"/>
      <c r="F159" s="152"/>
      <c r="G159" s="152"/>
      <c r="H159" s="152"/>
      <c r="I159" s="152"/>
      <c r="J159" s="152"/>
      <c r="K159" s="152"/>
      <c r="L159" s="152"/>
      <c r="N159" s="24"/>
      <c r="R159" s="163"/>
      <c r="T159" s="163"/>
    </row>
    <row r="160" spans="1:20" s="15" customFormat="1" x14ac:dyDescent="0.2">
      <c r="B160" s="18"/>
      <c r="C160" s="18"/>
      <c r="D160" s="154"/>
      <c r="E160" s="154"/>
      <c r="F160" s="154"/>
      <c r="G160" s="154"/>
      <c r="H160" s="154"/>
      <c r="I160" s="154"/>
      <c r="J160" s="154"/>
      <c r="K160" s="154"/>
      <c r="L160" s="152"/>
      <c r="N160" s="153"/>
      <c r="R160" s="163"/>
      <c r="T160" s="163"/>
    </row>
    <row r="161" spans="2:20" s="15" customFormat="1" x14ac:dyDescent="0.2">
      <c r="B161" s="18"/>
      <c r="C161" s="18"/>
      <c r="D161" s="152"/>
      <c r="E161" s="152"/>
      <c r="F161" s="152"/>
      <c r="G161" s="152"/>
      <c r="H161" s="152"/>
      <c r="I161" s="152"/>
      <c r="J161" s="152"/>
      <c r="K161" s="152"/>
      <c r="L161" s="153"/>
      <c r="M161" s="153"/>
      <c r="N161" s="153"/>
      <c r="R161" s="163"/>
      <c r="T161" s="163"/>
    </row>
    <row r="162" spans="2:20" s="15" customFormat="1" x14ac:dyDescent="0.2">
      <c r="B162" s="18"/>
      <c r="C162" s="18"/>
      <c r="D162" s="154"/>
      <c r="E162" s="154"/>
      <c r="F162" s="154"/>
      <c r="G162" s="154"/>
      <c r="H162" s="154"/>
      <c r="I162" s="154"/>
      <c r="J162" s="154"/>
      <c r="K162" s="154"/>
      <c r="L162" s="154"/>
      <c r="M162" s="24"/>
      <c r="N162" s="24"/>
      <c r="R162" s="163"/>
      <c r="T162" s="163"/>
    </row>
    <row r="163" spans="2:20" s="15" customFormat="1" x14ac:dyDescent="0.2">
      <c r="B163" s="18"/>
      <c r="C163" s="18"/>
      <c r="D163" s="152"/>
      <c r="E163" s="152"/>
      <c r="F163" s="152"/>
      <c r="G163" s="152"/>
      <c r="H163" s="152"/>
      <c r="I163" s="152"/>
      <c r="J163" s="152"/>
      <c r="K163" s="152"/>
      <c r="L163" s="153"/>
      <c r="M163" s="153"/>
      <c r="N163" s="24"/>
      <c r="O163" s="153"/>
      <c r="P163" s="153"/>
      <c r="R163" s="163"/>
      <c r="T163" s="163"/>
    </row>
    <row r="164" spans="2:20" s="15" customFormat="1" x14ac:dyDescent="0.2">
      <c r="B164" s="18"/>
      <c r="C164" s="18"/>
      <c r="D164" s="154"/>
      <c r="E164" s="154"/>
      <c r="F164" s="154"/>
      <c r="G164" s="154"/>
      <c r="H164" s="154"/>
      <c r="I164" s="154"/>
      <c r="J164" s="154"/>
      <c r="K164" s="154"/>
      <c r="L164" s="152"/>
      <c r="M164" s="153"/>
    </row>
    <row r="165" spans="2:20" s="15" customFormat="1" x14ac:dyDescent="0.2">
      <c r="B165" s="18"/>
      <c r="C165" s="18"/>
      <c r="D165" s="152"/>
      <c r="E165" s="152"/>
      <c r="F165" s="152"/>
      <c r="G165" s="152"/>
      <c r="H165" s="152"/>
      <c r="I165" s="152"/>
      <c r="J165" s="152"/>
      <c r="K165" s="152"/>
      <c r="L165" s="152"/>
      <c r="M165" s="153"/>
      <c r="N165" s="153"/>
    </row>
    <row r="166" spans="2:20" s="15" customFormat="1" x14ac:dyDescent="0.2">
      <c r="B166" s="18"/>
      <c r="C166" s="18"/>
      <c r="D166" s="152"/>
      <c r="E166" s="152"/>
      <c r="F166" s="152"/>
      <c r="G166" s="152"/>
      <c r="H166" s="152"/>
      <c r="I166" s="152"/>
      <c r="J166" s="152"/>
      <c r="K166" s="152"/>
      <c r="L166" s="152"/>
      <c r="M166" s="153"/>
    </row>
    <row r="167" spans="2:20" s="15" customFormat="1" x14ac:dyDescent="0.2">
      <c r="B167" s="18"/>
      <c r="C167" s="18"/>
      <c r="D167" s="18"/>
      <c r="E167" s="18"/>
      <c r="F167" s="18"/>
      <c r="G167" s="18"/>
      <c r="H167" s="18"/>
      <c r="I167" s="18"/>
      <c r="J167" s="18"/>
      <c r="K167" s="18"/>
      <c r="L167" s="153"/>
      <c r="M167" s="24"/>
      <c r="N167" s="24"/>
      <c r="R167" s="163"/>
      <c r="T167" s="163"/>
    </row>
    <row r="168" spans="2:20" s="15" customFormat="1" x14ac:dyDescent="0.2">
      <c r="B168" s="18"/>
      <c r="C168" s="18"/>
      <c r="D168" s="152"/>
      <c r="E168" s="152"/>
      <c r="F168" s="152"/>
      <c r="G168" s="152"/>
      <c r="H168" s="152"/>
      <c r="I168" s="152"/>
      <c r="J168" s="152"/>
      <c r="K168" s="152"/>
      <c r="L168" s="152"/>
      <c r="N168" s="24"/>
      <c r="R168" s="163"/>
      <c r="T168" s="163"/>
    </row>
    <row r="169" spans="2:20" s="15" customFormat="1" x14ac:dyDescent="0.2">
      <c r="B169" s="18"/>
      <c r="C169" s="18"/>
      <c r="D169" s="154"/>
      <c r="E169" s="154"/>
      <c r="F169" s="154"/>
      <c r="G169" s="154"/>
      <c r="H169" s="154"/>
      <c r="I169" s="154"/>
      <c r="J169" s="154"/>
      <c r="K169" s="154"/>
      <c r="L169" s="152"/>
      <c r="N169" s="153"/>
      <c r="R169" s="163"/>
      <c r="T169" s="163"/>
    </row>
    <row r="170" spans="2:20" s="15" customFormat="1" x14ac:dyDescent="0.2">
      <c r="B170" s="18"/>
      <c r="C170" s="18"/>
      <c r="D170" s="152"/>
      <c r="E170" s="152"/>
      <c r="F170" s="152"/>
      <c r="G170" s="152"/>
      <c r="H170" s="152"/>
      <c r="I170" s="152"/>
      <c r="J170" s="152"/>
      <c r="K170" s="152"/>
      <c r="L170" s="153"/>
      <c r="M170" s="153"/>
      <c r="N170" s="153"/>
      <c r="R170" s="163"/>
      <c r="T170" s="163"/>
    </row>
    <row r="171" spans="2:20" s="15" customFormat="1" x14ac:dyDescent="0.2">
      <c r="B171" s="18"/>
      <c r="C171" s="18"/>
      <c r="D171" s="154"/>
      <c r="E171" s="154"/>
      <c r="F171" s="154"/>
      <c r="G171" s="154"/>
      <c r="H171" s="154"/>
      <c r="I171" s="154"/>
      <c r="J171" s="154"/>
      <c r="K171" s="154"/>
      <c r="L171" s="154"/>
      <c r="M171" s="24"/>
      <c r="N171" s="24"/>
      <c r="R171" s="163"/>
      <c r="T171" s="163"/>
    </row>
    <row r="172" spans="2:20" s="15" customFormat="1" x14ac:dyDescent="0.2">
      <c r="B172" s="18"/>
      <c r="C172" s="18"/>
      <c r="D172" s="152"/>
      <c r="E172" s="152"/>
      <c r="F172" s="152"/>
      <c r="G172" s="152"/>
      <c r="H172" s="152"/>
      <c r="I172" s="152"/>
      <c r="J172" s="152"/>
      <c r="K172" s="152"/>
      <c r="L172" s="153"/>
      <c r="M172" s="153"/>
      <c r="N172" s="24"/>
      <c r="O172" s="153"/>
      <c r="P172" s="153"/>
      <c r="R172" s="163"/>
      <c r="T172" s="163"/>
    </row>
    <row r="173" spans="2:20" s="15" customFormat="1" x14ac:dyDescent="0.2">
      <c r="B173" s="18"/>
      <c r="C173" s="18"/>
      <c r="D173" s="154"/>
      <c r="E173" s="154"/>
      <c r="F173" s="154"/>
      <c r="G173" s="154"/>
      <c r="H173" s="154"/>
      <c r="I173" s="154"/>
      <c r="J173" s="154"/>
      <c r="K173" s="154"/>
      <c r="L173" s="152"/>
      <c r="M173" s="153"/>
    </row>
    <row r="174" spans="2:20" s="15" customFormat="1" x14ac:dyDescent="0.2">
      <c r="B174" s="18"/>
      <c r="C174" s="18"/>
      <c r="D174" s="152"/>
      <c r="E174" s="152"/>
      <c r="F174" s="152"/>
      <c r="G174" s="152"/>
      <c r="H174" s="152"/>
      <c r="I174" s="152"/>
      <c r="J174" s="152"/>
      <c r="K174" s="152"/>
      <c r="L174" s="152"/>
      <c r="M174" s="153"/>
      <c r="N174" s="153"/>
    </row>
    <row r="175" spans="2:20" s="15" customFormat="1" x14ac:dyDescent="0.2">
      <c r="B175" s="18"/>
      <c r="C175" s="18"/>
      <c r="D175" s="152"/>
      <c r="E175" s="152"/>
      <c r="F175" s="152"/>
      <c r="G175" s="152"/>
      <c r="H175" s="152"/>
      <c r="I175" s="152"/>
      <c r="J175" s="152"/>
      <c r="K175" s="152"/>
      <c r="L175" s="152"/>
      <c r="M175" s="153"/>
    </row>
    <row r="176" spans="2:20" s="15" customFormat="1" x14ac:dyDescent="0.2">
      <c r="B176" s="18"/>
      <c r="C176" s="18"/>
      <c r="D176" s="18"/>
      <c r="E176" s="18"/>
      <c r="F176" s="18"/>
      <c r="G176" s="18"/>
      <c r="H176" s="18"/>
      <c r="I176" s="18"/>
      <c r="J176" s="18"/>
      <c r="K176" s="18"/>
      <c r="L176" s="153"/>
      <c r="M176" s="24"/>
      <c r="N176" s="24"/>
      <c r="R176" s="163"/>
      <c r="T176" s="163"/>
    </row>
    <row r="177" spans="2:20" s="15" customFormat="1" x14ac:dyDescent="0.2">
      <c r="B177" s="18"/>
      <c r="C177" s="18"/>
      <c r="D177" s="152"/>
      <c r="E177" s="152"/>
      <c r="F177" s="152"/>
      <c r="G177" s="152"/>
      <c r="H177" s="152"/>
      <c r="I177" s="152"/>
      <c r="J177" s="152"/>
      <c r="K177" s="152"/>
      <c r="L177" s="152"/>
      <c r="N177" s="24"/>
      <c r="R177" s="163"/>
      <c r="T177" s="163"/>
    </row>
    <row r="178" spans="2:20" s="15" customFormat="1" x14ac:dyDescent="0.2">
      <c r="B178" s="18"/>
      <c r="C178" s="18"/>
      <c r="D178" s="154"/>
      <c r="E178" s="154"/>
      <c r="F178" s="154"/>
      <c r="G178" s="154"/>
      <c r="H178" s="154"/>
      <c r="I178" s="154"/>
      <c r="J178" s="154"/>
      <c r="K178" s="154"/>
      <c r="L178" s="152"/>
      <c r="N178" s="153"/>
      <c r="R178" s="163"/>
      <c r="T178" s="163"/>
    </row>
    <row r="179" spans="2:20" s="15" customFormat="1" x14ac:dyDescent="0.2">
      <c r="B179" s="18"/>
      <c r="C179" s="18"/>
      <c r="D179" s="152"/>
      <c r="E179" s="152"/>
      <c r="F179" s="152"/>
      <c r="G179" s="152"/>
      <c r="H179" s="152"/>
      <c r="I179" s="152"/>
      <c r="J179" s="152"/>
      <c r="K179" s="152"/>
      <c r="L179" s="153"/>
      <c r="M179" s="153"/>
      <c r="N179" s="153"/>
      <c r="R179" s="163"/>
      <c r="T179" s="163"/>
    </row>
    <row r="180" spans="2:20" s="15" customFormat="1" x14ac:dyDescent="0.2">
      <c r="B180" s="18"/>
      <c r="C180" s="18"/>
      <c r="D180" s="154"/>
      <c r="E180" s="154"/>
      <c r="F180" s="154"/>
      <c r="G180" s="154"/>
      <c r="H180" s="154"/>
      <c r="I180" s="154"/>
      <c r="J180" s="154"/>
      <c r="K180" s="154"/>
      <c r="L180" s="154"/>
      <c r="M180" s="24"/>
      <c r="N180" s="24"/>
      <c r="R180" s="163"/>
      <c r="T180" s="163"/>
    </row>
    <row r="181" spans="2:20" s="15" customFormat="1" x14ac:dyDescent="0.2">
      <c r="B181" s="18"/>
      <c r="C181" s="18"/>
      <c r="D181" s="152"/>
      <c r="E181" s="152"/>
      <c r="F181" s="152"/>
      <c r="G181" s="152"/>
      <c r="H181" s="152"/>
      <c r="I181" s="152"/>
      <c r="J181" s="152"/>
      <c r="K181" s="152"/>
      <c r="L181" s="153"/>
      <c r="M181" s="153"/>
      <c r="N181" s="24"/>
      <c r="O181" s="153"/>
      <c r="P181" s="153"/>
      <c r="R181" s="163"/>
      <c r="T181" s="163"/>
    </row>
    <row r="182" spans="2:20" s="15" customFormat="1" x14ac:dyDescent="0.2">
      <c r="B182" s="18"/>
      <c r="C182" s="18"/>
      <c r="D182" s="154"/>
      <c r="E182" s="154"/>
      <c r="F182" s="154"/>
      <c r="G182" s="154"/>
      <c r="H182" s="154"/>
      <c r="I182" s="154"/>
      <c r="J182" s="154"/>
      <c r="K182" s="154"/>
      <c r="L182" s="152"/>
      <c r="M182" s="153"/>
    </row>
    <row r="183" spans="2:20" s="15" customFormat="1" x14ac:dyDescent="0.2">
      <c r="B183" s="18"/>
      <c r="C183" s="18"/>
      <c r="D183" s="152"/>
      <c r="E183" s="152"/>
      <c r="F183" s="152"/>
      <c r="G183" s="152"/>
      <c r="H183" s="152"/>
      <c r="I183" s="152"/>
      <c r="J183" s="152"/>
      <c r="K183" s="152"/>
      <c r="L183" s="152"/>
      <c r="M183" s="153"/>
      <c r="N183" s="153"/>
    </row>
    <row r="184" spans="2:20" s="15" customFormat="1" x14ac:dyDescent="0.2">
      <c r="B184" s="18"/>
      <c r="C184" s="18"/>
      <c r="D184" s="152"/>
      <c r="E184" s="152"/>
      <c r="F184" s="152"/>
      <c r="G184" s="152"/>
      <c r="H184" s="152"/>
      <c r="I184" s="152"/>
      <c r="J184" s="152"/>
      <c r="K184" s="152"/>
      <c r="L184" s="152"/>
      <c r="M184" s="153"/>
    </row>
    <row r="185" spans="2:20" s="15" customFormat="1" x14ac:dyDescent="0.2">
      <c r="B185" s="18"/>
      <c r="C185" s="18"/>
      <c r="D185" s="18"/>
      <c r="E185" s="18"/>
      <c r="F185" s="18"/>
      <c r="G185" s="18"/>
      <c r="H185" s="18"/>
      <c r="I185" s="18"/>
      <c r="J185" s="18"/>
      <c r="K185" s="18"/>
      <c r="L185" s="153"/>
      <c r="M185" s="24"/>
      <c r="N185" s="24"/>
    </row>
    <row r="186" spans="2:20" s="15" customFormat="1" x14ac:dyDescent="0.2">
      <c r="B186" s="18"/>
      <c r="C186" s="18"/>
      <c r="D186" s="152"/>
      <c r="E186" s="152"/>
      <c r="F186" s="152"/>
      <c r="G186" s="152"/>
      <c r="H186" s="152"/>
      <c r="I186" s="152"/>
      <c r="J186" s="152"/>
      <c r="K186" s="152"/>
      <c r="L186" s="152"/>
      <c r="N186" s="24"/>
    </row>
    <row r="187" spans="2:20" s="15" customFormat="1" x14ac:dyDescent="0.2">
      <c r="B187" s="18"/>
      <c r="C187" s="18"/>
      <c r="D187" s="154"/>
      <c r="E187" s="154"/>
      <c r="F187" s="154"/>
      <c r="G187" s="154"/>
      <c r="H187" s="154"/>
      <c r="I187" s="154"/>
      <c r="J187" s="154"/>
      <c r="K187" s="154"/>
      <c r="L187" s="152"/>
      <c r="N187" s="153"/>
    </row>
    <row r="188" spans="2:20" s="15" customFormat="1" x14ac:dyDescent="0.2">
      <c r="B188" s="18"/>
      <c r="C188" s="18"/>
      <c r="D188" s="152"/>
      <c r="E188" s="152"/>
      <c r="F188" s="152"/>
      <c r="G188" s="152"/>
      <c r="H188" s="152"/>
      <c r="I188" s="152"/>
      <c r="J188" s="164"/>
      <c r="K188" s="152"/>
      <c r="L188" s="153"/>
      <c r="M188" s="153"/>
      <c r="N188" s="153"/>
    </row>
    <row r="189" spans="2:20" s="15" customFormat="1" x14ac:dyDescent="0.2">
      <c r="B189" s="18"/>
      <c r="C189" s="18"/>
      <c r="D189" s="154"/>
      <c r="E189" s="154"/>
      <c r="F189" s="154"/>
      <c r="G189" s="154"/>
      <c r="H189" s="154"/>
      <c r="I189" s="154"/>
      <c r="J189" s="154"/>
      <c r="K189" s="154"/>
      <c r="L189" s="154"/>
      <c r="M189" s="24"/>
      <c r="N189" s="24"/>
    </row>
    <row r="190" spans="2:20" s="15" customFormat="1" x14ac:dyDescent="0.2">
      <c r="B190" s="18"/>
      <c r="C190" s="18"/>
      <c r="D190" s="152"/>
      <c r="E190" s="152"/>
      <c r="F190" s="152"/>
      <c r="G190" s="152"/>
      <c r="H190" s="152"/>
      <c r="I190" s="152"/>
      <c r="J190" s="152"/>
      <c r="K190" s="152"/>
      <c r="L190" s="153"/>
      <c r="M190" s="153"/>
      <c r="N190" s="24"/>
      <c r="O190" s="153"/>
      <c r="P190" s="153"/>
    </row>
    <row r="191" spans="2:20" s="15" customFormat="1" x14ac:dyDescent="0.2">
      <c r="B191" s="18"/>
      <c r="C191" s="18"/>
      <c r="D191" s="154"/>
      <c r="E191" s="154"/>
      <c r="F191" s="154"/>
      <c r="G191" s="154"/>
      <c r="H191" s="154"/>
      <c r="I191" s="154"/>
      <c r="J191" s="154"/>
      <c r="K191" s="154"/>
      <c r="L191" s="152"/>
      <c r="M191" s="153"/>
    </row>
    <row r="192" spans="2:20" s="15" customFormat="1" x14ac:dyDescent="0.2">
      <c r="B192" s="18"/>
      <c r="C192" s="18"/>
      <c r="D192" s="152"/>
      <c r="E192" s="152"/>
      <c r="F192" s="152"/>
      <c r="G192" s="152"/>
      <c r="H192" s="152"/>
      <c r="I192" s="152"/>
      <c r="J192" s="152"/>
      <c r="K192" s="152"/>
      <c r="L192" s="152"/>
      <c r="M192" s="153"/>
      <c r="N192" s="153"/>
    </row>
    <row r="193" spans="2:20" s="15" customFormat="1" x14ac:dyDescent="0.2">
      <c r="B193" s="18"/>
      <c r="C193" s="18"/>
      <c r="D193" s="152"/>
      <c r="E193" s="152"/>
      <c r="F193" s="152"/>
      <c r="G193" s="152"/>
      <c r="H193" s="152"/>
      <c r="I193" s="152"/>
      <c r="J193" s="152"/>
      <c r="K193" s="152"/>
      <c r="L193" s="152"/>
      <c r="M193" s="153"/>
    </row>
    <row r="194" spans="2:20" s="15" customFormat="1" x14ac:dyDescent="0.2">
      <c r="B194" s="18"/>
      <c r="C194" s="18"/>
      <c r="D194" s="18"/>
      <c r="E194" s="18"/>
      <c r="F194" s="18"/>
      <c r="G194" s="18"/>
      <c r="H194" s="18"/>
      <c r="I194" s="18"/>
      <c r="J194" s="18"/>
      <c r="K194" s="18"/>
      <c r="L194" s="153"/>
      <c r="M194" s="24"/>
      <c r="N194" s="24"/>
      <c r="R194" s="163"/>
      <c r="T194" s="163"/>
    </row>
    <row r="195" spans="2:20" s="15" customFormat="1" x14ac:dyDescent="0.2">
      <c r="B195" s="18"/>
      <c r="C195" s="18"/>
      <c r="D195" s="152"/>
      <c r="E195" s="152"/>
      <c r="F195" s="152"/>
      <c r="G195" s="152"/>
      <c r="H195" s="152"/>
      <c r="I195" s="152"/>
      <c r="J195" s="152"/>
      <c r="K195" s="152"/>
      <c r="L195" s="153"/>
      <c r="N195" s="24"/>
      <c r="R195" s="163"/>
      <c r="T195" s="163"/>
    </row>
    <row r="196" spans="2:20" s="15" customFormat="1" x14ac:dyDescent="0.2">
      <c r="B196" s="18"/>
      <c r="C196" s="18"/>
      <c r="D196" s="154"/>
      <c r="E196" s="154"/>
      <c r="F196" s="154"/>
      <c r="G196" s="154"/>
      <c r="H196" s="154"/>
      <c r="I196" s="154"/>
      <c r="J196" s="154"/>
      <c r="K196" s="154"/>
      <c r="L196" s="152"/>
      <c r="N196" s="153"/>
      <c r="R196" s="163"/>
      <c r="T196" s="163"/>
    </row>
    <row r="197" spans="2:20" s="15" customFormat="1" x14ac:dyDescent="0.2">
      <c r="B197" s="18"/>
      <c r="C197" s="18"/>
      <c r="D197" s="152"/>
      <c r="E197" s="152"/>
      <c r="F197" s="152"/>
      <c r="G197" s="152"/>
      <c r="H197" s="152"/>
      <c r="I197" s="152"/>
      <c r="J197" s="152"/>
      <c r="K197" s="152"/>
      <c r="L197" s="153"/>
      <c r="M197" s="153"/>
      <c r="N197" s="153"/>
      <c r="R197" s="163"/>
      <c r="T197" s="163"/>
    </row>
    <row r="198" spans="2:20" s="15" customFormat="1" x14ac:dyDescent="0.2">
      <c r="B198" s="18"/>
      <c r="C198" s="18"/>
      <c r="D198" s="154"/>
      <c r="E198" s="154"/>
      <c r="F198" s="154"/>
      <c r="G198" s="154"/>
      <c r="H198" s="154"/>
      <c r="I198" s="154"/>
      <c r="J198" s="154"/>
      <c r="K198" s="154"/>
      <c r="L198" s="154"/>
      <c r="M198" s="24"/>
      <c r="N198" s="24"/>
      <c r="R198" s="163"/>
      <c r="T198" s="163"/>
    </row>
    <row r="199" spans="2:20" s="15" customFormat="1" x14ac:dyDescent="0.2">
      <c r="B199" s="18"/>
      <c r="C199" s="18"/>
      <c r="D199" s="152"/>
      <c r="E199" s="152"/>
      <c r="F199" s="152"/>
      <c r="G199" s="152"/>
      <c r="H199" s="152"/>
      <c r="I199" s="152"/>
      <c r="J199" s="152"/>
      <c r="K199" s="152"/>
      <c r="L199" s="153"/>
      <c r="M199" s="153"/>
      <c r="N199" s="24"/>
      <c r="O199" s="153"/>
      <c r="P199" s="153"/>
      <c r="R199" s="163"/>
      <c r="T199" s="163"/>
    </row>
    <row r="200" spans="2:20" s="15" customFormat="1" x14ac:dyDescent="0.2">
      <c r="B200" s="18"/>
      <c r="C200" s="18"/>
      <c r="D200" s="154"/>
      <c r="E200" s="154"/>
      <c r="F200" s="154"/>
      <c r="G200" s="154"/>
      <c r="H200" s="154"/>
      <c r="I200" s="154"/>
      <c r="J200" s="154"/>
      <c r="K200" s="154"/>
      <c r="L200" s="152"/>
      <c r="M200" s="153"/>
    </row>
    <row r="201" spans="2:20" s="15" customFormat="1" x14ac:dyDescent="0.2">
      <c r="B201" s="18"/>
      <c r="C201" s="18"/>
      <c r="D201" s="152"/>
      <c r="E201" s="152"/>
      <c r="F201" s="152"/>
      <c r="G201" s="152"/>
      <c r="H201" s="152"/>
      <c r="I201" s="152"/>
      <c r="J201" s="152"/>
      <c r="K201" s="152"/>
      <c r="L201" s="152"/>
      <c r="M201" s="153"/>
      <c r="N201" s="153"/>
    </row>
    <row r="202" spans="2:20" s="15" customFormat="1" x14ac:dyDescent="0.2">
      <c r="B202" s="18"/>
      <c r="C202" s="18"/>
      <c r="D202" s="152"/>
      <c r="E202" s="152"/>
      <c r="F202" s="152"/>
      <c r="G202" s="152"/>
      <c r="H202" s="152"/>
      <c r="I202" s="152"/>
      <c r="J202" s="152"/>
      <c r="K202" s="152"/>
      <c r="L202" s="152"/>
      <c r="M202" s="153"/>
    </row>
    <row r="203" spans="2:20" s="15" customFormat="1" x14ac:dyDescent="0.2">
      <c r="B203" s="18"/>
      <c r="C203" s="18"/>
      <c r="D203" s="18"/>
      <c r="E203" s="18"/>
      <c r="F203" s="18"/>
      <c r="G203" s="18"/>
      <c r="H203" s="18"/>
      <c r="I203" s="18"/>
      <c r="J203" s="18"/>
      <c r="K203" s="18"/>
      <c r="L203" s="153"/>
      <c r="M203" s="24"/>
      <c r="N203" s="24"/>
      <c r="R203" s="163"/>
      <c r="T203" s="163"/>
    </row>
    <row r="204" spans="2:20" s="15" customFormat="1" x14ac:dyDescent="0.2">
      <c r="B204" s="18"/>
      <c r="C204" s="18"/>
      <c r="D204" s="152"/>
      <c r="E204" s="152"/>
      <c r="F204" s="152"/>
      <c r="G204" s="152"/>
      <c r="H204" s="152"/>
      <c r="I204" s="152"/>
      <c r="J204" s="152"/>
      <c r="K204" s="152"/>
      <c r="L204" s="152"/>
      <c r="N204" s="24"/>
      <c r="R204" s="163"/>
      <c r="T204" s="163"/>
    </row>
    <row r="205" spans="2:20" s="15" customFormat="1" x14ac:dyDescent="0.2">
      <c r="B205" s="18"/>
      <c r="C205" s="18"/>
      <c r="D205" s="154"/>
      <c r="E205" s="154"/>
      <c r="F205" s="154"/>
      <c r="G205" s="154"/>
      <c r="H205" s="154"/>
      <c r="I205" s="154"/>
      <c r="J205" s="154"/>
      <c r="K205" s="154"/>
      <c r="L205" s="152"/>
      <c r="N205" s="153"/>
      <c r="R205" s="163"/>
      <c r="T205" s="163"/>
    </row>
    <row r="206" spans="2:20" s="15" customFormat="1" x14ac:dyDescent="0.2">
      <c r="B206" s="18"/>
      <c r="C206" s="18"/>
      <c r="D206" s="152"/>
      <c r="E206" s="152"/>
      <c r="F206" s="152"/>
      <c r="G206" s="152"/>
      <c r="H206" s="152"/>
      <c r="I206" s="152"/>
      <c r="J206" s="152"/>
      <c r="K206" s="152"/>
      <c r="L206" s="153"/>
      <c r="M206" s="153"/>
      <c r="N206" s="153"/>
      <c r="R206" s="163"/>
      <c r="T206" s="163"/>
    </row>
    <row r="207" spans="2:20" s="15" customFormat="1" x14ac:dyDescent="0.2">
      <c r="B207" s="18"/>
      <c r="C207" s="18"/>
      <c r="D207" s="154"/>
      <c r="E207" s="154"/>
      <c r="F207" s="154"/>
      <c r="G207" s="154"/>
      <c r="H207" s="154"/>
      <c r="I207" s="154"/>
      <c r="J207" s="154"/>
      <c r="K207" s="154"/>
      <c r="L207" s="154"/>
      <c r="M207" s="24"/>
      <c r="N207" s="24"/>
      <c r="R207" s="163"/>
      <c r="T207" s="163"/>
    </row>
    <row r="208" spans="2:20" s="15" customFormat="1" x14ac:dyDescent="0.2">
      <c r="B208" s="18"/>
      <c r="C208" s="18"/>
      <c r="D208" s="152"/>
      <c r="E208" s="152"/>
      <c r="F208" s="152"/>
      <c r="G208" s="152"/>
      <c r="H208" s="152"/>
      <c r="I208" s="152"/>
      <c r="J208" s="152"/>
      <c r="K208" s="152"/>
      <c r="L208" s="153"/>
      <c r="M208" s="153"/>
      <c r="N208" s="24"/>
      <c r="O208" s="153"/>
      <c r="P208" s="153"/>
      <c r="R208" s="163"/>
      <c r="T208" s="163"/>
    </row>
    <row r="209" spans="1:20" s="15" customFormat="1" x14ac:dyDescent="0.2">
      <c r="B209" s="18"/>
      <c r="C209" s="18"/>
      <c r="D209" s="154"/>
      <c r="E209" s="154"/>
      <c r="F209" s="154"/>
      <c r="G209" s="154"/>
      <c r="H209" s="154"/>
      <c r="I209" s="154"/>
      <c r="J209" s="154"/>
      <c r="K209" s="154"/>
      <c r="L209" s="152"/>
      <c r="M209" s="153"/>
    </row>
    <row r="210" spans="1:20" s="15" customFormat="1" x14ac:dyDescent="0.2">
      <c r="B210" s="18"/>
      <c r="C210" s="18"/>
      <c r="D210" s="152"/>
      <c r="E210" s="152"/>
      <c r="F210" s="152"/>
      <c r="G210" s="152"/>
      <c r="H210" s="152"/>
      <c r="I210" s="152"/>
      <c r="J210" s="152"/>
      <c r="K210" s="152"/>
      <c r="L210" s="152"/>
      <c r="M210" s="153"/>
      <c r="N210" s="153"/>
    </row>
    <row r="211" spans="1:20" s="15" customFormat="1" x14ac:dyDescent="0.2">
      <c r="B211" s="18"/>
      <c r="C211" s="18"/>
      <c r="D211" s="152"/>
      <c r="E211" s="152"/>
      <c r="F211" s="152"/>
      <c r="G211" s="152"/>
      <c r="H211" s="152"/>
      <c r="I211" s="152"/>
      <c r="J211" s="152"/>
      <c r="K211" s="152"/>
      <c r="L211" s="152"/>
      <c r="M211" s="153"/>
    </row>
    <row r="212" spans="1:20" s="15" customFormat="1" x14ac:dyDescent="0.2">
      <c r="A212" s="14"/>
      <c r="B212" s="17"/>
      <c r="C212" s="17"/>
      <c r="D212" s="18"/>
      <c r="E212" s="18"/>
      <c r="F212" s="18"/>
      <c r="G212" s="18"/>
      <c r="H212" s="18"/>
      <c r="I212" s="18"/>
      <c r="J212" s="18"/>
      <c r="K212" s="18"/>
      <c r="L212" s="153"/>
      <c r="M212" s="24"/>
      <c r="N212" s="24"/>
      <c r="R212" s="163"/>
      <c r="T212" s="163"/>
    </row>
    <row r="213" spans="1:20" s="15" customFormat="1" x14ac:dyDescent="0.2">
      <c r="B213" s="18"/>
      <c r="C213" s="18"/>
      <c r="D213" s="152"/>
      <c r="E213" s="152"/>
      <c r="F213" s="152"/>
      <c r="G213" s="152"/>
      <c r="H213" s="152"/>
      <c r="I213" s="152"/>
      <c r="J213" s="152"/>
      <c r="K213" s="152"/>
      <c r="L213" s="152"/>
      <c r="N213" s="24"/>
      <c r="R213" s="163"/>
      <c r="T213" s="163"/>
    </row>
    <row r="214" spans="1:20" s="15" customFormat="1" x14ac:dyDescent="0.2">
      <c r="B214" s="18"/>
      <c r="C214" s="18"/>
      <c r="D214" s="154"/>
      <c r="E214" s="154"/>
      <c r="F214" s="154"/>
      <c r="G214" s="154"/>
      <c r="H214" s="154"/>
      <c r="I214" s="154"/>
      <c r="J214" s="154"/>
      <c r="K214" s="154"/>
      <c r="L214" s="152"/>
      <c r="N214" s="153"/>
      <c r="R214" s="163"/>
      <c r="T214" s="163"/>
    </row>
    <row r="215" spans="1:20" s="15" customFormat="1" x14ac:dyDescent="0.2">
      <c r="B215" s="18"/>
      <c r="C215" s="18"/>
      <c r="D215" s="152"/>
      <c r="E215" s="152"/>
      <c r="F215" s="152"/>
      <c r="G215" s="152"/>
      <c r="H215" s="152"/>
      <c r="I215" s="152"/>
      <c r="J215" s="152"/>
      <c r="K215" s="152"/>
      <c r="L215" s="153"/>
      <c r="M215" s="153"/>
      <c r="N215" s="153"/>
      <c r="R215" s="163"/>
      <c r="T215" s="163"/>
    </row>
    <row r="216" spans="1:20" s="15" customFormat="1" x14ac:dyDescent="0.2">
      <c r="B216" s="18"/>
      <c r="C216" s="18"/>
      <c r="D216" s="154"/>
      <c r="E216" s="154"/>
      <c r="F216" s="154"/>
      <c r="G216" s="154"/>
      <c r="H216" s="154"/>
      <c r="I216" s="154"/>
      <c r="J216" s="154"/>
      <c r="K216" s="154"/>
      <c r="L216" s="154"/>
      <c r="M216" s="24"/>
      <c r="N216" s="24"/>
      <c r="R216" s="163"/>
      <c r="T216" s="163"/>
    </row>
    <row r="217" spans="1:20" s="15" customFormat="1" x14ac:dyDescent="0.2">
      <c r="B217" s="18"/>
      <c r="C217" s="18"/>
      <c r="D217" s="152"/>
      <c r="E217" s="152"/>
      <c r="F217" s="152"/>
      <c r="G217" s="152"/>
      <c r="H217" s="152"/>
      <c r="I217" s="152"/>
      <c r="J217" s="152"/>
      <c r="K217" s="152"/>
      <c r="L217" s="153"/>
      <c r="M217" s="153"/>
      <c r="N217" s="24"/>
      <c r="O217" s="153"/>
      <c r="P217" s="153"/>
      <c r="R217" s="163"/>
      <c r="T217" s="163"/>
    </row>
    <row r="218" spans="1:20" s="15" customFormat="1" x14ac:dyDescent="0.2">
      <c r="B218" s="18"/>
      <c r="C218" s="18"/>
      <c r="D218" s="154"/>
      <c r="E218" s="154"/>
      <c r="F218" s="154"/>
      <c r="G218" s="154"/>
      <c r="H218" s="154"/>
      <c r="I218" s="154"/>
      <c r="J218" s="154"/>
      <c r="K218" s="154"/>
      <c r="L218" s="154"/>
      <c r="M218" s="153"/>
    </row>
    <row r="219" spans="1:20" s="15" customFormat="1" x14ac:dyDescent="0.2">
      <c r="B219" s="18"/>
      <c r="C219" s="18"/>
      <c r="D219" s="152"/>
      <c r="E219" s="152"/>
      <c r="F219" s="152"/>
      <c r="G219" s="152"/>
      <c r="H219" s="152"/>
      <c r="I219" s="152"/>
      <c r="J219" s="152"/>
      <c r="K219" s="152"/>
      <c r="L219" s="152"/>
      <c r="M219" s="153"/>
      <c r="N219" s="153"/>
    </row>
    <row r="220" spans="1:20" s="15" customFormat="1" x14ac:dyDescent="0.2">
      <c r="B220" s="18"/>
      <c r="C220" s="18"/>
      <c r="D220" s="152"/>
      <c r="E220" s="152"/>
      <c r="F220" s="152"/>
      <c r="G220" s="152"/>
      <c r="H220" s="152"/>
      <c r="I220" s="152"/>
      <c r="J220" s="152"/>
      <c r="K220" s="152"/>
      <c r="L220" s="152"/>
      <c r="M220" s="153"/>
    </row>
    <row r="221" spans="1:20" s="15" customFormat="1" x14ac:dyDescent="0.2">
      <c r="B221" s="18"/>
      <c r="C221" s="18"/>
      <c r="D221" s="18"/>
      <c r="E221" s="18"/>
      <c r="F221" s="18"/>
      <c r="G221" s="18"/>
      <c r="H221" s="18"/>
      <c r="I221" s="18"/>
      <c r="J221" s="18"/>
      <c r="K221" s="18"/>
      <c r="L221" s="153"/>
      <c r="M221" s="24"/>
      <c r="N221" s="24"/>
      <c r="R221" s="163"/>
      <c r="T221" s="163"/>
    </row>
    <row r="222" spans="1:20" s="15" customFormat="1" x14ac:dyDescent="0.2">
      <c r="B222" s="18"/>
      <c r="C222" s="18"/>
      <c r="D222" s="152"/>
      <c r="E222" s="152"/>
      <c r="F222" s="152"/>
      <c r="G222" s="152"/>
      <c r="H222" s="152"/>
      <c r="I222" s="152"/>
      <c r="J222" s="152"/>
      <c r="K222" s="152"/>
      <c r="L222" s="152"/>
      <c r="N222" s="24"/>
      <c r="R222" s="163"/>
      <c r="T222" s="163"/>
    </row>
    <row r="223" spans="1:20" s="15" customFormat="1" x14ac:dyDescent="0.2">
      <c r="B223" s="18"/>
      <c r="C223" s="18"/>
      <c r="D223" s="154"/>
      <c r="E223" s="154"/>
      <c r="F223" s="154"/>
      <c r="G223" s="154"/>
      <c r="H223" s="154"/>
      <c r="I223" s="154"/>
      <c r="J223" s="154"/>
      <c r="K223" s="154"/>
      <c r="L223" s="152"/>
      <c r="N223" s="153"/>
      <c r="R223" s="163"/>
      <c r="T223" s="163"/>
    </row>
    <row r="224" spans="1:20" s="15" customFormat="1" x14ac:dyDescent="0.2">
      <c r="B224" s="18"/>
      <c r="C224" s="18"/>
      <c r="D224" s="152"/>
      <c r="E224" s="152"/>
      <c r="F224" s="152"/>
      <c r="G224" s="152"/>
      <c r="H224" s="152"/>
      <c r="I224" s="152"/>
      <c r="J224" s="152"/>
      <c r="K224" s="152"/>
      <c r="L224" s="153"/>
      <c r="M224" s="153"/>
      <c r="N224" s="153"/>
      <c r="R224" s="163"/>
      <c r="T224" s="163"/>
    </row>
    <row r="225" spans="2:20" s="15" customFormat="1" x14ac:dyDescent="0.2">
      <c r="B225" s="18"/>
      <c r="C225" s="18"/>
      <c r="D225" s="154"/>
      <c r="E225" s="154"/>
      <c r="F225" s="154"/>
      <c r="G225" s="154"/>
      <c r="H225" s="154"/>
      <c r="I225" s="154"/>
      <c r="J225" s="154"/>
      <c r="K225" s="154"/>
      <c r="L225" s="154"/>
      <c r="M225" s="24"/>
      <c r="N225" s="24"/>
      <c r="R225" s="163"/>
      <c r="T225" s="163"/>
    </row>
    <row r="226" spans="2:20" s="15" customFormat="1" x14ac:dyDescent="0.2">
      <c r="B226" s="18"/>
      <c r="C226" s="18"/>
      <c r="D226" s="152"/>
      <c r="E226" s="152"/>
      <c r="F226" s="152"/>
      <c r="G226" s="152"/>
      <c r="H226" s="152"/>
      <c r="I226" s="152"/>
      <c r="J226" s="152"/>
      <c r="K226" s="152"/>
      <c r="L226" s="153"/>
      <c r="M226" s="153"/>
      <c r="N226" s="24"/>
      <c r="O226" s="153"/>
      <c r="P226" s="153"/>
      <c r="R226" s="163"/>
      <c r="T226" s="163"/>
    </row>
    <row r="227" spans="2:20" s="15" customFormat="1" x14ac:dyDescent="0.2">
      <c r="B227" s="18"/>
      <c r="C227" s="18"/>
      <c r="D227" s="154"/>
      <c r="E227" s="154"/>
      <c r="F227" s="154"/>
      <c r="G227" s="154"/>
      <c r="H227" s="154"/>
      <c r="I227" s="154"/>
      <c r="J227" s="154"/>
      <c r="K227" s="154"/>
      <c r="L227" s="154"/>
      <c r="M227" s="153"/>
    </row>
    <row r="228" spans="2:20" s="15" customFormat="1" x14ac:dyDescent="0.2">
      <c r="B228" s="18"/>
      <c r="C228" s="18"/>
      <c r="D228" s="152"/>
      <c r="E228" s="152"/>
      <c r="F228" s="152"/>
      <c r="G228" s="152"/>
      <c r="H228" s="152"/>
      <c r="I228" s="152"/>
      <c r="J228" s="152"/>
      <c r="K228" s="152"/>
      <c r="L228" s="152"/>
      <c r="M228" s="153"/>
      <c r="N228" s="153"/>
    </row>
    <row r="229" spans="2:20" s="15" customFormat="1" x14ac:dyDescent="0.2">
      <c r="B229" s="18"/>
      <c r="C229" s="18"/>
      <c r="D229" s="152"/>
      <c r="E229" s="152"/>
      <c r="F229" s="152"/>
      <c r="G229" s="152"/>
      <c r="H229" s="152"/>
      <c r="I229" s="152"/>
      <c r="J229" s="152"/>
      <c r="K229" s="152"/>
      <c r="L229" s="152"/>
      <c r="M229" s="153"/>
    </row>
    <row r="230" spans="2:20" s="15" customFormat="1" x14ac:dyDescent="0.2">
      <c r="B230" s="18"/>
      <c r="C230" s="18"/>
      <c r="D230" s="18"/>
      <c r="E230" s="18"/>
      <c r="F230" s="18"/>
      <c r="G230" s="18"/>
      <c r="H230" s="18"/>
      <c r="I230" s="18"/>
      <c r="J230" s="18"/>
      <c r="K230" s="18"/>
      <c r="L230" s="153"/>
      <c r="M230" s="24"/>
      <c r="N230" s="24"/>
      <c r="R230" s="163"/>
      <c r="T230" s="163"/>
    </row>
    <row r="231" spans="2:20" s="15" customFormat="1" x14ac:dyDescent="0.2">
      <c r="B231" s="18"/>
      <c r="C231" s="18"/>
      <c r="D231" s="152"/>
      <c r="E231" s="152"/>
      <c r="F231" s="152"/>
      <c r="G231" s="152"/>
      <c r="H231" s="152"/>
      <c r="I231" s="152"/>
      <c r="J231" s="152"/>
      <c r="K231" s="152"/>
      <c r="L231" s="152"/>
      <c r="N231" s="24"/>
      <c r="R231" s="163"/>
      <c r="T231" s="163"/>
    </row>
    <row r="232" spans="2:20" s="15" customFormat="1" x14ac:dyDescent="0.2">
      <c r="B232" s="18"/>
      <c r="C232" s="18"/>
      <c r="D232" s="154"/>
      <c r="E232" s="154"/>
      <c r="F232" s="154"/>
      <c r="G232" s="154"/>
      <c r="H232" s="154"/>
      <c r="I232" s="154"/>
      <c r="J232" s="154"/>
      <c r="K232" s="154"/>
      <c r="L232" s="152"/>
      <c r="N232" s="153"/>
      <c r="R232" s="163"/>
      <c r="T232" s="163"/>
    </row>
    <row r="233" spans="2:20" s="15" customFormat="1" x14ac:dyDescent="0.2">
      <c r="B233" s="18"/>
      <c r="C233" s="18"/>
      <c r="D233" s="152"/>
      <c r="E233" s="152"/>
      <c r="F233" s="152"/>
      <c r="G233" s="152"/>
      <c r="H233" s="152"/>
      <c r="I233" s="152"/>
      <c r="J233" s="152"/>
      <c r="K233" s="152"/>
      <c r="L233" s="153"/>
      <c r="M233" s="153"/>
      <c r="N233" s="153"/>
      <c r="R233" s="163"/>
      <c r="T233" s="163"/>
    </row>
    <row r="234" spans="2:20" s="15" customFormat="1" x14ac:dyDescent="0.2">
      <c r="B234" s="18"/>
      <c r="C234" s="18"/>
      <c r="D234" s="154"/>
      <c r="E234" s="154"/>
      <c r="F234" s="154"/>
      <c r="G234" s="154"/>
      <c r="H234" s="154"/>
      <c r="I234" s="154"/>
      <c r="J234" s="154"/>
      <c r="K234" s="154"/>
      <c r="L234" s="154"/>
      <c r="M234" s="24"/>
      <c r="N234" s="24"/>
      <c r="R234" s="163"/>
      <c r="T234" s="163"/>
    </row>
    <row r="235" spans="2:20" s="15" customFormat="1" x14ac:dyDescent="0.2">
      <c r="B235" s="18"/>
      <c r="C235" s="18"/>
      <c r="D235" s="152"/>
      <c r="E235" s="152"/>
      <c r="F235" s="152"/>
      <c r="G235" s="152"/>
      <c r="H235" s="152"/>
      <c r="I235" s="152"/>
      <c r="J235" s="152"/>
      <c r="K235" s="152"/>
      <c r="L235" s="153"/>
      <c r="M235" s="153"/>
      <c r="N235" s="24"/>
      <c r="O235" s="153"/>
      <c r="P235" s="153"/>
      <c r="R235" s="163"/>
      <c r="T235" s="163"/>
    </row>
    <row r="236" spans="2:20" s="15" customFormat="1" x14ac:dyDescent="0.2">
      <c r="B236" s="18"/>
      <c r="C236" s="18"/>
      <c r="D236" s="154"/>
      <c r="E236" s="154"/>
      <c r="F236" s="154"/>
      <c r="G236" s="154"/>
      <c r="H236" s="154"/>
      <c r="I236" s="154"/>
      <c r="J236" s="154"/>
      <c r="K236" s="154"/>
      <c r="L236" s="154"/>
      <c r="M236" s="153"/>
    </row>
    <row r="237" spans="2:20" s="15" customFormat="1" x14ac:dyDescent="0.2">
      <c r="B237" s="18"/>
      <c r="C237" s="18"/>
      <c r="D237" s="152"/>
      <c r="E237" s="152"/>
      <c r="F237" s="152"/>
      <c r="G237" s="152"/>
      <c r="H237" s="152"/>
      <c r="I237" s="152"/>
      <c r="J237" s="152"/>
      <c r="K237" s="152"/>
      <c r="L237" s="152"/>
      <c r="M237" s="153"/>
      <c r="N237" s="153"/>
    </row>
    <row r="238" spans="2:20" s="15" customFormat="1" x14ac:dyDescent="0.2">
      <c r="B238" s="18"/>
      <c r="C238" s="18"/>
      <c r="D238" s="152"/>
      <c r="E238" s="152"/>
      <c r="F238" s="152"/>
      <c r="G238" s="152"/>
      <c r="H238" s="152"/>
      <c r="I238" s="152"/>
      <c r="J238" s="152"/>
      <c r="K238" s="152"/>
      <c r="L238" s="152"/>
      <c r="M238" s="153"/>
    </row>
    <row r="239" spans="2:20" s="15" customFormat="1" x14ac:dyDescent="0.2">
      <c r="B239" s="18"/>
      <c r="C239" s="18"/>
      <c r="D239" s="18"/>
      <c r="E239" s="18"/>
      <c r="F239" s="18"/>
      <c r="G239" s="18"/>
      <c r="H239" s="18"/>
      <c r="I239" s="18"/>
      <c r="J239" s="18"/>
      <c r="K239" s="18"/>
      <c r="L239" s="153"/>
      <c r="M239" s="24"/>
      <c r="N239" s="24"/>
      <c r="R239" s="163"/>
      <c r="T239" s="163"/>
    </row>
    <row r="240" spans="2:20" s="15" customFormat="1" x14ac:dyDescent="0.2">
      <c r="B240" s="18"/>
      <c r="C240" s="18"/>
      <c r="D240" s="152"/>
      <c r="E240" s="152"/>
      <c r="F240" s="152"/>
      <c r="G240" s="152"/>
      <c r="H240" s="152"/>
      <c r="I240" s="152"/>
      <c r="J240" s="152"/>
      <c r="K240" s="152"/>
      <c r="L240" s="152"/>
      <c r="N240" s="24"/>
      <c r="R240" s="163"/>
      <c r="T240" s="163"/>
    </row>
    <row r="241" spans="1:20" s="15" customFormat="1" x14ac:dyDescent="0.2">
      <c r="B241" s="18"/>
      <c r="C241" s="18"/>
      <c r="D241" s="154"/>
      <c r="E241" s="154"/>
      <c r="F241" s="154"/>
      <c r="G241" s="154"/>
      <c r="H241" s="154"/>
      <c r="I241" s="154"/>
      <c r="J241" s="154"/>
      <c r="K241" s="154"/>
      <c r="L241" s="152"/>
      <c r="N241" s="153"/>
      <c r="R241" s="163"/>
      <c r="T241" s="163"/>
    </row>
    <row r="242" spans="1:20" s="15" customFormat="1" x14ac:dyDescent="0.2">
      <c r="B242" s="18"/>
      <c r="C242" s="18"/>
      <c r="D242" s="152"/>
      <c r="E242" s="152"/>
      <c r="F242" s="152"/>
      <c r="G242" s="152"/>
      <c r="H242" s="152"/>
      <c r="I242" s="152"/>
      <c r="J242" s="152"/>
      <c r="K242" s="152"/>
      <c r="L242" s="153"/>
      <c r="M242" s="153"/>
      <c r="N242" s="153"/>
      <c r="R242" s="163"/>
      <c r="T242" s="163"/>
    </row>
    <row r="243" spans="1:20" s="15" customFormat="1" x14ac:dyDescent="0.2">
      <c r="B243" s="18"/>
      <c r="C243" s="18"/>
      <c r="D243" s="154"/>
      <c r="E243" s="154"/>
      <c r="F243" s="154"/>
      <c r="G243" s="154"/>
      <c r="H243" s="154"/>
      <c r="I243" s="154"/>
      <c r="J243" s="154"/>
      <c r="K243" s="154"/>
      <c r="L243" s="154"/>
      <c r="M243" s="24"/>
      <c r="N243" s="24"/>
      <c r="R243" s="163"/>
      <c r="T243" s="163"/>
    </row>
    <row r="244" spans="1:20" s="15" customFormat="1" x14ac:dyDescent="0.2">
      <c r="B244" s="18"/>
      <c r="C244" s="18"/>
      <c r="D244" s="152"/>
      <c r="E244" s="152"/>
      <c r="F244" s="152"/>
      <c r="G244" s="152"/>
      <c r="H244" s="152"/>
      <c r="I244" s="152"/>
      <c r="J244" s="152"/>
      <c r="K244" s="152"/>
      <c r="L244" s="153"/>
      <c r="M244" s="153"/>
      <c r="N244" s="24"/>
      <c r="O244" s="153"/>
      <c r="P244" s="153"/>
      <c r="R244" s="163"/>
      <c r="T244" s="163"/>
    </row>
    <row r="245" spans="1:20" s="15" customFormat="1" x14ac:dyDescent="0.2">
      <c r="B245" s="18"/>
      <c r="C245" s="18"/>
      <c r="D245" s="154"/>
      <c r="E245" s="154"/>
      <c r="F245" s="154"/>
      <c r="G245" s="154"/>
      <c r="H245" s="154"/>
      <c r="I245" s="154"/>
      <c r="J245" s="154"/>
      <c r="K245" s="154"/>
      <c r="L245" s="154"/>
      <c r="M245" s="153"/>
    </row>
    <row r="246" spans="1:20" s="15" customFormat="1" x14ac:dyDescent="0.2">
      <c r="B246" s="18"/>
      <c r="C246" s="18"/>
      <c r="D246" s="152"/>
      <c r="E246" s="152"/>
      <c r="F246" s="152"/>
      <c r="G246" s="152"/>
      <c r="H246" s="152"/>
      <c r="I246" s="152"/>
      <c r="J246" s="152"/>
      <c r="K246" s="152"/>
      <c r="L246" s="152"/>
      <c r="M246" s="153"/>
      <c r="N246" s="153"/>
    </row>
    <row r="247" spans="1:20" s="15" customFormat="1" x14ac:dyDescent="0.2">
      <c r="B247" s="18"/>
      <c r="C247" s="18"/>
      <c r="D247" s="152"/>
      <c r="E247" s="152"/>
      <c r="F247" s="152"/>
      <c r="G247" s="152"/>
      <c r="H247" s="152"/>
      <c r="I247" s="152"/>
      <c r="J247" s="152"/>
      <c r="K247" s="152"/>
      <c r="L247" s="152"/>
      <c r="M247" s="153"/>
    </row>
    <row r="248" spans="1:20" s="15" customFormat="1" x14ac:dyDescent="0.2">
      <c r="A248" s="14"/>
      <c r="B248" s="17"/>
      <c r="C248" s="17"/>
      <c r="D248" s="18"/>
      <c r="E248" s="18"/>
      <c r="F248" s="18"/>
      <c r="G248" s="18"/>
      <c r="H248" s="18"/>
      <c r="I248" s="18"/>
      <c r="J248" s="18"/>
      <c r="K248" s="18"/>
      <c r="L248" s="153"/>
      <c r="M248" s="24"/>
      <c r="N248" s="24"/>
      <c r="R248" s="163"/>
      <c r="T248" s="163"/>
    </row>
    <row r="249" spans="1:20" s="15" customFormat="1" x14ac:dyDescent="0.2">
      <c r="B249" s="18"/>
      <c r="C249" s="18"/>
      <c r="D249" s="152"/>
      <c r="E249" s="152"/>
      <c r="F249" s="152"/>
      <c r="G249" s="152"/>
      <c r="H249" s="152"/>
      <c r="I249" s="152"/>
      <c r="J249" s="152"/>
      <c r="K249" s="152"/>
      <c r="L249" s="152"/>
      <c r="N249" s="24"/>
      <c r="R249" s="163"/>
      <c r="T249" s="163"/>
    </row>
    <row r="250" spans="1:20" s="15" customFormat="1" x14ac:dyDescent="0.2">
      <c r="B250" s="18"/>
      <c r="C250" s="18"/>
      <c r="D250" s="154"/>
      <c r="E250" s="154"/>
      <c r="F250" s="154"/>
      <c r="G250" s="154"/>
      <c r="H250" s="154"/>
      <c r="I250" s="154"/>
      <c r="J250" s="154"/>
      <c r="K250" s="154"/>
      <c r="L250" s="152"/>
      <c r="N250" s="153"/>
      <c r="R250" s="163"/>
      <c r="T250" s="163"/>
    </row>
    <row r="251" spans="1:20" s="15" customFormat="1" x14ac:dyDescent="0.2">
      <c r="B251" s="18"/>
      <c r="C251" s="18"/>
      <c r="D251" s="152"/>
      <c r="E251" s="152"/>
      <c r="F251" s="152"/>
      <c r="G251" s="152"/>
      <c r="H251" s="152"/>
      <c r="I251" s="152"/>
      <c r="J251" s="152"/>
      <c r="K251" s="152"/>
      <c r="L251" s="153"/>
      <c r="M251" s="153"/>
      <c r="N251" s="153"/>
      <c r="R251" s="163"/>
      <c r="T251" s="163"/>
    </row>
    <row r="252" spans="1:20" s="15" customFormat="1" x14ac:dyDescent="0.2">
      <c r="B252" s="18"/>
      <c r="C252" s="18"/>
      <c r="D252" s="154"/>
      <c r="E252" s="154"/>
      <c r="F252" s="154"/>
      <c r="G252" s="154"/>
      <c r="H252" s="154"/>
      <c r="I252" s="154"/>
      <c r="J252" s="154"/>
      <c r="K252" s="154"/>
      <c r="L252" s="154"/>
      <c r="M252" s="24"/>
      <c r="N252" s="24"/>
      <c r="R252" s="163"/>
      <c r="T252" s="163"/>
    </row>
    <row r="253" spans="1:20" s="15" customFormat="1" x14ac:dyDescent="0.2">
      <c r="B253" s="18"/>
      <c r="C253" s="18"/>
      <c r="D253" s="152"/>
      <c r="E253" s="152"/>
      <c r="F253" s="152"/>
      <c r="G253" s="152"/>
      <c r="H253" s="152"/>
      <c r="I253" s="152"/>
      <c r="J253" s="152"/>
      <c r="K253" s="152"/>
      <c r="L253" s="153"/>
      <c r="M253" s="153"/>
      <c r="N253" s="24"/>
      <c r="O253" s="153"/>
      <c r="P253" s="153"/>
      <c r="R253" s="163"/>
      <c r="T253" s="163"/>
    </row>
    <row r="254" spans="1:20" s="15" customFormat="1" x14ac:dyDescent="0.2">
      <c r="B254" s="18"/>
      <c r="C254" s="18"/>
      <c r="D254" s="154"/>
      <c r="E254" s="154"/>
      <c r="F254" s="154"/>
      <c r="G254" s="154"/>
      <c r="H254" s="154"/>
      <c r="I254" s="154"/>
      <c r="J254" s="154"/>
      <c r="K254" s="154"/>
      <c r="L254" s="154"/>
      <c r="M254" s="153"/>
    </row>
    <row r="255" spans="1:20" s="15" customFormat="1" x14ac:dyDescent="0.2">
      <c r="B255" s="18"/>
      <c r="C255" s="18"/>
      <c r="D255" s="152"/>
      <c r="E255" s="152"/>
      <c r="F255" s="152"/>
      <c r="G255" s="152"/>
      <c r="H255" s="152"/>
      <c r="I255" s="152"/>
      <c r="J255" s="152"/>
      <c r="K255" s="152"/>
      <c r="L255" s="152"/>
      <c r="M255" s="153"/>
      <c r="N255" s="153"/>
    </row>
    <row r="256" spans="1:20" s="15" customFormat="1" x14ac:dyDescent="0.2">
      <c r="B256" s="18"/>
      <c r="C256" s="18"/>
      <c r="D256" s="152"/>
      <c r="E256" s="152"/>
      <c r="F256" s="152"/>
      <c r="G256" s="152"/>
      <c r="H256" s="152"/>
      <c r="I256" s="152"/>
      <c r="J256" s="152"/>
      <c r="K256" s="152"/>
      <c r="L256" s="152"/>
      <c r="M256" s="153"/>
    </row>
    <row r="257" spans="1:20" s="15" customFormat="1" x14ac:dyDescent="0.2">
      <c r="A257" s="14"/>
      <c r="B257" s="17"/>
      <c r="C257" s="17"/>
      <c r="D257" s="18"/>
      <c r="E257" s="18"/>
      <c r="F257" s="18"/>
      <c r="G257" s="18"/>
      <c r="H257" s="18"/>
      <c r="I257" s="18"/>
      <c r="J257" s="18"/>
      <c r="K257" s="18"/>
      <c r="L257" s="153"/>
      <c r="M257" s="24"/>
      <c r="N257" s="24"/>
      <c r="R257" s="163"/>
      <c r="T257" s="163"/>
    </row>
    <row r="258" spans="1:20" s="15" customFormat="1" x14ac:dyDescent="0.2">
      <c r="B258" s="18"/>
      <c r="C258" s="18"/>
      <c r="D258" s="152"/>
      <c r="E258" s="152"/>
      <c r="F258" s="152"/>
      <c r="G258" s="152"/>
      <c r="H258" s="152"/>
      <c r="I258" s="152"/>
      <c r="J258" s="152"/>
      <c r="K258" s="152"/>
      <c r="L258" s="152"/>
      <c r="N258" s="24"/>
      <c r="R258" s="163"/>
      <c r="T258" s="163"/>
    </row>
    <row r="259" spans="1:20" s="15" customFormat="1" x14ac:dyDescent="0.2">
      <c r="B259" s="18"/>
      <c r="C259" s="18"/>
      <c r="D259" s="154"/>
      <c r="E259" s="154"/>
      <c r="F259" s="154"/>
      <c r="G259" s="154"/>
      <c r="H259" s="154"/>
      <c r="I259" s="154"/>
      <c r="J259" s="154"/>
      <c r="K259" s="154"/>
      <c r="L259" s="152"/>
      <c r="N259" s="153"/>
      <c r="R259" s="163"/>
      <c r="T259" s="163"/>
    </row>
    <row r="260" spans="1:20" s="15" customFormat="1" x14ac:dyDescent="0.2">
      <c r="B260" s="18"/>
      <c r="C260" s="18"/>
      <c r="D260" s="152"/>
      <c r="E260" s="152"/>
      <c r="F260" s="152"/>
      <c r="G260" s="152"/>
      <c r="H260" s="152"/>
      <c r="I260" s="152"/>
      <c r="J260" s="152"/>
      <c r="K260" s="152"/>
      <c r="L260" s="153"/>
      <c r="M260" s="153"/>
      <c r="N260" s="153"/>
      <c r="R260" s="163"/>
      <c r="T260" s="163"/>
    </row>
    <row r="261" spans="1:20" s="15" customFormat="1" x14ac:dyDescent="0.2">
      <c r="B261" s="18"/>
      <c r="C261" s="18"/>
      <c r="D261" s="154"/>
      <c r="E261" s="154"/>
      <c r="F261" s="154"/>
      <c r="G261" s="154"/>
      <c r="H261" s="154"/>
      <c r="I261" s="154"/>
      <c r="J261" s="154"/>
      <c r="K261" s="154"/>
      <c r="L261" s="154"/>
      <c r="M261" s="24"/>
      <c r="N261" s="24"/>
      <c r="R261" s="163"/>
      <c r="T261" s="163"/>
    </row>
    <row r="262" spans="1:20" s="15" customFormat="1" x14ac:dyDescent="0.2">
      <c r="B262" s="18"/>
      <c r="C262" s="18"/>
      <c r="D262" s="152"/>
      <c r="E262" s="152"/>
      <c r="F262" s="152"/>
      <c r="G262" s="152"/>
      <c r="H262" s="152"/>
      <c r="I262" s="152"/>
      <c r="J262" s="152"/>
      <c r="K262" s="152"/>
      <c r="L262" s="153"/>
      <c r="M262" s="153"/>
      <c r="N262" s="24"/>
      <c r="O262" s="153"/>
      <c r="P262" s="153"/>
      <c r="R262" s="163"/>
      <c r="T262" s="163"/>
    </row>
    <row r="263" spans="1:20" s="15" customFormat="1" x14ac:dyDescent="0.2">
      <c r="B263" s="18"/>
      <c r="C263" s="18"/>
      <c r="D263" s="154"/>
      <c r="E263" s="154"/>
      <c r="F263" s="154"/>
      <c r="G263" s="154"/>
      <c r="H263" s="154"/>
      <c r="I263" s="154"/>
      <c r="J263" s="154"/>
      <c r="K263" s="154"/>
      <c r="L263" s="154"/>
      <c r="M263" s="153"/>
    </row>
    <row r="264" spans="1:20" s="15" customFormat="1" x14ac:dyDescent="0.2">
      <c r="B264" s="18"/>
      <c r="C264" s="18"/>
      <c r="D264" s="152"/>
      <c r="E264" s="152"/>
      <c r="F264" s="152"/>
      <c r="G264" s="152"/>
      <c r="H264" s="152"/>
      <c r="I264" s="152"/>
      <c r="J264" s="152"/>
      <c r="K264" s="152"/>
      <c r="L264" s="152"/>
      <c r="M264" s="153"/>
      <c r="N264" s="153"/>
    </row>
    <row r="265" spans="1:20" s="15" customFormat="1" x14ac:dyDescent="0.2">
      <c r="B265" s="18"/>
      <c r="C265" s="18"/>
      <c r="D265" s="152"/>
      <c r="E265" s="152"/>
      <c r="F265" s="152"/>
      <c r="G265" s="152"/>
      <c r="H265" s="152"/>
      <c r="I265" s="152"/>
      <c r="J265" s="152"/>
      <c r="K265" s="152"/>
      <c r="L265" s="152"/>
      <c r="M265" s="153"/>
    </row>
    <row r="266" spans="1:20" s="15" customFormat="1" x14ac:dyDescent="0.2">
      <c r="B266" s="18"/>
      <c r="C266" s="18"/>
      <c r="D266" s="18"/>
      <c r="E266" s="18"/>
      <c r="F266" s="18"/>
      <c r="G266" s="18"/>
      <c r="H266" s="18"/>
      <c r="I266" s="18"/>
      <c r="J266" s="18"/>
      <c r="K266" s="18"/>
      <c r="L266" s="153"/>
      <c r="M266" s="24"/>
      <c r="N266" s="24"/>
      <c r="R266" s="163"/>
      <c r="T266" s="163"/>
    </row>
    <row r="267" spans="1:20" s="15" customFormat="1" x14ac:dyDescent="0.2">
      <c r="B267" s="18"/>
      <c r="C267" s="18"/>
      <c r="D267" s="152"/>
      <c r="E267" s="152"/>
      <c r="F267" s="152"/>
      <c r="G267" s="152"/>
      <c r="H267" s="152"/>
      <c r="I267" s="152"/>
      <c r="J267" s="152"/>
      <c r="K267" s="152"/>
      <c r="L267" s="152"/>
      <c r="N267" s="24"/>
      <c r="R267" s="163"/>
      <c r="T267" s="163"/>
    </row>
    <row r="268" spans="1:20" s="15" customFormat="1" x14ac:dyDescent="0.2">
      <c r="B268" s="18"/>
      <c r="C268" s="18"/>
      <c r="D268" s="154"/>
      <c r="E268" s="154"/>
      <c r="F268" s="154"/>
      <c r="G268" s="154"/>
      <c r="H268" s="154"/>
      <c r="I268" s="154"/>
      <c r="J268" s="154"/>
      <c r="K268" s="154"/>
      <c r="L268" s="152"/>
      <c r="N268" s="153"/>
      <c r="R268" s="163"/>
      <c r="T268" s="163"/>
    </row>
    <row r="269" spans="1:20" s="15" customFormat="1" x14ac:dyDescent="0.2">
      <c r="B269" s="18"/>
      <c r="C269" s="18"/>
      <c r="D269" s="152"/>
      <c r="E269" s="152"/>
      <c r="F269" s="152"/>
      <c r="G269" s="152"/>
      <c r="H269" s="152"/>
      <c r="I269" s="152"/>
      <c r="J269" s="152"/>
      <c r="K269" s="152"/>
      <c r="L269" s="153"/>
      <c r="M269" s="153"/>
      <c r="N269" s="153"/>
      <c r="R269" s="163"/>
      <c r="T269" s="163"/>
    </row>
    <row r="270" spans="1:20" s="15" customFormat="1" x14ac:dyDescent="0.2">
      <c r="B270" s="18"/>
      <c r="C270" s="18"/>
      <c r="D270" s="154"/>
      <c r="E270" s="154"/>
      <c r="F270" s="154"/>
      <c r="G270" s="154"/>
      <c r="H270" s="154"/>
      <c r="I270" s="154"/>
      <c r="J270" s="154"/>
      <c r="K270" s="154"/>
      <c r="L270" s="154"/>
      <c r="M270" s="24"/>
      <c r="N270" s="24"/>
      <c r="R270" s="163"/>
      <c r="T270" s="163"/>
    </row>
    <row r="271" spans="1:20" s="15" customFormat="1" x14ac:dyDescent="0.2">
      <c r="B271" s="18"/>
      <c r="C271" s="18"/>
      <c r="D271" s="152"/>
      <c r="E271" s="152"/>
      <c r="F271" s="152"/>
      <c r="G271" s="152"/>
      <c r="H271" s="152"/>
      <c r="I271" s="152"/>
      <c r="J271" s="152"/>
      <c r="K271" s="152"/>
      <c r="L271" s="153"/>
      <c r="M271" s="153"/>
      <c r="N271" s="24"/>
      <c r="O271" s="153"/>
      <c r="P271" s="153"/>
      <c r="R271" s="163"/>
      <c r="T271" s="163"/>
    </row>
    <row r="272" spans="1:20" s="15" customFormat="1" x14ac:dyDescent="0.2">
      <c r="B272" s="18"/>
      <c r="C272" s="18"/>
      <c r="D272" s="154"/>
      <c r="E272" s="154"/>
      <c r="F272" s="154"/>
      <c r="G272" s="154"/>
      <c r="H272" s="154"/>
      <c r="I272" s="154"/>
      <c r="J272" s="154"/>
      <c r="K272" s="154"/>
      <c r="L272" s="154"/>
      <c r="M272" s="153"/>
    </row>
    <row r="273" spans="1:20" s="15" customFormat="1" x14ac:dyDescent="0.2">
      <c r="B273" s="18"/>
      <c r="C273" s="18"/>
      <c r="D273" s="152"/>
      <c r="E273" s="152"/>
      <c r="F273" s="152"/>
      <c r="G273" s="152"/>
      <c r="H273" s="152"/>
      <c r="I273" s="152"/>
      <c r="J273" s="152"/>
      <c r="K273" s="152"/>
      <c r="L273" s="152"/>
      <c r="M273" s="153"/>
      <c r="N273" s="153"/>
    </row>
    <row r="274" spans="1:20" s="15" customFormat="1" x14ac:dyDescent="0.2">
      <c r="B274" s="18"/>
      <c r="C274" s="18"/>
      <c r="D274" s="152"/>
      <c r="E274" s="152"/>
      <c r="F274" s="152"/>
      <c r="G274" s="152"/>
      <c r="H274" s="152"/>
      <c r="I274" s="152"/>
      <c r="J274" s="152"/>
      <c r="K274" s="152"/>
      <c r="L274" s="152"/>
      <c r="M274" s="153"/>
    </row>
    <row r="275" spans="1:20" s="15" customFormat="1" x14ac:dyDescent="0.2">
      <c r="A275" s="14"/>
      <c r="B275" s="17"/>
      <c r="C275" s="17"/>
      <c r="D275" s="18"/>
      <c r="E275" s="18"/>
      <c r="F275" s="18"/>
      <c r="G275" s="18"/>
      <c r="H275" s="18"/>
      <c r="I275" s="18"/>
      <c r="J275" s="18"/>
      <c r="K275" s="18"/>
      <c r="L275" s="153"/>
      <c r="M275" s="24"/>
      <c r="N275" s="24"/>
      <c r="R275" s="163"/>
      <c r="T275" s="163"/>
    </row>
    <row r="276" spans="1:20" s="15" customFormat="1" x14ac:dyDescent="0.2">
      <c r="B276" s="18"/>
      <c r="C276" s="18"/>
      <c r="D276" s="152"/>
      <c r="E276" s="152"/>
      <c r="F276" s="152"/>
      <c r="G276" s="152"/>
      <c r="H276" s="152"/>
      <c r="I276" s="152"/>
      <c r="J276" s="152"/>
      <c r="K276" s="152"/>
      <c r="L276" s="152"/>
      <c r="N276" s="24"/>
      <c r="R276" s="163"/>
      <c r="T276" s="163"/>
    </row>
    <row r="277" spans="1:20" s="15" customFormat="1" x14ac:dyDescent="0.2">
      <c r="B277" s="18"/>
      <c r="C277" s="18"/>
      <c r="D277" s="154"/>
      <c r="E277" s="154"/>
      <c r="F277" s="154"/>
      <c r="G277" s="154"/>
      <c r="H277" s="154"/>
      <c r="I277" s="154"/>
      <c r="J277" s="154"/>
      <c r="K277" s="154"/>
      <c r="L277" s="152"/>
      <c r="N277" s="153"/>
      <c r="R277" s="163"/>
      <c r="T277" s="163"/>
    </row>
    <row r="278" spans="1:20" s="15" customFormat="1" x14ac:dyDescent="0.2">
      <c r="B278" s="18"/>
      <c r="C278" s="18"/>
      <c r="D278" s="152"/>
      <c r="E278" s="152"/>
      <c r="F278" s="152"/>
      <c r="G278" s="152"/>
      <c r="H278" s="152"/>
      <c r="I278" s="152"/>
      <c r="J278" s="152"/>
      <c r="K278" s="152"/>
      <c r="L278" s="153"/>
      <c r="M278" s="153"/>
      <c r="N278" s="153"/>
      <c r="R278" s="163"/>
      <c r="T278" s="163"/>
    </row>
    <row r="279" spans="1:20" s="15" customFormat="1" x14ac:dyDescent="0.2">
      <c r="B279" s="18"/>
      <c r="C279" s="18"/>
      <c r="D279" s="154"/>
      <c r="E279" s="154"/>
      <c r="F279" s="154"/>
      <c r="G279" s="154"/>
      <c r="H279" s="154"/>
      <c r="I279" s="154"/>
      <c r="J279" s="154"/>
      <c r="K279" s="154"/>
      <c r="L279" s="154"/>
      <c r="M279" s="24"/>
      <c r="N279" s="24"/>
      <c r="R279" s="163"/>
      <c r="T279" s="163"/>
    </row>
    <row r="280" spans="1:20" s="15" customFormat="1" x14ac:dyDescent="0.2">
      <c r="B280" s="18"/>
      <c r="C280" s="18"/>
      <c r="D280" s="152"/>
      <c r="E280" s="152"/>
      <c r="F280" s="152"/>
      <c r="G280" s="152"/>
      <c r="H280" s="152"/>
      <c r="I280" s="152"/>
      <c r="J280" s="152"/>
      <c r="K280" s="152"/>
      <c r="L280" s="153"/>
      <c r="M280" s="153"/>
      <c r="N280" s="24"/>
      <c r="O280" s="153"/>
      <c r="P280" s="153"/>
      <c r="R280" s="163"/>
      <c r="T280" s="163"/>
    </row>
    <row r="281" spans="1:20" s="15" customFormat="1" x14ac:dyDescent="0.2">
      <c r="B281" s="18"/>
      <c r="C281" s="18"/>
      <c r="D281" s="154"/>
      <c r="E281" s="154"/>
      <c r="F281" s="154"/>
      <c r="G281" s="154"/>
      <c r="H281" s="154"/>
      <c r="I281" s="154"/>
      <c r="J281" s="154"/>
      <c r="K281" s="154"/>
      <c r="L281" s="154"/>
      <c r="M281" s="153"/>
    </row>
    <row r="282" spans="1:20" s="15" customFormat="1" x14ac:dyDescent="0.2">
      <c r="B282" s="18"/>
      <c r="C282" s="18"/>
      <c r="D282" s="152"/>
      <c r="E282" s="152"/>
      <c r="F282" s="152"/>
      <c r="G282" s="152"/>
      <c r="H282" s="152"/>
      <c r="I282" s="152"/>
      <c r="J282" s="152"/>
      <c r="K282" s="152"/>
      <c r="L282" s="152"/>
      <c r="M282" s="153"/>
      <c r="N282" s="153"/>
    </row>
    <row r="283" spans="1:20" s="15" customFormat="1" x14ac:dyDescent="0.2">
      <c r="B283" s="18"/>
      <c r="C283" s="18"/>
      <c r="D283" s="152"/>
      <c r="E283" s="152"/>
      <c r="F283" s="152"/>
      <c r="G283" s="152"/>
      <c r="H283" s="152"/>
      <c r="I283" s="152"/>
      <c r="J283" s="152"/>
      <c r="K283" s="152"/>
      <c r="L283" s="152"/>
      <c r="M283" s="153"/>
      <c r="N283" s="153"/>
    </row>
    <row r="284" spans="1:20" s="15" customFormat="1" x14ac:dyDescent="0.2">
      <c r="A284" s="14"/>
      <c r="B284" s="17"/>
      <c r="C284" s="17"/>
      <c r="D284" s="18"/>
      <c r="E284" s="18"/>
      <c r="F284" s="18"/>
      <c r="G284" s="18"/>
      <c r="H284" s="18"/>
      <c r="I284" s="18"/>
      <c r="J284" s="18"/>
      <c r="K284" s="18"/>
      <c r="L284" s="153"/>
      <c r="M284" s="24"/>
      <c r="N284" s="24"/>
      <c r="R284" s="163"/>
      <c r="T284" s="163"/>
    </row>
    <row r="285" spans="1:20" s="15" customFormat="1" x14ac:dyDescent="0.2">
      <c r="B285" s="18"/>
      <c r="C285" s="18"/>
      <c r="D285" s="152"/>
      <c r="E285" s="152"/>
      <c r="F285" s="152"/>
      <c r="G285" s="152"/>
      <c r="H285" s="152"/>
      <c r="I285" s="152"/>
      <c r="J285" s="152"/>
      <c r="K285" s="152"/>
      <c r="L285" s="152"/>
      <c r="N285" s="24"/>
      <c r="R285" s="163"/>
      <c r="T285" s="163"/>
    </row>
    <row r="286" spans="1:20" s="15" customFormat="1" x14ac:dyDescent="0.2">
      <c r="B286" s="18"/>
      <c r="C286" s="18"/>
      <c r="D286" s="154"/>
      <c r="E286" s="154"/>
      <c r="F286" s="154"/>
      <c r="G286" s="154"/>
      <c r="H286" s="154"/>
      <c r="I286" s="154"/>
      <c r="J286" s="154"/>
      <c r="K286" s="154"/>
      <c r="L286" s="154"/>
      <c r="N286" s="153"/>
      <c r="R286" s="163"/>
      <c r="T286" s="163"/>
    </row>
    <row r="287" spans="1:20" s="15" customFormat="1" x14ac:dyDescent="0.2">
      <c r="B287" s="18"/>
      <c r="C287" s="18"/>
      <c r="D287" s="152"/>
      <c r="E287" s="152"/>
      <c r="F287" s="152"/>
      <c r="G287" s="152"/>
      <c r="H287" s="152"/>
      <c r="I287" s="152"/>
      <c r="J287" s="152"/>
      <c r="K287" s="152"/>
      <c r="L287" s="153"/>
      <c r="M287" s="153"/>
      <c r="N287" s="153"/>
      <c r="R287" s="163"/>
      <c r="T287" s="163"/>
    </row>
    <row r="288" spans="1:20" s="15" customFormat="1" x14ac:dyDescent="0.2">
      <c r="B288" s="18"/>
      <c r="C288" s="18"/>
      <c r="D288" s="154"/>
      <c r="E288" s="154"/>
      <c r="F288" s="154"/>
      <c r="G288" s="154"/>
      <c r="H288" s="154"/>
      <c r="I288" s="154"/>
      <c r="J288" s="154"/>
      <c r="K288" s="154"/>
      <c r="L288" s="154"/>
      <c r="M288" s="24"/>
      <c r="N288" s="24"/>
      <c r="R288" s="163"/>
      <c r="T288" s="163"/>
    </row>
    <row r="289" spans="1:20" s="15" customFormat="1" x14ac:dyDescent="0.2">
      <c r="B289" s="18"/>
      <c r="C289" s="18"/>
      <c r="D289" s="152"/>
      <c r="E289" s="152"/>
      <c r="F289" s="152"/>
      <c r="G289" s="152"/>
      <c r="H289" s="152"/>
      <c r="I289" s="152"/>
      <c r="J289" s="152"/>
      <c r="K289" s="152"/>
      <c r="L289" s="153"/>
      <c r="M289" s="153"/>
      <c r="N289" s="24"/>
      <c r="O289" s="153"/>
      <c r="P289" s="153"/>
      <c r="R289" s="163"/>
      <c r="T289" s="163"/>
    </row>
    <row r="290" spans="1:20" s="15" customFormat="1" x14ac:dyDescent="0.2">
      <c r="B290" s="18"/>
      <c r="C290" s="18"/>
      <c r="D290" s="154"/>
      <c r="E290" s="154"/>
      <c r="F290" s="154"/>
      <c r="G290" s="154"/>
      <c r="H290" s="154"/>
      <c r="I290" s="154"/>
      <c r="J290" s="154"/>
      <c r="K290" s="154"/>
      <c r="L290" s="154"/>
      <c r="M290" s="153"/>
    </row>
    <row r="291" spans="1:20" s="15" customFormat="1" x14ac:dyDescent="0.2">
      <c r="B291" s="18"/>
      <c r="C291" s="18"/>
      <c r="D291" s="152"/>
      <c r="E291" s="152"/>
      <c r="F291" s="152"/>
      <c r="G291" s="152"/>
      <c r="H291" s="152"/>
      <c r="I291" s="152"/>
      <c r="J291" s="152"/>
      <c r="K291" s="152"/>
      <c r="L291" s="152"/>
      <c r="M291" s="153"/>
      <c r="N291" s="153"/>
    </row>
    <row r="292" spans="1:20" s="15" customFormat="1" x14ac:dyDescent="0.2">
      <c r="B292" s="18"/>
      <c r="C292" s="18"/>
      <c r="D292" s="152"/>
      <c r="E292" s="152"/>
      <c r="F292" s="152"/>
      <c r="G292" s="152"/>
      <c r="H292" s="152"/>
      <c r="I292" s="152"/>
      <c r="J292" s="152"/>
      <c r="K292" s="152"/>
      <c r="L292" s="152"/>
      <c r="M292" s="153"/>
    </row>
    <row r="293" spans="1:20" s="15" customFormat="1" x14ac:dyDescent="0.2">
      <c r="A293" s="14"/>
      <c r="B293" s="17"/>
      <c r="C293" s="17"/>
      <c r="D293" s="18"/>
      <c r="E293" s="18"/>
      <c r="F293" s="18"/>
      <c r="G293" s="18"/>
      <c r="H293" s="18"/>
      <c r="I293" s="18"/>
      <c r="J293" s="18"/>
      <c r="K293" s="18"/>
      <c r="L293" s="153"/>
      <c r="M293" s="24"/>
      <c r="N293" s="24"/>
      <c r="R293" s="163"/>
      <c r="T293" s="163"/>
    </row>
    <row r="294" spans="1:20" s="15" customFormat="1" x14ac:dyDescent="0.2">
      <c r="B294" s="18"/>
      <c r="C294" s="18"/>
      <c r="D294" s="152"/>
      <c r="E294" s="152"/>
      <c r="F294" s="152"/>
      <c r="G294" s="152"/>
      <c r="H294" s="152"/>
      <c r="I294" s="152"/>
      <c r="J294" s="152"/>
      <c r="K294" s="152"/>
      <c r="L294" s="152"/>
      <c r="N294" s="24"/>
      <c r="R294" s="163"/>
      <c r="T294" s="163"/>
    </row>
    <row r="295" spans="1:20" s="15" customFormat="1" x14ac:dyDescent="0.2">
      <c r="B295" s="18"/>
      <c r="C295" s="18"/>
      <c r="D295" s="154"/>
      <c r="E295" s="154"/>
      <c r="F295" s="154"/>
      <c r="G295" s="154"/>
      <c r="H295" s="154"/>
      <c r="I295" s="154"/>
      <c r="J295" s="154"/>
      <c r="K295" s="154"/>
      <c r="L295" s="154"/>
      <c r="N295" s="153"/>
      <c r="R295" s="163"/>
      <c r="T295" s="163"/>
    </row>
    <row r="296" spans="1:20" s="15" customFormat="1" x14ac:dyDescent="0.2">
      <c r="B296" s="18"/>
      <c r="C296" s="18"/>
      <c r="D296" s="152"/>
      <c r="E296" s="152"/>
      <c r="F296" s="152"/>
      <c r="G296" s="152"/>
      <c r="H296" s="152"/>
      <c r="I296" s="152"/>
      <c r="J296" s="152"/>
      <c r="K296" s="152"/>
      <c r="L296" s="153"/>
      <c r="M296" s="153"/>
      <c r="N296" s="153"/>
      <c r="R296" s="163"/>
      <c r="T296" s="163"/>
    </row>
    <row r="297" spans="1:20" s="15" customFormat="1" x14ac:dyDescent="0.2">
      <c r="B297" s="18"/>
      <c r="C297" s="18"/>
      <c r="D297" s="154"/>
      <c r="E297" s="154"/>
      <c r="F297" s="154"/>
      <c r="G297" s="154"/>
      <c r="H297" s="154"/>
      <c r="I297" s="154"/>
      <c r="J297" s="154"/>
      <c r="K297" s="154"/>
      <c r="L297" s="154"/>
      <c r="M297" s="24"/>
      <c r="N297" s="24"/>
      <c r="R297" s="163"/>
      <c r="T297" s="163"/>
    </row>
    <row r="298" spans="1:20" s="15" customFormat="1" x14ac:dyDescent="0.2">
      <c r="B298" s="18"/>
      <c r="C298" s="18"/>
      <c r="D298" s="152"/>
      <c r="E298" s="152"/>
      <c r="F298" s="152"/>
      <c r="G298" s="152"/>
      <c r="H298" s="152"/>
      <c r="I298" s="152"/>
      <c r="J298" s="152"/>
      <c r="K298" s="152"/>
      <c r="L298" s="153"/>
      <c r="M298" s="153"/>
      <c r="N298" s="24"/>
      <c r="O298" s="153"/>
      <c r="P298" s="153"/>
      <c r="R298" s="163"/>
      <c r="T298" s="163"/>
    </row>
    <row r="299" spans="1:20" s="15" customFormat="1" x14ac:dyDescent="0.2">
      <c r="B299" s="18"/>
      <c r="C299" s="18"/>
      <c r="D299" s="154"/>
      <c r="E299" s="154"/>
      <c r="F299" s="154"/>
      <c r="G299" s="154"/>
      <c r="H299" s="154"/>
      <c r="I299" s="154"/>
      <c r="J299" s="154"/>
      <c r="K299" s="154"/>
      <c r="L299" s="154"/>
      <c r="M299" s="153"/>
    </row>
    <row r="300" spans="1:20" s="15" customFormat="1" x14ac:dyDescent="0.2">
      <c r="B300" s="18"/>
      <c r="C300" s="18"/>
      <c r="D300" s="152"/>
      <c r="E300" s="152"/>
      <c r="F300" s="152"/>
      <c r="G300" s="152"/>
      <c r="H300" s="152"/>
      <c r="I300" s="152"/>
      <c r="J300" s="152"/>
      <c r="K300" s="152"/>
      <c r="L300" s="152"/>
      <c r="M300" s="153"/>
      <c r="N300" s="153"/>
    </row>
    <row r="301" spans="1:20" s="15" customFormat="1" x14ac:dyDescent="0.2">
      <c r="B301" s="18"/>
      <c r="C301" s="18"/>
      <c r="D301" s="152"/>
      <c r="E301" s="152"/>
      <c r="F301" s="152"/>
      <c r="G301" s="152"/>
      <c r="H301" s="152"/>
      <c r="I301" s="18"/>
      <c r="J301" s="18"/>
      <c r="K301" s="18"/>
      <c r="L301" s="152"/>
      <c r="M301" s="153"/>
    </row>
    <row r="302" spans="1:20" s="15" customFormat="1" x14ac:dyDescent="0.2">
      <c r="B302" s="18"/>
      <c r="C302" s="18"/>
      <c r="D302" s="152"/>
      <c r="E302" s="152"/>
      <c r="F302" s="152"/>
      <c r="G302" s="152"/>
      <c r="H302" s="152"/>
      <c r="I302" s="152"/>
      <c r="J302" s="152"/>
      <c r="K302" s="152"/>
      <c r="L302" s="152"/>
      <c r="M302" s="153"/>
    </row>
    <row r="303" spans="1:20" s="15" customFormat="1" x14ac:dyDescent="0.2">
      <c r="B303" s="18"/>
      <c r="C303" s="18"/>
      <c r="D303" s="152"/>
      <c r="E303" s="152"/>
      <c r="F303" s="152"/>
      <c r="G303" s="152"/>
      <c r="H303" s="152"/>
      <c r="I303" s="152"/>
      <c r="J303" s="152"/>
      <c r="K303" s="152"/>
      <c r="L303" s="152"/>
      <c r="M303" s="153"/>
    </row>
    <row r="304" spans="1:20" s="15" customFormat="1" x14ac:dyDescent="0.2">
      <c r="B304" s="18"/>
      <c r="C304" s="18"/>
      <c r="D304" s="152"/>
      <c r="E304" s="152"/>
      <c r="F304" s="152"/>
      <c r="G304" s="152"/>
      <c r="H304" s="152"/>
      <c r="I304" s="152"/>
      <c r="J304" s="152"/>
      <c r="K304" s="152"/>
      <c r="L304" s="152"/>
      <c r="M304" s="153"/>
    </row>
    <row r="305" spans="2:20" s="15" customFormat="1" x14ac:dyDescent="0.2">
      <c r="B305" s="18"/>
      <c r="C305" s="18"/>
      <c r="D305" s="18"/>
      <c r="E305" s="18"/>
      <c r="F305" s="18"/>
      <c r="G305" s="18"/>
      <c r="H305" s="18"/>
      <c r="I305" s="18"/>
      <c r="J305" s="18"/>
      <c r="K305" s="18"/>
      <c r="L305" s="152"/>
      <c r="M305" s="18"/>
      <c r="N305" s="18"/>
    </row>
    <row r="306" spans="2:20" s="15" customFormat="1" x14ac:dyDescent="0.2">
      <c r="B306" s="18"/>
      <c r="C306" s="18"/>
      <c r="D306" s="18"/>
      <c r="E306" s="18"/>
      <c r="F306" s="18"/>
      <c r="G306" s="18"/>
      <c r="H306" s="18"/>
      <c r="I306" s="18"/>
      <c r="J306" s="18"/>
      <c r="K306" s="18"/>
      <c r="L306" s="18"/>
      <c r="M306" s="18"/>
      <c r="N306" s="18"/>
    </row>
    <row r="307" spans="2:20" s="15" customFormat="1" x14ac:dyDescent="0.2">
      <c r="B307" s="18"/>
      <c r="C307" s="18"/>
      <c r="D307" s="18"/>
      <c r="E307" s="18"/>
      <c r="F307" s="18"/>
      <c r="G307" s="18"/>
      <c r="H307" s="18"/>
      <c r="I307" s="18"/>
      <c r="J307" s="18"/>
      <c r="K307" s="18"/>
      <c r="L307" s="18"/>
      <c r="M307" s="18"/>
      <c r="N307" s="18"/>
    </row>
    <row r="308" spans="2:20" s="15" customFormat="1" x14ac:dyDescent="0.2">
      <c r="B308" s="18"/>
      <c r="C308" s="18"/>
      <c r="D308" s="18"/>
      <c r="E308" s="18"/>
      <c r="F308" s="18"/>
      <c r="G308" s="18"/>
      <c r="H308" s="18"/>
      <c r="I308" s="18"/>
      <c r="J308" s="18"/>
      <c r="K308" s="18"/>
      <c r="L308" s="18"/>
      <c r="M308" s="18"/>
      <c r="N308" s="18"/>
    </row>
    <row r="309" spans="2:20" s="15" customFormat="1" x14ac:dyDescent="0.2">
      <c r="B309" s="18"/>
      <c r="C309" s="18"/>
      <c r="D309" s="18"/>
      <c r="E309" s="18"/>
      <c r="F309" s="18"/>
      <c r="G309" s="18"/>
      <c r="H309" s="18"/>
      <c r="I309" s="18"/>
      <c r="J309" s="18"/>
      <c r="K309" s="18"/>
      <c r="L309" s="162"/>
      <c r="N309" s="153"/>
    </row>
    <row r="310" spans="2:20" s="15" customFormat="1" x14ac:dyDescent="0.2">
      <c r="B310" s="18"/>
      <c r="C310" s="18"/>
      <c r="D310" s="18"/>
      <c r="E310" s="18"/>
      <c r="F310" s="18"/>
      <c r="G310" s="18"/>
      <c r="H310" s="18"/>
      <c r="I310" s="18"/>
      <c r="J310" s="18"/>
      <c r="K310" s="18"/>
      <c r="N310" s="153"/>
    </row>
    <row r="311" spans="2:20" s="15" customFormat="1" x14ac:dyDescent="0.2">
      <c r="B311" s="18"/>
      <c r="C311" s="18"/>
      <c r="D311" s="18"/>
      <c r="E311" s="18"/>
      <c r="F311" s="18"/>
      <c r="G311" s="18"/>
      <c r="H311" s="18"/>
      <c r="I311" s="18"/>
      <c r="J311" s="18"/>
      <c r="K311" s="18"/>
      <c r="L311" s="18"/>
      <c r="M311" s="18"/>
      <c r="N311" s="153"/>
    </row>
    <row r="312" spans="2:20" s="15" customFormat="1" x14ac:dyDescent="0.2">
      <c r="B312" s="18"/>
      <c r="C312" s="18"/>
      <c r="D312" s="18"/>
      <c r="E312" s="18"/>
      <c r="F312" s="18"/>
      <c r="G312" s="18"/>
      <c r="H312" s="18"/>
      <c r="I312" s="18"/>
      <c r="J312" s="18"/>
      <c r="K312" s="18"/>
      <c r="L312" s="18"/>
      <c r="M312" s="18"/>
      <c r="N312" s="153"/>
    </row>
    <row r="313" spans="2:20" s="15" customFormat="1" x14ac:dyDescent="0.2">
      <c r="B313" s="18"/>
      <c r="C313" s="18"/>
      <c r="D313" s="18"/>
      <c r="E313" s="18"/>
      <c r="F313" s="18"/>
      <c r="G313" s="18"/>
      <c r="H313" s="18"/>
      <c r="I313" s="18"/>
      <c r="J313" s="18"/>
      <c r="K313" s="18"/>
      <c r="L313" s="18"/>
      <c r="M313" s="24"/>
      <c r="N313" s="24"/>
      <c r="R313" s="163"/>
      <c r="T313" s="163"/>
    </row>
    <row r="314" spans="2:20" ht="17.25" x14ac:dyDescent="0.35">
      <c r="D314" s="18"/>
      <c r="E314" s="10"/>
      <c r="F314" s="10"/>
      <c r="G314" s="10"/>
      <c r="H314" s="10"/>
      <c r="I314" s="10"/>
      <c r="J314" s="10"/>
      <c r="K314" s="16"/>
      <c r="L314" s="10"/>
      <c r="M314" s="10"/>
      <c r="N314" s="10"/>
    </row>
  </sheetData>
  <phoneticPr fontId="0" type="noConversion"/>
  <pageMargins left="0.75" right="0.75" top="1" bottom="1" header="0.5" footer="0.5"/>
  <pageSetup scale="56" orientation="landscape" horizontalDpi="4294967293" verticalDpi="200" r:id="rId1"/>
  <headerFooter alignWithMargins="0"/>
  <rowBreaks count="1" manualBreakCount="1">
    <brk id="112"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Q63"/>
  <sheetViews>
    <sheetView zoomScale="9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192"/>
      <c r="C2" s="192"/>
      <c r="D2" s="192"/>
      <c r="E2" s="192"/>
      <c r="F2" s="192"/>
      <c r="G2" s="192"/>
      <c r="H2" s="192"/>
      <c r="I2" s="192"/>
      <c r="J2" s="192"/>
      <c r="K2" s="192"/>
      <c r="L2" s="192"/>
      <c r="M2" s="192"/>
      <c r="N2" s="192"/>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1742</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'WSS-31'!G174</f>
        <v>2457262896.4775939</v>
      </c>
      <c r="E14" s="247">
        <f>'WSS-31'!G123+'WSS-31'!G124+'WSS-31'!G125</f>
        <v>1219918258.3844647</v>
      </c>
      <c r="F14" s="248">
        <f>'WSS-31'!G126</f>
        <v>27493895.591666382</v>
      </c>
      <c r="G14" s="248">
        <f>'WSS-31'!G135</f>
        <v>377164231.51907974</v>
      </c>
      <c r="H14" s="248">
        <f>'WSS-31'!G145+'WSS-31'!G147+'WSS-31'!G152+'WSS-31'!G141</f>
        <v>304728690.1325624</v>
      </c>
      <c r="I14" s="248">
        <f>'WSS-31'!G146+'WSS-31'!G148+'WSS-31'!G153+'WSS-31'!G157+'WSS-31'!G160+'WSS-31'!G163</f>
        <v>521584458.49508053</v>
      </c>
      <c r="J14" s="248">
        <f>'WSS-31'!G166+'WSS-31'!G169</f>
        <v>6373362.3547402322</v>
      </c>
      <c r="K14" s="249">
        <f>SUM(E14:J14)</f>
        <v>2457262896.4775939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2457262896.4775939</v>
      </c>
      <c r="E16" s="253">
        <f t="shared" ref="E16:K16" si="1">E14+E15</f>
        <v>1219918258.3844647</v>
      </c>
      <c r="F16" s="254">
        <f t="shared" si="1"/>
        <v>27493895.591666382</v>
      </c>
      <c r="G16" s="254">
        <f t="shared" si="1"/>
        <v>377164231.51907974</v>
      </c>
      <c r="H16" s="254">
        <f t="shared" si="1"/>
        <v>304728690.1325624</v>
      </c>
      <c r="I16" s="254">
        <f t="shared" si="1"/>
        <v>521584458.49508053</v>
      </c>
      <c r="J16" s="254">
        <f t="shared" si="1"/>
        <v>6373362.3547402322</v>
      </c>
      <c r="K16" s="249">
        <f t="shared" si="1"/>
        <v>2457262896.4775939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'WSS-31'!G807</f>
        <v>4.7396174016758205E-2</v>
      </c>
      <c r="E18" s="258">
        <f t="shared" ref="E18:J18" si="2">D18</f>
        <v>4.7396174016758205E-2</v>
      </c>
      <c r="F18" s="259">
        <f t="shared" si="2"/>
        <v>4.7396174016758205E-2</v>
      </c>
      <c r="G18" s="259">
        <f t="shared" si="2"/>
        <v>4.7396174016758205E-2</v>
      </c>
      <c r="H18" s="259">
        <f t="shared" si="2"/>
        <v>4.7396174016758205E-2</v>
      </c>
      <c r="I18" s="259">
        <f t="shared" si="2"/>
        <v>4.7396174016758205E-2</v>
      </c>
      <c r="J18" s="259">
        <f t="shared" si="2"/>
        <v>4.7396174016758205E-2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116464859.84637535</v>
      </c>
      <c r="E20" s="253">
        <f t="shared" ref="E20:J20" si="3">E18*E16</f>
        <v>57819458.060610689</v>
      </c>
      <c r="F20" s="254">
        <f t="shared" si="3"/>
        <v>1303105.4598612012</v>
      </c>
      <c r="G20" s="254">
        <f t="shared" si="3"/>
        <v>17876141.549975183</v>
      </c>
      <c r="H20" s="254">
        <f t="shared" si="3"/>
        <v>14442974.025421716</v>
      </c>
      <c r="I20" s="254">
        <f t="shared" si="3"/>
        <v>24721107.759269435</v>
      </c>
      <c r="J20" s="254">
        <f t="shared" si="3"/>
        <v>302072.9912371239</v>
      </c>
      <c r="K20" s="249">
        <f>SUM(E20:J20)</f>
        <v>116464859.84637535</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'WSS-31'!G767</f>
        <v>51506086.48387567</v>
      </c>
      <c r="E22" s="253">
        <f t="shared" ref="E22:J22" si="4">(E14/$D$14)*$D$22</f>
        <v>25570408.20079878</v>
      </c>
      <c r="F22" s="254">
        <f t="shared" si="4"/>
        <v>576292.82001244312</v>
      </c>
      <c r="G22" s="254">
        <f t="shared" si="4"/>
        <v>7905647.1959484378</v>
      </c>
      <c r="H22" s="254">
        <f t="shared" si="4"/>
        <v>6387343.5319373952</v>
      </c>
      <c r="I22" s="254">
        <f t="shared" si="4"/>
        <v>10932804.245896054</v>
      </c>
      <c r="J22" s="254">
        <f t="shared" si="4"/>
        <v>133590.48928256225</v>
      </c>
      <c r="K22" s="249">
        <f>SUM(E22:J22)</f>
        <v>51506086.483875677</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64958773.362499677</v>
      </c>
      <c r="E24" s="253">
        <f t="shared" ref="E24:J24" si="5">E20-E22</f>
        <v>32249049.859811909</v>
      </c>
      <c r="F24" s="254">
        <f t="shared" si="5"/>
        <v>726812.63984875812</v>
      </c>
      <c r="G24" s="254">
        <f t="shared" si="5"/>
        <v>9970494.354026746</v>
      </c>
      <c r="H24" s="254">
        <f t="shared" si="5"/>
        <v>8055630.4934843211</v>
      </c>
      <c r="I24" s="254">
        <f t="shared" si="5"/>
        <v>13788303.513373381</v>
      </c>
      <c r="J24" s="254">
        <f t="shared" si="5"/>
        <v>168482.50195456165</v>
      </c>
      <c r="K24" s="249">
        <f>SUM(E24:J24)</f>
        <v>64958773.362499677</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'WSS-31'!G736+'WSS-31'!G799</f>
        <v>20618121.939754546</v>
      </c>
      <c r="E26" s="253">
        <f t="shared" ref="E26:J26" si="6">$D$26*(E24/$K$24)</f>
        <v>10235951.327779809</v>
      </c>
      <c r="F26" s="254">
        <f t="shared" si="6"/>
        <v>230692.65104700468</v>
      </c>
      <c r="G26" s="254">
        <f t="shared" si="6"/>
        <v>3164666.7224420481</v>
      </c>
      <c r="H26" s="254">
        <f t="shared" si="6"/>
        <v>2556882.8230390931</v>
      </c>
      <c r="I26" s="254">
        <f t="shared" si="6"/>
        <v>4376451.5317217605</v>
      </c>
      <c r="J26" s="254">
        <f t="shared" si="6"/>
        <v>53476.883724831634</v>
      </c>
      <c r="K26" s="249">
        <f>SUM(E26:J26)</f>
        <v>20618121.939754546</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'WSS-31'!G730</f>
        <v>369164546.92586994</v>
      </c>
      <c r="E28" s="253">
        <f>'WSS-31'!G180+'WSS-31'!G181+'WSS-31'!G182</f>
        <v>54624947.619410954</v>
      </c>
      <c r="F28" s="254">
        <f>'WSS-31'!G183</f>
        <v>191795620.89375177</v>
      </c>
      <c r="G28" s="254">
        <f>'WSS-31'!G192</f>
        <v>25536905.446481422</v>
      </c>
      <c r="H28" s="254">
        <f>'WSS-31'!G198+'WSS-31'!G202+'WSS-31'!G204+'WSS-31'!G209</f>
        <v>17160389.604366645</v>
      </c>
      <c r="I28" s="254">
        <f>'WSS-31'!G203+'WSS-31'!G205+'WSS-31'!G210+'WSS-31'!G214+'WSS-31'!G217</f>
        <v>37627883.938451432</v>
      </c>
      <c r="J28" s="254">
        <f>'WSS-31'!G223+'WSS-31'!G226</f>
        <v>42418799.423407674</v>
      </c>
      <c r="K28" s="249">
        <f>SUM(E28:J28)</f>
        <v>369164546.92586988</v>
      </c>
      <c r="L28" s="250" t="str">
        <f>IF(ABS(K28-D28)&lt;0.01,"ok","err")</f>
        <v>ok</v>
      </c>
      <c r="M28" s="26"/>
      <c r="N28" s="26"/>
    </row>
    <row r="29" spans="1:14" ht="15.75" x14ac:dyDescent="0.25">
      <c r="A29" s="282" t="s">
        <v>1803</v>
      </c>
      <c r="B29" s="244" t="s">
        <v>813</v>
      </c>
      <c r="C29" s="245"/>
      <c r="D29" s="253">
        <f>'WSS-31'!G731</f>
        <v>164107492.39296746</v>
      </c>
      <c r="E29" s="253">
        <f>'WSS-31'!G300</f>
        <v>118364937.1874807</v>
      </c>
      <c r="F29" s="254">
        <v>0</v>
      </c>
      <c r="G29" s="254">
        <f>'WSS-31'!G306</f>
        <v>15509605.826350367</v>
      </c>
      <c r="H29" s="254">
        <f>'WSS-31'!G312+'WSS-31'!G316+'WSS-31'!G318+'WSS-31'!G323</f>
        <v>11180448.62375769</v>
      </c>
      <c r="I29" s="254">
        <f>'WSS-31'!G317+'WSS-31'!G319+'WSS-31'!G324+'WSS-31'!G328+'WSS-31'!G331</f>
        <v>19052500.755378727</v>
      </c>
      <c r="J29" s="254">
        <v>0</v>
      </c>
      <c r="K29" s="249">
        <f>SUM(E29:J29)</f>
        <v>164107492.39296746</v>
      </c>
      <c r="L29" s="250" t="str">
        <f>IF(ABS(K29-D29)&lt;0.01,"ok","err")</f>
        <v>ok</v>
      </c>
      <c r="M29" s="26"/>
      <c r="N29" s="26"/>
    </row>
    <row r="30" spans="1:14" ht="15.75" x14ac:dyDescent="0.25">
      <c r="A30" s="282" t="s">
        <v>1804</v>
      </c>
      <c r="B30" s="244" t="s">
        <v>408</v>
      </c>
      <c r="C30" s="245"/>
      <c r="D30" s="253">
        <f>'WSS-31'!G732+'WSS-31'!G733+'WSS-31'!G734</f>
        <v>23280695.386831723</v>
      </c>
      <c r="E30" s="253">
        <f>'WSS-31'!G414+'WSS-31'!G471+'WSS-31'!G357</f>
        <v>12676970.8742225</v>
      </c>
      <c r="F30" s="254">
        <f>'WSS-31'!G529</f>
        <v>0</v>
      </c>
      <c r="G30" s="254">
        <f>'WSS-31'!G420+'WSS-31'!G477+'WSS-31'!G363</f>
        <v>3123044.3732883292</v>
      </c>
      <c r="H30" s="254">
        <f>'WSS-31'!G426+'WSS-31'!G430+'WSS-31'!G432+'WSS-31'!G437+'WSS-31'!G483+'WSS-31'!G487+'WSS-31'!G489+'WSS-31'!G494+'WSS-31'!G369+'WSS-31'!G373+'WSS-31'!G375+'WSS-31'!G380</f>
        <v>2765994.6237210091</v>
      </c>
      <c r="I30" s="254">
        <f>'WSS-31'!G431+'WSS-31'!G433+'WSS-31'!G438+'WSS-31'!G442+'WSS-31'!G445+'WSS-31'!G488+'WSS-31'!G490+'WSS-31'!G495+'WSS-31'!G499+'WSS-31'!G502+'WSS-31'!G374+'WSS-31'!G376+'WSS-31'!G381+'WSS-31'!G385+'WSS-31'!G388</f>
        <v>4714685.5155998832</v>
      </c>
      <c r="J30" s="254">
        <v>0</v>
      </c>
      <c r="K30" s="249">
        <f>SUM(E30:J30)</f>
        <v>23280695.386831723</v>
      </c>
      <c r="L30" s="250" t="str">
        <f>IF(ABS(K30-D30)&lt;0.01,"ok","err")</f>
        <v>ok</v>
      </c>
      <c r="M30" s="26"/>
      <c r="N30" s="26"/>
    </row>
    <row r="31" spans="1:14" ht="15.75" x14ac:dyDescent="0.25">
      <c r="A31" s="282" t="s">
        <v>1805</v>
      </c>
      <c r="B31" s="244" t="s">
        <v>1841</v>
      </c>
      <c r="C31" s="245"/>
      <c r="D31" s="253">
        <f>'WSS-31'!G738</f>
        <v>7647273.9753846247</v>
      </c>
      <c r="E31" s="253">
        <f>D31</f>
        <v>7647273.9753846247</v>
      </c>
      <c r="F31" s="254"/>
      <c r="G31" s="254"/>
      <c r="H31" s="254"/>
      <c r="I31" s="254"/>
      <c r="J31" s="254"/>
      <c r="K31" s="249">
        <f>SUM(E31:J31)</f>
        <v>7647273.9753846247</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'WSS-31'!G796+'WSS-31'!G797</f>
        <v>352092.9537904195</v>
      </c>
      <c r="E36" s="253">
        <f t="shared" ref="E36:J36" si="9">(E14/($D$14)*$D$36)</f>
        <v>174797.99316270143</v>
      </c>
      <c r="F36" s="254">
        <f t="shared" si="9"/>
        <v>3939.5080290154369</v>
      </c>
      <c r="G36" s="254">
        <f t="shared" si="9"/>
        <v>54042.596960222043</v>
      </c>
      <c r="H36" s="254">
        <f t="shared" si="9"/>
        <v>43663.551330734743</v>
      </c>
      <c r="I36" s="254">
        <f t="shared" si="9"/>
        <v>74736.08660512483</v>
      </c>
      <c r="J36" s="254">
        <f t="shared" si="9"/>
        <v>913.21770262102416</v>
      </c>
      <c r="K36" s="249">
        <f t="shared" si="8"/>
        <v>352092.9537904195</v>
      </c>
      <c r="L36" s="250" t="str">
        <f t="shared" si="7"/>
        <v>ok</v>
      </c>
      <c r="M36" s="26"/>
      <c r="N36" s="26"/>
    </row>
    <row r="37" spans="1:14" ht="15.75" x14ac:dyDescent="0.25">
      <c r="A37" s="284" t="s">
        <v>1827</v>
      </c>
      <c r="B37" s="244" t="s">
        <v>2262</v>
      </c>
      <c r="C37" s="300"/>
      <c r="D37" s="253">
        <v>0</v>
      </c>
      <c r="E37" s="301">
        <v>0</v>
      </c>
      <c r="F37" s="302">
        <v>0</v>
      </c>
      <c r="G37" s="302">
        <v>0</v>
      </c>
      <c r="H37" s="302">
        <v>0</v>
      </c>
      <c r="I37" s="302">
        <v>0</v>
      </c>
      <c r="J37" s="302">
        <v>0</v>
      </c>
      <c r="K37" s="249">
        <f>SUM(E37:J37)</f>
        <v>0</v>
      </c>
      <c r="L37" s="250" t="str">
        <f>IF(ABS(K37-D37)&lt;0.01,"ok","err")</f>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352092.9537904195</v>
      </c>
      <c r="E39" s="253">
        <f t="shared" si="10"/>
        <v>174797.99316270143</v>
      </c>
      <c r="F39" s="254">
        <f t="shared" si="10"/>
        <v>3939.5080290154369</v>
      </c>
      <c r="G39" s="254">
        <f t="shared" si="10"/>
        <v>54042.596960222043</v>
      </c>
      <c r="H39" s="254">
        <f t="shared" si="10"/>
        <v>43663.551330734743</v>
      </c>
      <c r="I39" s="254">
        <f t="shared" si="10"/>
        <v>74736.08660512483</v>
      </c>
      <c r="J39" s="254">
        <f t="shared" si="10"/>
        <v>913.21770262102416</v>
      </c>
      <c r="K39" s="249">
        <f t="shared" si="8"/>
        <v>352092.9537904195</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701635083.42097402</v>
      </c>
      <c r="E41" s="253">
        <f t="shared" ref="E41:J41" si="11">SUM(E28:E31)+E22+E26+E39+E24</f>
        <v>261544337.03805193</v>
      </c>
      <c r="F41" s="254">
        <f t="shared" si="11"/>
        <v>193333358.51268899</v>
      </c>
      <c r="G41" s="254">
        <f t="shared" si="11"/>
        <v>65264406.515497565</v>
      </c>
      <c r="H41" s="254">
        <f t="shared" si="11"/>
        <v>48150353.251636893</v>
      </c>
      <c r="I41" s="254">
        <f t="shared" si="11"/>
        <v>90567365.587026358</v>
      </c>
      <c r="J41" s="254">
        <f t="shared" si="11"/>
        <v>42775262.516072251</v>
      </c>
      <c r="K41" s="249">
        <f>SUM(E41:J41)</f>
        <v>701635083.42097402</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-'WSS-31'!G659-'WSS-31'!G665</f>
        <v>-583332.39956764632</v>
      </c>
      <c r="E43" s="253">
        <f>D43</f>
        <v>-583332.39956764632</v>
      </c>
      <c r="F43" s="254">
        <v>0</v>
      </c>
      <c r="G43" s="254">
        <v>0</v>
      </c>
      <c r="H43" s="254">
        <v>0</v>
      </c>
      <c r="I43" s="254">
        <v>0</v>
      </c>
      <c r="J43" s="254">
        <v>0</v>
      </c>
      <c r="K43" s="249">
        <f>SUM(E43:J43)</f>
        <v>-583332.39956764632</v>
      </c>
      <c r="L43" s="250" t="str">
        <f>IF(ABS(K43-D43)&lt;0.01,"ok","err")</f>
        <v>ok</v>
      </c>
      <c r="M43" s="26"/>
      <c r="N43" s="26"/>
    </row>
    <row r="44" spans="1:14" ht="15.75" x14ac:dyDescent="0.25">
      <c r="A44" s="282" t="s">
        <v>1831</v>
      </c>
      <c r="B44" s="244" t="s">
        <v>1833</v>
      </c>
      <c r="C44" s="245"/>
      <c r="D44" s="253">
        <f>-'WSS-31'!G652</f>
        <v>-3060543.8926304728</v>
      </c>
      <c r="E44" s="253">
        <v>0</v>
      </c>
      <c r="F44" s="254">
        <f>D44</f>
        <v>-3060543.8926304728</v>
      </c>
      <c r="G44" s="254">
        <v>0</v>
      </c>
      <c r="H44" s="254">
        <v>0</v>
      </c>
      <c r="I44" s="254">
        <v>0</v>
      </c>
      <c r="J44" s="254">
        <v>0</v>
      </c>
      <c r="K44" s="249">
        <f>SUM(E44:J44)</f>
        <v>-3060543.8926304728</v>
      </c>
      <c r="L44" s="250" t="str">
        <f>IF(ABS(K44-D44)&lt;0.01,"ok","err")</f>
        <v>ok</v>
      </c>
      <c r="M44" s="26"/>
      <c r="N44" s="26"/>
    </row>
    <row r="45" spans="1:14" ht="15.75" x14ac:dyDescent="0.25">
      <c r="A45" s="282" t="s">
        <v>1835</v>
      </c>
      <c r="B45" s="244" t="s">
        <v>2466</v>
      </c>
      <c r="C45" s="245"/>
      <c r="D45" s="253">
        <f>-'WSS-31'!G658</f>
        <v>-11743850.759971818</v>
      </c>
      <c r="E45" s="253">
        <v>0</v>
      </c>
      <c r="F45" s="254">
        <v>0</v>
      </c>
      <c r="G45" s="254">
        <f>D45</f>
        <v>-11743850.759971818</v>
      </c>
      <c r="H45" s="254">
        <v>0</v>
      </c>
      <c r="I45" s="254">
        <v>0</v>
      </c>
      <c r="J45" s="254">
        <v>0</v>
      </c>
      <c r="K45" s="249">
        <f>SUM(E45:J45)</f>
        <v>-11743850.759971818</v>
      </c>
      <c r="L45" s="250" t="str">
        <f>IF(ABS(K45-D45)&lt;0.01,"ok","err")</f>
        <v>ok</v>
      </c>
      <c r="M45" s="26"/>
      <c r="N45" s="26"/>
    </row>
    <row r="46" spans="1:14" ht="15.75" x14ac:dyDescent="0.25">
      <c r="A46" s="282" t="s">
        <v>1836</v>
      </c>
      <c r="B46" s="244" t="s">
        <v>1834</v>
      </c>
      <c r="C46" s="245"/>
      <c r="D46" s="253">
        <f>-('WSS-31'!G654+'WSS-31'!G655+'WSS-31'!G656+'WSS-31'!G657+'WSS-31'!G660+'WSS-31'!G662+'WSS-31'!G663+'WSS-31'!G664)</f>
        <v>-6488246.5666649882</v>
      </c>
      <c r="E46" s="253">
        <f t="shared" ref="E46:J46" si="12">(E14/($D$14)*$D$46)</f>
        <v>-3221116.6590766567</v>
      </c>
      <c r="F46" s="254">
        <f t="shared" si="12"/>
        <v>-72595.884605016108</v>
      </c>
      <c r="G46" s="254">
        <f t="shared" si="12"/>
        <v>-995878.19184117217</v>
      </c>
      <c r="H46" s="254">
        <f t="shared" si="12"/>
        <v>-804616.74668636546</v>
      </c>
      <c r="I46" s="254">
        <f t="shared" si="12"/>
        <v>-1377210.6260618749</v>
      </c>
      <c r="J46" s="254">
        <f t="shared" si="12"/>
        <v>-16828.458393903176</v>
      </c>
      <c r="K46" s="249">
        <f>SUM(E46:J46)</f>
        <v>-6488246.5666649882</v>
      </c>
      <c r="L46" s="250" t="str">
        <f>IF(ABS(K46-D46)&lt;0.01,"ok","err")</f>
        <v>ok</v>
      </c>
      <c r="M46" s="26"/>
      <c r="N46" s="26"/>
    </row>
    <row r="47" spans="1:14" ht="15.75" x14ac:dyDescent="0.25">
      <c r="A47" s="282" t="s">
        <v>1842</v>
      </c>
      <c r="B47" s="244" t="s">
        <v>1837</v>
      </c>
      <c r="C47" s="245"/>
      <c r="D47" s="253">
        <f>SUM(D43:D46)</f>
        <v>-21875973.618834928</v>
      </c>
      <c r="E47" s="253">
        <f t="shared" ref="E47:J47" si="13">SUM(E43:E46)</f>
        <v>-3804449.0586443031</v>
      </c>
      <c r="F47" s="254">
        <f t="shared" si="13"/>
        <v>-3133139.7772354889</v>
      </c>
      <c r="G47" s="254">
        <f t="shared" si="13"/>
        <v>-12739728.95181299</v>
      </c>
      <c r="H47" s="254">
        <f t="shared" si="13"/>
        <v>-804616.74668636546</v>
      </c>
      <c r="I47" s="254">
        <f t="shared" si="13"/>
        <v>-1377210.6260618749</v>
      </c>
      <c r="J47" s="254">
        <f t="shared" si="13"/>
        <v>-16828.458393903176</v>
      </c>
      <c r="K47" s="249">
        <f>SUM(E47:J47)</f>
        <v>-21875973.618834924</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7" ht="15.75" x14ac:dyDescent="0.25">
      <c r="A49" s="282" t="s">
        <v>1843</v>
      </c>
      <c r="B49" s="244" t="s">
        <v>1810</v>
      </c>
      <c r="C49" s="262" t="e">
        <f>'WSS-31'!#REF!-SUM('WSS-31'!G652:G665)-'WSS-31'!#REF!-'WSS-31'!#REF!-'WSS-31'!#REF!</f>
        <v>#REF!</v>
      </c>
      <c r="D49" s="253">
        <f>D41+D47</f>
        <v>679759109.80213904</v>
      </c>
      <c r="E49" s="253">
        <f t="shared" ref="E49:J49" si="14">E41+E47</f>
        <v>257739887.97940764</v>
      </c>
      <c r="F49" s="254">
        <f t="shared" si="14"/>
        <v>190200218.73545352</v>
      </c>
      <c r="G49" s="254">
        <f t="shared" si="14"/>
        <v>52524677.563684575</v>
      </c>
      <c r="H49" s="254">
        <f t="shared" si="14"/>
        <v>47345736.504950523</v>
      </c>
      <c r="I49" s="254">
        <f t="shared" si="14"/>
        <v>89190154.960964486</v>
      </c>
      <c r="J49" s="254">
        <f t="shared" si="14"/>
        <v>42758434.057678349</v>
      </c>
      <c r="K49" s="249">
        <f>SUM(E49:J49)</f>
        <v>679759109.80213904</v>
      </c>
      <c r="L49" s="250" t="str">
        <f>IF(ABS(K49-D49)&lt;0.01,"ok","err")</f>
        <v>ok</v>
      </c>
      <c r="M49" s="26"/>
      <c r="N49" s="26"/>
    </row>
    <row r="50" spans="1:17" ht="15.75" x14ac:dyDescent="0.25">
      <c r="A50" s="283"/>
      <c r="B50" s="244"/>
      <c r="C50" s="245"/>
      <c r="D50" s="253"/>
      <c r="E50" s="256"/>
      <c r="F50" s="191"/>
      <c r="G50" s="191"/>
      <c r="H50" s="191"/>
      <c r="I50" s="191"/>
      <c r="J50" s="191"/>
      <c r="K50" s="234"/>
      <c r="L50" s="257"/>
      <c r="M50" s="26"/>
      <c r="N50" s="26"/>
    </row>
    <row r="51" spans="1:17" ht="15.75" x14ac:dyDescent="0.25">
      <c r="A51" s="282" t="s">
        <v>2264</v>
      </c>
      <c r="B51" s="244" t="s">
        <v>1812</v>
      </c>
      <c r="C51" s="245"/>
      <c r="D51" s="263"/>
      <c r="E51" s="264">
        <f>'Billing Det'!C8</f>
        <v>5943619831</v>
      </c>
      <c r="F51" s="265">
        <f>'Billing Det'!C8</f>
        <v>5943619831</v>
      </c>
      <c r="G51" s="265">
        <f>'Billing Det'!C8</f>
        <v>5943619831</v>
      </c>
      <c r="H51" s="265">
        <f>'Billing Det'!C8</f>
        <v>5943619831</v>
      </c>
      <c r="I51" s="265">
        <f>'WSS-31'!G830</f>
        <v>5308105.0191780822</v>
      </c>
      <c r="J51" s="265">
        <f>I51</f>
        <v>5308105.0191780822</v>
      </c>
      <c r="K51" s="234"/>
      <c r="L51" s="257"/>
      <c r="M51" s="26"/>
      <c r="N51" s="26"/>
    </row>
    <row r="52" spans="1:17" ht="16.5" thickBot="1" x14ac:dyDescent="0.3">
      <c r="A52" s="283"/>
      <c r="B52" s="244"/>
      <c r="C52" s="245"/>
      <c r="D52" s="255"/>
      <c r="E52" s="256"/>
      <c r="F52" s="191"/>
      <c r="G52" s="191"/>
      <c r="H52" s="191"/>
      <c r="I52" s="191"/>
      <c r="J52" s="191"/>
      <c r="K52" s="234"/>
      <c r="L52" s="257"/>
      <c r="M52" s="26"/>
      <c r="N52" s="26"/>
    </row>
    <row r="53" spans="1:17" ht="16.5" thickBot="1" x14ac:dyDescent="0.3">
      <c r="A53" s="285" t="s">
        <v>2467</v>
      </c>
      <c r="B53" s="266" t="s">
        <v>1814</v>
      </c>
      <c r="C53" s="267"/>
      <c r="D53" s="268"/>
      <c r="E53" s="269">
        <f t="shared" ref="E53:H53" si="15">E49/E51</f>
        <v>4.3364127469108921E-2</v>
      </c>
      <c r="F53" s="270">
        <f t="shared" si="15"/>
        <v>3.2000737621782377E-2</v>
      </c>
      <c r="G53" s="270">
        <f t="shared" si="15"/>
        <v>8.8371529568114088E-3</v>
      </c>
      <c r="H53" s="270">
        <f t="shared" si="15"/>
        <v>7.9658083543652069E-3</v>
      </c>
      <c r="I53" s="271">
        <f>I49/I51/30.5</f>
        <v>0.55090608893456428</v>
      </c>
      <c r="J53" s="271">
        <f>J49/J51/30.5</f>
        <v>0.26410854074635998</v>
      </c>
      <c r="K53" s="272">
        <f>I53+J53</f>
        <v>0.8150146296809242</v>
      </c>
      <c r="L53" s="273"/>
      <c r="M53" s="26"/>
      <c r="N53" s="26"/>
    </row>
    <row r="54" spans="1:17" ht="15.75" x14ac:dyDescent="0.25">
      <c r="A54" s="26"/>
      <c r="B54" s="26"/>
      <c r="C54" s="26"/>
      <c r="D54" s="26"/>
      <c r="E54" s="26"/>
      <c r="F54" s="26"/>
      <c r="G54" s="26"/>
      <c r="H54" s="26"/>
      <c r="I54" s="415"/>
      <c r="J54" s="26"/>
      <c r="K54" s="26"/>
      <c r="L54" s="26"/>
      <c r="M54" s="26"/>
      <c r="N54" s="26"/>
    </row>
    <row r="55" spans="1:17" ht="15.75" x14ac:dyDescent="0.25">
      <c r="A55" s="26"/>
      <c r="B55" s="26"/>
      <c r="C55" s="26"/>
      <c r="D55" s="274"/>
      <c r="E55" s="26"/>
      <c r="F55" s="26"/>
      <c r="G55" s="26"/>
      <c r="H55" s="26"/>
      <c r="I55" s="26"/>
      <c r="J55" s="26" t="s">
        <v>2258</v>
      </c>
      <c r="K55" s="290">
        <f>I53+J53</f>
        <v>0.8150146296809242</v>
      </c>
      <c r="L55" s="417"/>
      <c r="M55" s="26"/>
      <c r="N55" s="26"/>
    </row>
    <row r="56" spans="1:17" ht="15.75" x14ac:dyDescent="0.25">
      <c r="A56" s="26"/>
      <c r="B56" s="26"/>
      <c r="C56" s="26"/>
      <c r="D56" s="289"/>
      <c r="E56" s="26"/>
      <c r="F56" s="26"/>
      <c r="G56" s="26"/>
      <c r="H56" s="26"/>
      <c r="I56" s="26"/>
      <c r="J56" s="26" t="s">
        <v>2260</v>
      </c>
      <c r="K56" s="509">
        <f>E53+G53+H53</f>
        <v>6.0167088780285538E-2</v>
      </c>
      <c r="L56" s="417"/>
      <c r="M56" s="26"/>
      <c r="N56" s="26"/>
      <c r="Q56" s="186"/>
    </row>
    <row r="57" spans="1:17" ht="15.75" x14ac:dyDescent="0.25">
      <c r="A57" s="26"/>
      <c r="B57" s="26"/>
      <c r="C57" s="26"/>
      <c r="D57" s="279"/>
      <c r="E57" s="26"/>
      <c r="F57" s="26"/>
      <c r="G57" s="26"/>
      <c r="H57" s="26"/>
      <c r="I57" s="26"/>
      <c r="J57" s="26" t="s">
        <v>2259</v>
      </c>
      <c r="K57" s="509">
        <f>F53</f>
        <v>3.2000737621782377E-2</v>
      </c>
      <c r="L57" s="26"/>
      <c r="M57" s="26"/>
      <c r="N57" s="26"/>
      <c r="Q57" s="186"/>
    </row>
    <row r="58" spans="1:17" ht="15.75" x14ac:dyDescent="0.25">
      <c r="A58" s="26"/>
      <c r="B58" s="26"/>
      <c r="C58" s="26"/>
      <c r="D58" s="26"/>
      <c r="E58" s="26"/>
      <c r="F58" s="26"/>
      <c r="G58" s="26"/>
      <c r="H58" s="26"/>
      <c r="I58" s="26"/>
      <c r="J58" s="191"/>
      <c r="K58" s="291"/>
      <c r="L58" s="26"/>
      <c r="M58" s="26"/>
      <c r="N58" s="26"/>
      <c r="Q58" s="186"/>
    </row>
    <row r="59" spans="1:17" ht="15.75" x14ac:dyDescent="0.25">
      <c r="A59" s="26"/>
      <c r="B59" s="26"/>
      <c r="C59" s="26"/>
      <c r="D59" s="289"/>
      <c r="E59" s="26"/>
      <c r="F59" s="26"/>
      <c r="G59" s="26"/>
      <c r="H59" s="26"/>
      <c r="I59" s="26"/>
      <c r="J59" s="292"/>
      <c r="K59" s="293"/>
      <c r="L59" s="26"/>
      <c r="M59" s="26"/>
      <c r="N59" s="26"/>
      <c r="Q59" s="451"/>
    </row>
    <row r="60" spans="1:17" ht="15.75" x14ac:dyDescent="0.25">
      <c r="A60" s="26"/>
      <c r="B60" s="26"/>
      <c r="C60" s="26"/>
      <c r="D60" s="274"/>
      <c r="E60" s="26"/>
      <c r="F60" s="26"/>
      <c r="G60" s="26"/>
      <c r="H60" s="26"/>
      <c r="I60" s="26"/>
      <c r="J60" s="292"/>
      <c r="K60" s="294"/>
      <c r="L60" s="26"/>
      <c r="M60" s="26"/>
      <c r="N60" s="26"/>
    </row>
    <row r="61" spans="1:17" ht="15.75" x14ac:dyDescent="0.25">
      <c r="A61" s="26"/>
      <c r="B61" s="26"/>
      <c r="C61" s="26"/>
      <c r="D61" s="26"/>
      <c r="E61" s="26"/>
      <c r="F61" s="26"/>
      <c r="G61" s="26"/>
      <c r="H61" s="26"/>
      <c r="I61" s="26"/>
      <c r="J61" s="292"/>
      <c r="K61" s="295"/>
      <c r="L61" s="26"/>
      <c r="M61" s="26"/>
      <c r="N61" s="26"/>
    </row>
    <row r="62" spans="1:17" ht="15.75" x14ac:dyDescent="0.25">
      <c r="J62" s="292"/>
      <c r="K62" s="32"/>
    </row>
    <row r="63" spans="1:17" ht="15.75" x14ac:dyDescent="0.25">
      <c r="J63" s="292"/>
      <c r="K63" s="296"/>
      <c r="L63" s="299"/>
    </row>
  </sheetData>
  <mergeCells count="6">
    <mergeCell ref="E9:F9"/>
    <mergeCell ref="H9:I9"/>
    <mergeCell ref="A1:N1"/>
    <mergeCell ref="A3:N3"/>
    <mergeCell ref="A4:N4"/>
    <mergeCell ref="A6:N6"/>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63"/>
  <sheetViews>
    <sheetView zoomScale="9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5703125" customWidth="1"/>
    <col min="13" max="13" width="14.4257812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2188</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'WSS-31'!H174</f>
        <v>610215074.31991637</v>
      </c>
      <c r="E14" s="247">
        <f>'WSS-31'!H123+'WSS-31'!H124+'WSS-31'!H125</f>
        <v>328578139.93671095</v>
      </c>
      <c r="F14" s="248">
        <f>'WSS-31'!H126</f>
        <v>7762757.2657228718</v>
      </c>
      <c r="G14" s="248">
        <f>'WSS-31'!H135</f>
        <v>96810291.237558678</v>
      </c>
      <c r="H14" s="248">
        <f>'WSS-31'!H145+'WSS-31'!H147+'WSS-31'!H152+'WSS-31'!H141</f>
        <v>69043324.990390658</v>
      </c>
      <c r="I14" s="248">
        <f>'WSS-31'!H146+'WSS-31'!H148+'WSS-31'!H153+'WSS-31'!H157+'WSS-31'!H160+'WSS-31'!H163</f>
        <v>105635827.87740451</v>
      </c>
      <c r="J14" s="248">
        <f>'WSS-31'!H166+'WSS-31'!H169</f>
        <v>2384733.012128761</v>
      </c>
      <c r="K14" s="249">
        <f>SUM(E14:J14)</f>
        <v>610215074.31991637</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610215074.31991637</v>
      </c>
      <c r="E16" s="253">
        <f t="shared" ref="E16:K16" si="1">E14+E15</f>
        <v>328578139.93671095</v>
      </c>
      <c r="F16" s="254">
        <f t="shared" si="1"/>
        <v>7762757.2657228718</v>
      </c>
      <c r="G16" s="254">
        <f t="shared" si="1"/>
        <v>96810291.237558678</v>
      </c>
      <c r="H16" s="254">
        <f t="shared" si="1"/>
        <v>69043324.990390658</v>
      </c>
      <c r="I16" s="254">
        <f t="shared" si="1"/>
        <v>105635827.87740451</v>
      </c>
      <c r="J16" s="254">
        <f t="shared" si="1"/>
        <v>2384733.012128761</v>
      </c>
      <c r="K16" s="249">
        <f t="shared" si="1"/>
        <v>610215074.31991637</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'WSS-31'!H807</f>
        <v>0.14332087756035061</v>
      </c>
      <c r="E18" s="258">
        <f t="shared" ref="E18:J18" si="2">D18</f>
        <v>0.14332087756035061</v>
      </c>
      <c r="F18" s="259">
        <f t="shared" si="2"/>
        <v>0.14332087756035061</v>
      </c>
      <c r="G18" s="259">
        <f t="shared" si="2"/>
        <v>0.14332087756035061</v>
      </c>
      <c r="H18" s="259">
        <f t="shared" si="2"/>
        <v>0.14332087756035061</v>
      </c>
      <c r="I18" s="259">
        <f t="shared" si="2"/>
        <v>0.14332087756035061</v>
      </c>
      <c r="J18" s="259">
        <f t="shared" si="2"/>
        <v>0.14332087756035061</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87456559.952084988</v>
      </c>
      <c r="E20" s="253">
        <f t="shared" ref="E20:J20" si="3">E18*E16</f>
        <v>47092107.362877101</v>
      </c>
      <c r="F20" s="254">
        <f t="shared" si="3"/>
        <v>1112565.1836113897</v>
      </c>
      <c r="G20" s="254">
        <f t="shared" si="3"/>
        <v>13874935.897040032</v>
      </c>
      <c r="H20" s="254">
        <f t="shared" si="3"/>
        <v>9895349.9273072761</v>
      </c>
      <c r="I20" s="254">
        <f t="shared" si="3"/>
        <v>15139819.553203763</v>
      </c>
      <c r="J20" s="254">
        <f t="shared" si="3"/>
        <v>341782.02804543229</v>
      </c>
      <c r="K20" s="249">
        <f>SUM(E20:J20)</f>
        <v>87456559.952084988</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'WSS-31'!H708</f>
        <v>12824221.6399325</v>
      </c>
      <c r="E22" s="253">
        <f t="shared" ref="E22:J22" si="4">(E14/$D$14)*$D$22</f>
        <v>6905366.7631553747</v>
      </c>
      <c r="F22" s="254">
        <f t="shared" si="4"/>
        <v>163141.36425354006</v>
      </c>
      <c r="G22" s="254">
        <f t="shared" si="4"/>
        <v>2034555.8215528121</v>
      </c>
      <c r="H22" s="254">
        <f t="shared" si="4"/>
        <v>1451007.9145807188</v>
      </c>
      <c r="I22" s="254">
        <f t="shared" si="4"/>
        <v>2220032.4554869505</v>
      </c>
      <c r="J22" s="254">
        <f t="shared" si="4"/>
        <v>50117.320903104599</v>
      </c>
      <c r="K22" s="249">
        <f>SUM(E22:J22)</f>
        <v>12824221.639932502</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74632338.31215249</v>
      </c>
      <c r="E24" s="253">
        <f t="shared" ref="E24:J24" si="5">E20-E22</f>
        <v>40186740.59972173</v>
      </c>
      <c r="F24" s="254">
        <f t="shared" si="5"/>
        <v>949423.81935784966</v>
      </c>
      <c r="G24" s="254">
        <f t="shared" si="5"/>
        <v>11840380.075487219</v>
      </c>
      <c r="H24" s="254">
        <f t="shared" si="5"/>
        <v>8444342.0127265565</v>
      </c>
      <c r="I24" s="254">
        <f t="shared" si="5"/>
        <v>12919787.097716812</v>
      </c>
      <c r="J24" s="254">
        <f t="shared" si="5"/>
        <v>291664.70714232768</v>
      </c>
      <c r="K24" s="249">
        <f>SUM(E24:J24)</f>
        <v>74632338.31215249</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'WSS-31'!H680+'WSS-31'!H799</f>
        <v>16276603.004794316</v>
      </c>
      <c r="E26" s="253">
        <f t="shared" ref="E26:J26" si="6">$D$26*(E24/$K$24)</f>
        <v>8764345.8263696376</v>
      </c>
      <c r="F26" s="254">
        <f t="shared" si="6"/>
        <v>207060.30308669794</v>
      </c>
      <c r="G26" s="254">
        <f t="shared" si="6"/>
        <v>2582274.2563487515</v>
      </c>
      <c r="H26" s="254">
        <f t="shared" si="6"/>
        <v>1841630.6615369113</v>
      </c>
      <c r="I26" s="254">
        <f t="shared" si="6"/>
        <v>2817682.6594452076</v>
      </c>
      <c r="J26" s="254">
        <f t="shared" si="6"/>
        <v>63609.298007111393</v>
      </c>
      <c r="K26" s="249">
        <f>SUM(E26:J26)</f>
        <v>16276603.004794318</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'WSS-31'!H730</f>
        <v>102781777.22337073</v>
      </c>
      <c r="E28" s="253">
        <f>'WSS-31'!H180+'WSS-31'!H181+'WSS-31'!H182</f>
        <v>14712923.230360998</v>
      </c>
      <c r="F28" s="254">
        <f>'WSS-31'!H183</f>
        <v>54152487.946382076</v>
      </c>
      <c r="G28" s="254">
        <f>'WSS-31'!H192</f>
        <v>6554797.7432075264</v>
      </c>
      <c r="H28" s="254">
        <f>'WSS-31'!H198+'WSS-31'!H202+'WSS-31'!H204+'WSS-31'!H209</f>
        <v>3954652.3357781684</v>
      </c>
      <c r="I28" s="254">
        <f>'WSS-31'!H203+'WSS-31'!H205+'WSS-31'!H210+'WSS-31'!H214+'WSS-31'!H217</f>
        <v>8604244.7336821202</v>
      </c>
      <c r="J28" s="254">
        <f>'WSS-31'!H223+'WSS-31'!H226</f>
        <v>14802671.233959831</v>
      </c>
      <c r="K28" s="249">
        <f>SUM(E28:J28)</f>
        <v>102781777.22337073</v>
      </c>
      <c r="L28" s="250" t="str">
        <f>IF(ABS(K28-D28)&lt;0.01,"ok","err")</f>
        <v>ok</v>
      </c>
      <c r="M28" s="26"/>
      <c r="N28" s="26"/>
    </row>
    <row r="29" spans="1:14" ht="15.75" x14ac:dyDescent="0.25">
      <c r="A29" s="282" t="s">
        <v>1803</v>
      </c>
      <c r="B29" s="244" t="s">
        <v>813</v>
      </c>
      <c r="C29" s="245"/>
      <c r="D29" s="253">
        <f>'WSS-31'!H731</f>
        <v>42247416.737436824</v>
      </c>
      <c r="E29" s="253">
        <f>'WSS-31'!H300</f>
        <v>31880931.880053017</v>
      </c>
      <c r="F29" s="254">
        <v>0</v>
      </c>
      <c r="G29" s="254">
        <f>'WSS-31'!H306</f>
        <v>3980996.4242400848</v>
      </c>
      <c r="H29" s="254">
        <f>'WSS-31'!H312+'WSS-31'!H316+'WSS-31'!H318+'WSS-31'!H323</f>
        <v>2532803.8222321738</v>
      </c>
      <c r="I29" s="254">
        <f>'WSS-31'!H317+'WSS-31'!H319+'WSS-31'!H324+'WSS-31'!H328+'WSS-31'!H331</f>
        <v>3852684.610911543</v>
      </c>
      <c r="J29" s="254">
        <v>0</v>
      </c>
      <c r="K29" s="249">
        <f>SUM(E29:J29)</f>
        <v>42247416.737436816</v>
      </c>
      <c r="L29" s="250" t="str">
        <f>IF(ABS(K29-D29)&lt;0.01,"ok","err")</f>
        <v>ok</v>
      </c>
      <c r="M29" s="26"/>
      <c r="N29" s="26"/>
    </row>
    <row r="30" spans="1:14" ht="15.75" x14ac:dyDescent="0.25">
      <c r="A30" s="282" t="s">
        <v>1804</v>
      </c>
      <c r="B30" s="244" t="s">
        <v>408</v>
      </c>
      <c r="C30" s="245"/>
      <c r="D30" s="253">
        <f>'WSS-31'!H733+'WSS-31'!H734</f>
        <v>5796310.2497580964</v>
      </c>
      <c r="E30" s="253">
        <f>'WSS-31'!H414+'WSS-31'!H471+'WSS-31'!H357</f>
        <v>3414470.9952944624</v>
      </c>
      <c r="F30" s="254">
        <f>'WSS-31'!H529</f>
        <v>0</v>
      </c>
      <c r="G30" s="254">
        <f>'WSS-31'!H420+'WSS-31'!H477+'WSS-31'!H363</f>
        <v>801621.17735325953</v>
      </c>
      <c r="H30" s="254">
        <f>'WSS-31'!H426+'WSS-31'!H430+'WSS-31'!H432+'WSS-31'!H437+'WSS-31'!H483+'WSS-31'!H487+'WSS-31'!H489+'WSS-31'!H494+'WSS-31'!H369+'WSS-31'!H373+'WSS-31'!H375+'WSS-31'!H380</f>
        <v>626604.70889759588</v>
      </c>
      <c r="I30" s="254">
        <f>'WSS-31'!H431+'WSS-31'!H433+'WSS-31'!H438+'WSS-31'!H442+'WSS-31'!H445+'WSS-31'!H488+'WSS-31'!H490+'WSS-31'!H495+'WSS-31'!H499+'WSS-31'!H502+'WSS-31'!H374+'WSS-31'!H376+'WSS-31'!H381+'WSS-31'!H385+'WSS-31'!H388</f>
        <v>953613.36821277835</v>
      </c>
      <c r="J30" s="254">
        <v>0</v>
      </c>
      <c r="K30" s="249">
        <f>SUM(E30:J30)</f>
        <v>5796310.2497580964</v>
      </c>
      <c r="L30" s="250" t="str">
        <f>IF(ABS(K30-D30)&lt;0.01,"ok","err")</f>
        <v>ok</v>
      </c>
      <c r="M30" s="26"/>
      <c r="N30" s="26"/>
    </row>
    <row r="31" spans="1:14" ht="15.75" x14ac:dyDescent="0.25">
      <c r="A31" s="282" t="s">
        <v>1805</v>
      </c>
      <c r="B31" s="244" t="s">
        <v>1841</v>
      </c>
      <c r="C31" s="245"/>
      <c r="D31" s="253">
        <f>'WSS-31'!H738</f>
        <v>2059750.3489667387</v>
      </c>
      <c r="E31" s="253">
        <f>D31</f>
        <v>2059750.3489667387</v>
      </c>
      <c r="F31" s="254"/>
      <c r="G31" s="254"/>
      <c r="H31" s="254"/>
      <c r="I31" s="254"/>
      <c r="J31" s="254"/>
      <c r="K31" s="249">
        <f>SUM(E31:J31)</f>
        <v>2059750.3489667387</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v>0</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'WSS-31'!H796+'WSS-31'!H797</f>
        <v>138327.13726168533</v>
      </c>
      <c r="E36" s="253">
        <f t="shared" ref="E36:J36" si="9">(E14/($D$14)*$D$36)</f>
        <v>74484.022727347445</v>
      </c>
      <c r="F36" s="254">
        <f t="shared" si="9"/>
        <v>1759.7074130322674</v>
      </c>
      <c r="G36" s="254">
        <f t="shared" si="9"/>
        <v>21945.525451475129</v>
      </c>
      <c r="H36" s="254">
        <f t="shared" si="9"/>
        <v>15651.146447984764</v>
      </c>
      <c r="I36" s="254">
        <f t="shared" si="9"/>
        <v>23946.149935471334</v>
      </c>
      <c r="J36" s="254">
        <f t="shared" si="9"/>
        <v>540.58528637439952</v>
      </c>
      <c r="K36" s="249">
        <f t="shared" si="8"/>
        <v>138327.13726168536</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138327.13726168533</v>
      </c>
      <c r="E39" s="253">
        <f t="shared" si="10"/>
        <v>74484.022727347445</v>
      </c>
      <c r="F39" s="254">
        <f t="shared" si="10"/>
        <v>1759.7074130322674</v>
      </c>
      <c r="G39" s="254">
        <f t="shared" si="10"/>
        <v>21945.525451475129</v>
      </c>
      <c r="H39" s="254">
        <f t="shared" si="10"/>
        <v>15651.146447984764</v>
      </c>
      <c r="I39" s="254">
        <f t="shared" si="10"/>
        <v>23946.149935471334</v>
      </c>
      <c r="J39" s="254">
        <f t="shared" si="10"/>
        <v>540.58528637439952</v>
      </c>
      <c r="K39" s="249">
        <f t="shared" si="8"/>
        <v>138327.13726168536</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256756744.65367341</v>
      </c>
      <c r="E41" s="253">
        <f t="shared" ref="E41:J41" si="11">SUM(E28:E31)+E22+E26+E39+E24</f>
        <v>107999013.6666493</v>
      </c>
      <c r="F41" s="254">
        <f t="shared" si="11"/>
        <v>55473873.140493199</v>
      </c>
      <c r="G41" s="254">
        <f t="shared" si="11"/>
        <v>27816571.023641132</v>
      </c>
      <c r="H41" s="254">
        <f t="shared" si="11"/>
        <v>18866692.60220011</v>
      </c>
      <c r="I41" s="254">
        <f t="shared" si="11"/>
        <v>31391991.075390883</v>
      </c>
      <c r="J41" s="254">
        <f t="shared" si="11"/>
        <v>15208603.145298749</v>
      </c>
      <c r="K41" s="249">
        <f>SUM(E41:J41)</f>
        <v>256756744.65367338</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-'WSS-31'!H659-'WSS-31'!H665</f>
        <v>-157117.30970285178</v>
      </c>
      <c r="E43" s="253">
        <f>D43</f>
        <v>-157117.30970285178</v>
      </c>
      <c r="F43" s="254">
        <v>0</v>
      </c>
      <c r="G43" s="254">
        <v>0</v>
      </c>
      <c r="H43" s="254">
        <v>0</v>
      </c>
      <c r="I43" s="254">
        <v>0</v>
      </c>
      <c r="J43" s="254">
        <v>0</v>
      </c>
      <c r="K43" s="249">
        <f>SUM(E43:J43)</f>
        <v>-157117.30970285178</v>
      </c>
      <c r="L43" s="250" t="str">
        <f>IF(ABS(K43-D43)&lt;0.01,"ok","err")</f>
        <v>ok</v>
      </c>
      <c r="M43" s="26"/>
      <c r="N43" s="26"/>
    </row>
    <row r="44" spans="1:14" ht="15.75" x14ac:dyDescent="0.25">
      <c r="A44" s="282" t="s">
        <v>1831</v>
      </c>
      <c r="B44" s="244" t="s">
        <v>1833</v>
      </c>
      <c r="C44" s="245"/>
      <c r="D44" s="253">
        <f>-'WSS-31'!H652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75" x14ac:dyDescent="0.25">
      <c r="A45" s="282" t="s">
        <v>1835</v>
      </c>
      <c r="B45" s="244" t="s">
        <v>2466</v>
      </c>
      <c r="C45" s="245"/>
      <c r="D45" s="253">
        <f>-'WSS-31'!H658</f>
        <v>-3014404.6473977012</v>
      </c>
      <c r="E45" s="253">
        <v>0</v>
      </c>
      <c r="F45" s="254">
        <v>0</v>
      </c>
      <c r="G45" s="254">
        <f>D45</f>
        <v>-3014404.6473977012</v>
      </c>
      <c r="H45" s="254">
        <v>0</v>
      </c>
      <c r="I45" s="254">
        <v>0</v>
      </c>
      <c r="J45" s="254">
        <v>0</v>
      </c>
      <c r="K45" s="249">
        <f>SUM(E45:J45)</f>
        <v>-3014404.6473977012</v>
      </c>
      <c r="L45" s="250" t="str">
        <f>IF(ABS(K45-D45)&lt;0.01,"ok","err")</f>
        <v>ok</v>
      </c>
      <c r="M45" s="26"/>
      <c r="N45" s="26"/>
    </row>
    <row r="46" spans="1:14" ht="15.75" x14ac:dyDescent="0.25">
      <c r="A46" s="282" t="s">
        <v>1836</v>
      </c>
      <c r="B46" s="244" t="s">
        <v>1834</v>
      </c>
      <c r="C46" s="245"/>
      <c r="D46" s="253">
        <f>-('WSS-31'!H654+'WSS-31'!H655+'WSS-31'!H656+'WSS-31'!H657+'WSS-31'!H660+'WSS-31'!H662+'WSS-31'!H663+'WSS-31'!H664)</f>
        <v>-1105174.7107517174</v>
      </c>
      <c r="E46" s="253">
        <f t="shared" ref="E46:J46" si="12">(E14/($D$14)*$D$46)</f>
        <v>-595095.50983906211</v>
      </c>
      <c r="F46" s="254">
        <f t="shared" si="12"/>
        <v>-14059.3101954136</v>
      </c>
      <c r="G46" s="254">
        <f t="shared" si="12"/>
        <v>-175335.36964077977</v>
      </c>
      <c r="H46" s="254">
        <f t="shared" si="12"/>
        <v>-125045.97139071586</v>
      </c>
      <c r="I46" s="254">
        <f t="shared" si="12"/>
        <v>-191319.50427403324</v>
      </c>
      <c r="J46" s="254">
        <f t="shared" si="12"/>
        <v>-4319.0454117128911</v>
      </c>
      <c r="K46" s="249">
        <f>SUM(E46:J46)</f>
        <v>-1105174.7107517177</v>
      </c>
      <c r="L46" s="250" t="str">
        <f>IF(ABS(K46-D46)&lt;0.01,"ok","err")</f>
        <v>ok</v>
      </c>
      <c r="M46" s="26"/>
      <c r="N46" s="26"/>
    </row>
    <row r="47" spans="1:14" ht="15.75" x14ac:dyDescent="0.25">
      <c r="A47" s="282" t="s">
        <v>1842</v>
      </c>
      <c r="B47" s="244" t="s">
        <v>1837</v>
      </c>
      <c r="C47" s="245"/>
      <c r="D47" s="253">
        <f>SUM(D43:D46)</f>
        <v>-5140825.1890496183</v>
      </c>
      <c r="E47" s="253">
        <f t="shared" ref="E47:J47" si="13">SUM(E43:E46)</f>
        <v>-752212.81954191392</v>
      </c>
      <c r="F47" s="254">
        <f t="shared" si="13"/>
        <v>-878187.8313927619</v>
      </c>
      <c r="G47" s="254">
        <f t="shared" si="13"/>
        <v>-3189740.0170384808</v>
      </c>
      <c r="H47" s="254">
        <f t="shared" si="13"/>
        <v>-125045.97139071586</v>
      </c>
      <c r="I47" s="254">
        <f t="shared" si="13"/>
        <v>-191319.50427403324</v>
      </c>
      <c r="J47" s="254">
        <f t="shared" si="13"/>
        <v>-4319.0454117128911</v>
      </c>
      <c r="K47" s="249">
        <f>SUM(E47:J47)</f>
        <v>-5140825.1890496183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251615919.46462378</v>
      </c>
      <c r="E49" s="253">
        <f t="shared" ref="E49:J49" si="14">E41+E47</f>
        <v>107246800.84710738</v>
      </c>
      <c r="F49" s="254">
        <f t="shared" si="14"/>
        <v>54595685.309100434</v>
      </c>
      <c r="G49" s="254">
        <f t="shared" si="14"/>
        <v>24626831.006602652</v>
      </c>
      <c r="H49" s="254">
        <f t="shared" si="14"/>
        <v>18741646.630809393</v>
      </c>
      <c r="I49" s="254">
        <f t="shared" si="14"/>
        <v>31200671.57111685</v>
      </c>
      <c r="J49" s="254">
        <f t="shared" si="14"/>
        <v>15204284.099887036</v>
      </c>
      <c r="K49" s="249">
        <f>SUM(E49:J49)</f>
        <v>251615919.46462372</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64">
        <f>'Billing Det'!C10</f>
        <v>1678149896</v>
      </c>
      <c r="F51" s="265">
        <f>$E$51</f>
        <v>1678149896</v>
      </c>
      <c r="G51" s="265">
        <f>$E$51</f>
        <v>1678149896</v>
      </c>
      <c r="H51" s="265">
        <f>$E$51</f>
        <v>1678149896</v>
      </c>
      <c r="I51" s="265">
        <f>'WSS-31'!H830</f>
        <v>993412.76712328754</v>
      </c>
      <c r="J51" s="265">
        <f>I51</f>
        <v>993412.76712328754</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269">
        <f t="shared" ref="E53:H53" si="15">E49/E51</f>
        <v>6.3907760029505364E-2</v>
      </c>
      <c r="F53" s="270">
        <f t="shared" si="15"/>
        <v>3.2533259060608034E-2</v>
      </c>
      <c r="G53" s="270">
        <f t="shared" si="15"/>
        <v>1.4674988846528316E-2</v>
      </c>
      <c r="H53" s="270">
        <f t="shared" si="15"/>
        <v>1.116804087375124E-2</v>
      </c>
      <c r="I53" s="271">
        <f>I49/I51/30.5</f>
        <v>1.0297560815124069</v>
      </c>
      <c r="J53" s="271">
        <f>J49/J51/30.5</f>
        <v>0.50180663519418678</v>
      </c>
      <c r="K53" s="272">
        <f>I53+J53</f>
        <v>1.5315627167065937</v>
      </c>
      <c r="L53" s="474"/>
      <c r="M53" s="26"/>
      <c r="N53" s="26"/>
    </row>
    <row r="54" spans="1:14" ht="15.75" x14ac:dyDescent="0.25">
      <c r="A54" s="26"/>
      <c r="B54" s="26"/>
      <c r="C54" s="26"/>
      <c r="D54" s="26"/>
      <c r="E54" s="26"/>
      <c r="F54" s="26"/>
      <c r="G54" s="26"/>
      <c r="H54" s="26"/>
      <c r="I54" s="26"/>
      <c r="J54" s="26"/>
      <c r="K54" s="26"/>
      <c r="L54" s="414"/>
      <c r="M54" s="414"/>
      <c r="N54" s="26"/>
    </row>
    <row r="55" spans="1:14" ht="15.75" x14ac:dyDescent="0.25">
      <c r="A55" s="26"/>
      <c r="B55" s="26"/>
      <c r="C55" s="26"/>
      <c r="D55" s="274"/>
      <c r="E55" s="26"/>
      <c r="F55" s="26"/>
      <c r="G55" s="26"/>
      <c r="H55" s="26"/>
      <c r="I55" s="26"/>
      <c r="J55" s="26" t="s">
        <v>2258</v>
      </c>
      <c r="K55" s="290">
        <f>I53+J53</f>
        <v>1.5315627167065937</v>
      </c>
      <c r="L55" s="416"/>
      <c r="M55" s="418"/>
      <c r="N55" s="26"/>
    </row>
    <row r="56" spans="1:14" ht="15.75" x14ac:dyDescent="0.25">
      <c r="A56" s="26"/>
      <c r="B56" s="26"/>
      <c r="C56" s="26"/>
      <c r="D56" s="289"/>
      <c r="E56" s="26"/>
      <c r="F56" s="26"/>
      <c r="G56" s="26"/>
      <c r="H56" s="26"/>
      <c r="I56" s="26"/>
      <c r="J56" s="26" t="s">
        <v>2260</v>
      </c>
      <c r="K56" s="509">
        <f>E53+G53+H53</f>
        <v>8.9750789749784926E-2</v>
      </c>
      <c r="L56" s="417"/>
      <c r="M56" s="417"/>
      <c r="N56" s="26"/>
    </row>
    <row r="57" spans="1:14" ht="15.75" x14ac:dyDescent="0.25">
      <c r="A57" s="26"/>
      <c r="B57" s="26"/>
      <c r="C57" s="26"/>
      <c r="D57" s="279"/>
      <c r="E57" s="26"/>
      <c r="F57" s="26"/>
      <c r="G57" s="26"/>
      <c r="H57" s="26"/>
      <c r="I57" s="26"/>
      <c r="J57" s="26" t="s">
        <v>2259</v>
      </c>
      <c r="K57" s="509">
        <f>F53</f>
        <v>3.2533259060608034E-2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419"/>
      <c r="M59" s="419"/>
      <c r="N59" s="26"/>
    </row>
    <row r="60" spans="1:14" ht="15.75" x14ac:dyDescent="0.25">
      <c r="A60" s="26"/>
      <c r="B60" s="26"/>
      <c r="C60" s="26"/>
      <c r="D60" s="274"/>
      <c r="E60" s="26"/>
      <c r="F60" s="26"/>
      <c r="G60" s="26"/>
      <c r="H60" s="26"/>
      <c r="I60" s="26"/>
      <c r="J60" s="292"/>
      <c r="K60" s="294"/>
      <c r="L60" s="279"/>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3"/>
  <sheetViews>
    <sheetView zoomScale="90" zoomScaleNormal="9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5703125" customWidth="1"/>
    <col min="13" max="13" width="14.4257812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420"/>
      <c r="B2" s="420"/>
      <c r="C2" s="420"/>
      <c r="D2" s="420"/>
      <c r="E2" s="420"/>
      <c r="F2" s="420"/>
      <c r="G2" s="420"/>
      <c r="H2" s="420"/>
      <c r="I2" s="420"/>
      <c r="J2" s="420"/>
      <c r="K2" s="420"/>
      <c r="L2" s="420"/>
      <c r="M2" s="420"/>
      <c r="N2" s="420"/>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2189</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'WSS-31'!I174</f>
        <v>38745077.376713946</v>
      </c>
      <c r="E14" s="247">
        <f>'WSS-31'!I123+'WSS-31'!I124+'WSS-31'!I125</f>
        <v>21083961.68942244</v>
      </c>
      <c r="F14" s="248">
        <f>'WSS-31'!I126</f>
        <v>594639.77465136524</v>
      </c>
      <c r="G14" s="248">
        <f>'WSS-31'!I135</f>
        <v>9907980.6867057309</v>
      </c>
      <c r="H14" s="248">
        <f>'WSS-31'!I145+'WSS-31'!I147+'WSS-31'!I152+'WSS-31'!I141</f>
        <v>6337660.3871352961</v>
      </c>
      <c r="I14" s="248">
        <f>'WSS-31'!I146+'WSS-31'!I148+'WSS-31'!I153+'WSS-31'!I157+'WSS-31'!I160+'WSS-31'!I163</f>
        <v>759734.02620929561</v>
      </c>
      <c r="J14" s="248">
        <f>'WSS-31'!I166+'WSS-31'!I169</f>
        <v>61100.812589817491</v>
      </c>
      <c r="K14" s="249">
        <f>SUM(E14:J14)</f>
        <v>38745077.376713939</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38745077.376713946</v>
      </c>
      <c r="E16" s="253">
        <f t="shared" ref="E16:K16" si="1">E14+E15</f>
        <v>21083961.68942244</v>
      </c>
      <c r="F16" s="254">
        <f t="shared" si="1"/>
        <v>594639.77465136524</v>
      </c>
      <c r="G16" s="254">
        <f t="shared" si="1"/>
        <v>9907980.6867057309</v>
      </c>
      <c r="H16" s="254">
        <f t="shared" si="1"/>
        <v>6337660.3871352961</v>
      </c>
      <c r="I16" s="254">
        <f t="shared" si="1"/>
        <v>759734.02620929561</v>
      </c>
      <c r="J16" s="254">
        <f t="shared" si="1"/>
        <v>61100.812589817491</v>
      </c>
      <c r="K16" s="249">
        <f t="shared" si="1"/>
        <v>38745077.376713939</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'WSS-31'!I807</f>
        <v>8.722272898225715E-2</v>
      </c>
      <c r="E18" s="258">
        <f t="shared" ref="E18:J18" si="2">D18</f>
        <v>8.722272898225715E-2</v>
      </c>
      <c r="F18" s="259">
        <f t="shared" si="2"/>
        <v>8.722272898225715E-2</v>
      </c>
      <c r="G18" s="259">
        <f t="shared" si="2"/>
        <v>8.722272898225715E-2</v>
      </c>
      <c r="H18" s="259">
        <f t="shared" si="2"/>
        <v>8.722272898225715E-2</v>
      </c>
      <c r="I18" s="259">
        <f t="shared" si="2"/>
        <v>8.722272898225715E-2</v>
      </c>
      <c r="J18" s="259">
        <f t="shared" si="2"/>
        <v>8.722272898225715E-2</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3379451.3834257033</v>
      </c>
      <c r="E20" s="253">
        <f t="shared" ref="E20:J20" si="3">E18*E16</f>
        <v>1839000.676308786</v>
      </c>
      <c r="F20" s="254">
        <f t="shared" si="3"/>
        <v>51866.103906486496</v>
      </c>
      <c r="G20" s="254">
        <f t="shared" si="3"/>
        <v>864201.114197972</v>
      </c>
      <c r="H20" s="254">
        <f t="shared" si="3"/>
        <v>552788.03432868887</v>
      </c>
      <c r="I20" s="254">
        <f t="shared" si="3"/>
        <v>66266.07506665244</v>
      </c>
      <c r="J20" s="254">
        <f t="shared" si="3"/>
        <v>5329.3796171173362</v>
      </c>
      <c r="K20" s="249">
        <f>SUM(E20:J20)</f>
        <v>3379451.3834257033</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'WSS-31'!I708</f>
        <v>808535.96295202058</v>
      </c>
      <c r="E22" s="253">
        <f t="shared" ref="E22:J22" si="4">(E14/$D$14)*$D$22</f>
        <v>439982.11957749585</v>
      </c>
      <c r="F22" s="254">
        <f t="shared" si="4"/>
        <v>12408.99942288593</v>
      </c>
      <c r="G22" s="254">
        <f t="shared" si="4"/>
        <v>206760.68413920063</v>
      </c>
      <c r="H22" s="254">
        <f t="shared" si="4"/>
        <v>132254.90025876183</v>
      </c>
      <c r="I22" s="254">
        <f t="shared" si="4"/>
        <v>15854.201980190915</v>
      </c>
      <c r="J22" s="254">
        <f t="shared" si="4"/>
        <v>1275.0575734854535</v>
      </c>
      <c r="K22" s="249">
        <f>SUM(E22:J22)</f>
        <v>808535.96295202058</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2570915.4204736827</v>
      </c>
      <c r="E24" s="253">
        <f t="shared" ref="E24:J24" si="5">E20-E22</f>
        <v>1399018.5567312902</v>
      </c>
      <c r="F24" s="254">
        <f t="shared" si="5"/>
        <v>39457.104483600568</v>
      </c>
      <c r="G24" s="254">
        <f t="shared" si="5"/>
        <v>657440.4300587714</v>
      </c>
      <c r="H24" s="254">
        <f t="shared" si="5"/>
        <v>420533.13406992704</v>
      </c>
      <c r="I24" s="254">
        <f t="shared" si="5"/>
        <v>50411.873086461521</v>
      </c>
      <c r="J24" s="254">
        <f t="shared" si="5"/>
        <v>4054.3220436318825</v>
      </c>
      <c r="K24" s="249">
        <f>SUM(E24:J24)</f>
        <v>2570915.4204736822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'WSS-31'!I680+'WSS-31'!I799</f>
        <v>637728.68422533059</v>
      </c>
      <c r="E26" s="253">
        <f t="shared" ref="E26:J26" si="6">$D$26*(E24/$K$24)</f>
        <v>347033.68935672066</v>
      </c>
      <c r="F26" s="254">
        <f t="shared" si="6"/>
        <v>9787.5360368844031</v>
      </c>
      <c r="G26" s="254">
        <f t="shared" si="6"/>
        <v>163081.4522636715</v>
      </c>
      <c r="H26" s="254">
        <f t="shared" si="6"/>
        <v>104315.38903530198</v>
      </c>
      <c r="I26" s="254">
        <f t="shared" si="6"/>
        <v>12504.922268831426</v>
      </c>
      <c r="J26" s="254">
        <f t="shared" si="6"/>
        <v>1005.6952639207142</v>
      </c>
      <c r="K26" s="249">
        <f>SUM(E26:J26)</f>
        <v>637728.68422533071</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'WSS-31'!I730</f>
        <v>6577502.7185469875</v>
      </c>
      <c r="E28" s="253">
        <f>'WSS-31'!I180+'WSS-31'!I181+'WSS-31'!I182</f>
        <v>944088.09359044733</v>
      </c>
      <c r="F28" s="254">
        <f>'WSS-31'!I183</f>
        <v>4148168.2509170687</v>
      </c>
      <c r="G28" s="254">
        <f>'WSS-31'!I192</f>
        <v>670846.13231456117</v>
      </c>
      <c r="H28" s="254">
        <f>'WSS-31'!I198+'WSS-31'!I202+'WSS-31'!I204+'WSS-31'!I209</f>
        <v>368996.21731739829</v>
      </c>
      <c r="I28" s="254">
        <f>'WSS-31'!I203+'WSS-31'!I205+'WSS-31'!I210+'WSS-31'!I214+'WSS-31'!I217</f>
        <v>88341.11488561728</v>
      </c>
      <c r="J28" s="254">
        <f>'WSS-31'!I223+'WSS-31'!I226</f>
        <v>357062.90952189459</v>
      </c>
      <c r="K28" s="249">
        <f>SUM(E28:J28)</f>
        <v>6577502.7185469875</v>
      </c>
      <c r="L28" s="250" t="str">
        <f>IF(ABS(K28-D28)&lt;0.01,"ok","err")</f>
        <v>ok</v>
      </c>
      <c r="M28" s="26"/>
      <c r="N28" s="26"/>
    </row>
    <row r="29" spans="1:14" ht="15.75" x14ac:dyDescent="0.25">
      <c r="A29" s="282" t="s">
        <v>1803</v>
      </c>
      <c r="B29" s="244" t="s">
        <v>813</v>
      </c>
      <c r="C29" s="245"/>
      <c r="D29" s="253">
        <f>'WSS-31'!I731</f>
        <v>2713112.7358965459</v>
      </c>
      <c r="E29" s="253">
        <f>'WSS-31'!I300</f>
        <v>2045712.312181192</v>
      </c>
      <c r="F29" s="254">
        <v>0</v>
      </c>
      <c r="G29" s="254">
        <f>'WSS-31'!I306</f>
        <v>407432.25932898256</v>
      </c>
      <c r="H29" s="254">
        <f>'WSS-31'!I312+'WSS-31'!I316+'WSS-31'!I318+'WSS-31'!I323</f>
        <v>232457.784658316</v>
      </c>
      <c r="I29" s="254">
        <f>'WSS-31'!I317+'WSS-31'!I319+'WSS-31'!I324+'WSS-31'!I328+'WSS-31'!I331</f>
        <v>27510.379728055479</v>
      </c>
      <c r="J29" s="254">
        <v>0</v>
      </c>
      <c r="K29" s="249">
        <f>SUM(E29:J29)</f>
        <v>2713112.7358965459</v>
      </c>
      <c r="L29" s="250" t="str">
        <f>IF(ABS(K29-D29)&lt;0.01,"ok","err")</f>
        <v>ok</v>
      </c>
      <c r="M29" s="26"/>
      <c r="N29" s="26"/>
    </row>
    <row r="30" spans="1:14" ht="15.75" x14ac:dyDescent="0.25">
      <c r="A30" s="282" t="s">
        <v>1804</v>
      </c>
      <c r="B30" s="244" t="s">
        <v>408</v>
      </c>
      <c r="C30" s="245"/>
      <c r="D30" s="253">
        <f>'WSS-31'!I733+'WSS-31'!I734</f>
        <v>365463.34095698904</v>
      </c>
      <c r="E30" s="253">
        <f>'WSS-31'!I414+'WSS-31'!I471+'WSS-31'!I357</f>
        <v>219097.27673392699</v>
      </c>
      <c r="F30" s="254">
        <f>'WSS-31'!I529</f>
        <v>0</v>
      </c>
      <c r="G30" s="254">
        <f>'WSS-31'!I420+'WSS-31'!I477+'WSS-31'!I363</f>
        <v>82041.351613959821</v>
      </c>
      <c r="H30" s="254">
        <f>'WSS-31'!I426+'WSS-31'!I430+'WSS-31'!I432+'WSS-31'!I437+'WSS-31'!I483+'WSS-31'!I487+'WSS-31'!I489+'WSS-31'!I494+'WSS-31'!I369+'WSS-31'!I373+'WSS-31'!I375+'WSS-31'!I380</f>
        <v>57509.05032922524</v>
      </c>
      <c r="I30" s="254">
        <f>'WSS-31'!I431+'WSS-31'!I433+'WSS-31'!I438+'WSS-31'!I442+'WSS-31'!I445+'WSS-31'!I488+'WSS-31'!I490+'WSS-31'!I495+'WSS-31'!I499+'WSS-31'!I502+'WSS-31'!I374+'WSS-31'!I376+'WSS-31'!I381+'WSS-31'!I385+'WSS-31'!I388</f>
        <v>6815.6622798769367</v>
      </c>
      <c r="J30" s="254">
        <v>0</v>
      </c>
      <c r="K30" s="249">
        <f>SUM(E30:J30)</f>
        <v>365463.34095698904</v>
      </c>
      <c r="L30" s="250" t="str">
        <f>IF(ABS(K30-D30)&lt;0.01,"ok","err")</f>
        <v>ok</v>
      </c>
      <c r="M30" s="26"/>
      <c r="N30" s="26"/>
    </row>
    <row r="31" spans="1:14" ht="15.75" x14ac:dyDescent="0.25">
      <c r="A31" s="282" t="s">
        <v>1805</v>
      </c>
      <c r="B31" s="244" t="s">
        <v>1841</v>
      </c>
      <c r="C31" s="245"/>
      <c r="D31" s="253">
        <f>'WSS-31'!I738</f>
        <v>132168.55343984248</v>
      </c>
      <c r="E31" s="253">
        <f>D31</f>
        <v>132168.55343984248</v>
      </c>
      <c r="F31" s="254"/>
      <c r="G31" s="254"/>
      <c r="H31" s="254"/>
      <c r="I31" s="254"/>
      <c r="J31" s="254"/>
      <c r="K31" s="249">
        <f>SUM(E31:J31)</f>
        <v>132168.55343984248</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'WSS-31'!I796+'WSS-31'!I797</f>
        <v>7594.4828869178218</v>
      </c>
      <c r="E36" s="253">
        <f t="shared" ref="E36:J36" si="9">(E14/($D$14)*$D$36)</f>
        <v>4132.7001281196044</v>
      </c>
      <c r="F36" s="254">
        <f t="shared" si="9"/>
        <v>116.55626722750071</v>
      </c>
      <c r="G36" s="254">
        <f t="shared" si="9"/>
        <v>1942.0787068636055</v>
      </c>
      <c r="H36" s="254">
        <f t="shared" si="9"/>
        <v>1242.2546710959259</v>
      </c>
      <c r="I36" s="254">
        <f t="shared" si="9"/>
        <v>148.9166482894509</v>
      </c>
      <c r="J36" s="254">
        <f t="shared" si="9"/>
        <v>11.976465321734691</v>
      </c>
      <c r="K36" s="249">
        <f t="shared" si="8"/>
        <v>7594.4828869178218</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7594.4828869178218</v>
      </c>
      <c r="E39" s="253">
        <f t="shared" si="10"/>
        <v>4132.7001281196044</v>
      </c>
      <c r="F39" s="254">
        <f t="shared" si="10"/>
        <v>116.55626722750071</v>
      </c>
      <c r="G39" s="254">
        <f t="shared" si="10"/>
        <v>1942.0787068636055</v>
      </c>
      <c r="H39" s="254">
        <f t="shared" si="10"/>
        <v>1242.2546710959259</v>
      </c>
      <c r="I39" s="254">
        <f t="shared" si="10"/>
        <v>148.9166482894509</v>
      </c>
      <c r="J39" s="254">
        <f t="shared" si="10"/>
        <v>11.976465321734691</v>
      </c>
      <c r="K39" s="249">
        <f t="shared" si="8"/>
        <v>7594.4828869178218</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13813021.899378315</v>
      </c>
      <c r="E41" s="253">
        <f t="shared" ref="E41:J41" si="11">SUM(E28:E31)+E22+E26+E39+E24</f>
        <v>5531233.3017390352</v>
      </c>
      <c r="F41" s="254">
        <f t="shared" si="11"/>
        <v>4209938.4471276673</v>
      </c>
      <c r="G41" s="254">
        <f t="shared" si="11"/>
        <v>2189544.3884260105</v>
      </c>
      <c r="H41" s="254">
        <f t="shared" si="11"/>
        <v>1317308.7303400263</v>
      </c>
      <c r="I41" s="254">
        <f t="shared" si="11"/>
        <v>201587.07087732299</v>
      </c>
      <c r="J41" s="254">
        <f t="shared" si="11"/>
        <v>363409.96086825436</v>
      </c>
      <c r="K41" s="249">
        <f>SUM(E41:J41)</f>
        <v>13813021.899378316</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-'WSS-31'!I659-'WSS-31'!I665</f>
        <v>-10081.788578991023</v>
      </c>
      <c r="E43" s="253">
        <f>D43</f>
        <v>-10081.788578991023</v>
      </c>
      <c r="F43" s="254">
        <v>0</v>
      </c>
      <c r="G43" s="254">
        <v>0</v>
      </c>
      <c r="H43" s="254">
        <v>0</v>
      </c>
      <c r="I43" s="254">
        <v>0</v>
      </c>
      <c r="J43" s="254">
        <v>0</v>
      </c>
      <c r="K43" s="249">
        <f>SUM(E43:J43)</f>
        <v>-10081.788578991023</v>
      </c>
      <c r="L43" s="250" t="str">
        <f>IF(ABS(K43-D43)&lt;0.01,"ok","err")</f>
        <v>ok</v>
      </c>
      <c r="M43" s="26"/>
      <c r="N43" s="26"/>
    </row>
    <row r="44" spans="1:14" ht="15.75" x14ac:dyDescent="0.25">
      <c r="A44" s="282" t="s">
        <v>1831</v>
      </c>
      <c r="B44" s="244" t="s">
        <v>1833</v>
      </c>
      <c r="C44" s="245"/>
      <c r="D44" s="253">
        <f>-'WSS-31'!I652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75" x14ac:dyDescent="0.25">
      <c r="A45" s="282" t="s">
        <v>1835</v>
      </c>
      <c r="B45" s="244" t="s">
        <v>2466</v>
      </c>
      <c r="C45" s="245"/>
      <c r="D45" s="253">
        <f>-'WSS-31'!I658</f>
        <v>-308507.108557745</v>
      </c>
      <c r="E45" s="253">
        <v>0</v>
      </c>
      <c r="F45" s="254">
        <v>0</v>
      </c>
      <c r="G45" s="254">
        <f>D45</f>
        <v>-308507.108557745</v>
      </c>
      <c r="H45" s="254">
        <v>0</v>
      </c>
      <c r="I45" s="254">
        <v>0</v>
      </c>
      <c r="J45" s="254">
        <v>0</v>
      </c>
      <c r="K45" s="249">
        <f>SUM(E45:J45)</f>
        <v>-308507.108557745</v>
      </c>
      <c r="L45" s="250" t="str">
        <f>IF(ABS(K45-D45)&lt;0.01,"ok","err")</f>
        <v>ok</v>
      </c>
      <c r="M45" s="26"/>
      <c r="N45" s="26"/>
    </row>
    <row r="46" spans="1:14" ht="15.75" x14ac:dyDescent="0.25">
      <c r="A46" s="282" t="s">
        <v>1836</v>
      </c>
      <c r="B46" s="244" t="s">
        <v>1834</v>
      </c>
      <c r="C46" s="245"/>
      <c r="D46" s="253">
        <f>-('WSS-31'!I654+'WSS-31'!I655+'WSS-31'!I656+'WSS-31'!I657+'WSS-31'!I660+'WSS-31'!I662+'WSS-31'!I663+'WSS-31'!I664)</f>
        <v>-54328.597167828382</v>
      </c>
      <c r="E46" s="253">
        <f t="shared" ref="E46:J46" si="12">(E14/($D$14)*$D$46)</f>
        <v>-29564.066944282025</v>
      </c>
      <c r="F46" s="254">
        <f t="shared" si="12"/>
        <v>-833.80772382760449</v>
      </c>
      <c r="G46" s="254">
        <f t="shared" si="12"/>
        <v>-13893.034365139072</v>
      </c>
      <c r="H46" s="254">
        <f t="shared" si="12"/>
        <v>-8886.7082342210815</v>
      </c>
      <c r="I46" s="254">
        <f t="shared" si="12"/>
        <v>-1065.3039472163739</v>
      </c>
      <c r="J46" s="254">
        <f t="shared" si="12"/>
        <v>-85.675953142223577</v>
      </c>
      <c r="K46" s="249">
        <f>SUM(E46:J46)</f>
        <v>-54328.597167828382</v>
      </c>
      <c r="L46" s="250" t="str">
        <f>IF(ABS(K46-D46)&lt;0.01,"ok","err")</f>
        <v>ok</v>
      </c>
      <c r="M46" s="26"/>
      <c r="N46" s="26"/>
    </row>
    <row r="47" spans="1:14" ht="15.75" x14ac:dyDescent="0.25">
      <c r="A47" s="282" t="s">
        <v>1842</v>
      </c>
      <c r="B47" s="244" t="s">
        <v>1837</v>
      </c>
      <c r="C47" s="245"/>
      <c r="D47" s="253">
        <f>SUM(D43:D46)</f>
        <v>-439111.13807383913</v>
      </c>
      <c r="E47" s="253">
        <f t="shared" ref="E47:J47" si="13">SUM(E43:E46)</f>
        <v>-39645.85552327305</v>
      </c>
      <c r="F47" s="254">
        <f t="shared" si="13"/>
        <v>-67027.4514931023</v>
      </c>
      <c r="G47" s="254">
        <f t="shared" si="13"/>
        <v>-322400.14292288409</v>
      </c>
      <c r="H47" s="254">
        <f t="shared" si="13"/>
        <v>-8886.7082342210815</v>
      </c>
      <c r="I47" s="254">
        <f t="shared" si="13"/>
        <v>-1065.3039472163739</v>
      </c>
      <c r="J47" s="254">
        <f t="shared" si="13"/>
        <v>-85.675953142223577</v>
      </c>
      <c r="K47" s="249">
        <f>SUM(E47:J47)</f>
        <v>-439111.13807383913</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13373910.761304475</v>
      </c>
      <c r="E49" s="253">
        <f t="shared" ref="E49:J49" si="14">E41+E47</f>
        <v>5491587.4462157618</v>
      </c>
      <c r="F49" s="254">
        <f t="shared" si="14"/>
        <v>4142910.9956345651</v>
      </c>
      <c r="G49" s="254">
        <f t="shared" si="14"/>
        <v>1867144.2455031264</v>
      </c>
      <c r="H49" s="254">
        <f t="shared" si="14"/>
        <v>1308422.0221058053</v>
      </c>
      <c r="I49" s="254">
        <f t="shared" si="14"/>
        <v>200521.76693010662</v>
      </c>
      <c r="J49" s="254">
        <f t="shared" si="14"/>
        <v>363324.28491511213</v>
      </c>
      <c r="K49" s="249">
        <f>SUM(E49:J49)</f>
        <v>13373910.761304477</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64">
        <f>'Billing Det'!C12</f>
        <v>128548999</v>
      </c>
      <c r="F51" s="265">
        <f>$E$51</f>
        <v>128548999</v>
      </c>
      <c r="G51" s="265">
        <f>$E$51</f>
        <v>128548999</v>
      </c>
      <c r="H51" s="265">
        <f>$E$51</f>
        <v>128548999</v>
      </c>
      <c r="I51" s="265">
        <f>'WSS-31'!I830</f>
        <v>5085.7315068493153</v>
      </c>
      <c r="J51" s="265">
        <f>I51</f>
        <v>5085.7315068493153</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269">
        <f t="shared" ref="E53:H53" si="15">E49/E51</f>
        <v>4.2719799367832975E-2</v>
      </c>
      <c r="F53" s="270">
        <f t="shared" si="15"/>
        <v>3.2228263369320873E-2</v>
      </c>
      <c r="G53" s="270">
        <f t="shared" si="15"/>
        <v>1.4524766898442565E-2</v>
      </c>
      <c r="H53" s="270">
        <f t="shared" si="15"/>
        <v>1.0178391370482825E-2</v>
      </c>
      <c r="I53" s="271">
        <f>I49/I51/30.5</f>
        <v>1.2927312723427331</v>
      </c>
      <c r="J53" s="271">
        <f>J49/J51/30.5</f>
        <v>2.342292671274123</v>
      </c>
      <c r="K53" s="272">
        <f>I53+J53</f>
        <v>3.6350239436168561</v>
      </c>
      <c r="L53" s="474"/>
      <c r="M53" s="26"/>
      <c r="N53" s="26"/>
    </row>
    <row r="54" spans="1:14" ht="15.75" x14ac:dyDescent="0.25">
      <c r="A54" s="26"/>
      <c r="B54" s="26"/>
      <c r="C54" s="26"/>
      <c r="D54" s="26"/>
      <c r="E54" s="26"/>
      <c r="F54" s="26"/>
      <c r="G54" s="26"/>
      <c r="H54" s="26"/>
      <c r="I54" s="26"/>
      <c r="J54" s="26"/>
      <c r="K54" s="26"/>
      <c r="L54" s="414"/>
      <c r="M54" s="414"/>
      <c r="N54" s="26"/>
    </row>
    <row r="55" spans="1:14" ht="15.75" x14ac:dyDescent="0.25">
      <c r="A55" s="26"/>
      <c r="B55" s="26"/>
      <c r="C55" s="26"/>
      <c r="D55" s="274"/>
      <c r="E55" s="26"/>
      <c r="F55" s="26"/>
      <c r="G55" s="26"/>
      <c r="H55" s="26"/>
      <c r="I55" s="26"/>
      <c r="J55" s="26" t="s">
        <v>2258</v>
      </c>
      <c r="K55" s="290">
        <f>I53+J53</f>
        <v>3.6350239436168561</v>
      </c>
      <c r="L55" s="416"/>
      <c r="M55" s="418"/>
      <c r="N55" s="26"/>
    </row>
    <row r="56" spans="1:14" ht="15.75" x14ac:dyDescent="0.25">
      <c r="A56" s="26"/>
      <c r="B56" s="26"/>
      <c r="C56" s="26"/>
      <c r="D56" s="289"/>
      <c r="E56" s="26"/>
      <c r="F56" s="26"/>
      <c r="G56" s="26"/>
      <c r="H56" s="26"/>
      <c r="I56" s="26"/>
      <c r="J56" s="26" t="s">
        <v>2260</v>
      </c>
      <c r="K56" s="509">
        <f>E53+G53+H53</f>
        <v>6.742295763675836E-2</v>
      </c>
      <c r="L56" s="417"/>
      <c r="M56" s="417"/>
      <c r="N56" s="26"/>
    </row>
    <row r="57" spans="1:14" ht="15.75" x14ac:dyDescent="0.25">
      <c r="A57" s="26"/>
      <c r="B57" s="26"/>
      <c r="C57" s="26"/>
      <c r="D57" s="279"/>
      <c r="E57" s="26"/>
      <c r="F57" s="26"/>
      <c r="G57" s="26"/>
      <c r="H57" s="26"/>
      <c r="I57" s="26"/>
      <c r="J57" s="26" t="s">
        <v>2259</v>
      </c>
      <c r="K57" s="509">
        <f>F53</f>
        <v>3.2228263369320873E-2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419"/>
      <c r="M59" s="419"/>
      <c r="N59" s="26"/>
    </row>
    <row r="60" spans="1:14" ht="15.75" x14ac:dyDescent="0.25">
      <c r="A60" s="26"/>
      <c r="B60" s="26"/>
      <c r="C60" s="26"/>
      <c r="D60" s="274"/>
      <c r="E60" s="26"/>
      <c r="F60" s="26"/>
      <c r="G60" s="26"/>
      <c r="H60" s="26"/>
      <c r="I60" s="26"/>
      <c r="J60" s="292"/>
      <c r="K60" s="294"/>
      <c r="L60" s="279"/>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N63"/>
  <sheetViews>
    <sheetView zoomScaleNormal="100" zoomScaleSheetLayoutView="80" workbookViewId="0">
      <selection sqref="A1:N1"/>
    </sheetView>
  </sheetViews>
  <sheetFormatPr defaultRowHeight="15" x14ac:dyDescent="0.25"/>
  <cols>
    <col min="1" max="1" width="4.5703125" customWidth="1"/>
    <col min="2" max="2" width="45.42578125" bestFit="1" customWidth="1"/>
    <col min="3" max="3" width="19" hidden="1" customWidth="1"/>
    <col min="4" max="4" width="23.5703125" customWidth="1"/>
    <col min="5" max="5" width="24.85546875" bestFit="1" customWidth="1"/>
    <col min="6" max="6" width="23.28515625" bestFit="1" customWidth="1"/>
    <col min="7" max="8" width="22.5703125" bestFit="1" customWidth="1"/>
    <col min="9" max="9" width="24.5703125" bestFit="1" customWidth="1"/>
    <col min="10" max="10" width="37" bestFit="1" customWidth="1"/>
    <col min="11" max="11" width="21.42578125" customWidth="1"/>
    <col min="12" max="12" width="17.85546875" customWidth="1"/>
  </cols>
  <sheetData>
    <row r="1" spans="1:14" ht="15.75" x14ac:dyDescent="0.25">
      <c r="A1" s="526" t="s">
        <v>1361</v>
      </c>
      <c r="B1" s="526"/>
      <c r="C1" s="526"/>
      <c r="D1" s="526"/>
      <c r="E1" s="526"/>
      <c r="F1" s="526"/>
      <c r="G1" s="526"/>
      <c r="H1" s="526"/>
      <c r="I1" s="526"/>
      <c r="J1" s="526"/>
      <c r="K1" s="526"/>
      <c r="L1" s="526"/>
      <c r="M1" s="526"/>
      <c r="N1" s="526"/>
    </row>
    <row r="2" spans="1:14" ht="15.75" x14ac:dyDescent="0.25">
      <c r="A2" s="298"/>
      <c r="B2" s="298"/>
      <c r="C2" s="298"/>
      <c r="D2" s="298"/>
      <c r="E2" s="298"/>
      <c r="F2" s="298"/>
      <c r="G2" s="298"/>
      <c r="H2" s="298"/>
      <c r="I2" s="298"/>
      <c r="J2" s="298"/>
      <c r="K2" s="298"/>
      <c r="L2" s="298"/>
      <c r="M2" s="298"/>
      <c r="N2" s="298"/>
    </row>
    <row r="3" spans="1:14" ht="15.75" x14ac:dyDescent="0.25">
      <c r="A3" s="524" t="s">
        <v>1819</v>
      </c>
      <c r="B3" s="524"/>
      <c r="C3" s="524"/>
      <c r="D3" s="524"/>
      <c r="E3" s="524"/>
      <c r="F3" s="524"/>
      <c r="G3" s="524"/>
      <c r="H3" s="524"/>
      <c r="I3" s="524"/>
      <c r="J3" s="524"/>
      <c r="K3" s="524"/>
      <c r="L3" s="524"/>
      <c r="M3" s="524"/>
      <c r="N3" s="524"/>
    </row>
    <row r="4" spans="1:14" ht="15.75" x14ac:dyDescent="0.25">
      <c r="A4" s="524" t="s">
        <v>2553</v>
      </c>
      <c r="B4" s="524"/>
      <c r="C4" s="524"/>
      <c r="D4" s="524"/>
      <c r="E4" s="524"/>
      <c r="F4" s="524"/>
      <c r="G4" s="524"/>
      <c r="H4" s="524"/>
      <c r="I4" s="524"/>
      <c r="J4" s="524"/>
      <c r="K4" s="524"/>
      <c r="L4" s="524"/>
      <c r="M4" s="524"/>
      <c r="N4" s="524"/>
    </row>
    <row r="5" spans="1:14" ht="15.75" x14ac:dyDescent="0.25">
      <c r="A5" s="193"/>
      <c r="B5" s="191"/>
      <c r="C5" s="191"/>
      <c r="D5" s="191"/>
      <c r="E5" s="191"/>
      <c r="F5" s="191"/>
      <c r="G5" s="191"/>
      <c r="H5" s="191"/>
      <c r="I5" s="191"/>
      <c r="J5" s="191"/>
      <c r="K5" s="191"/>
      <c r="L5" s="191"/>
      <c r="M5" s="191"/>
      <c r="N5" s="191"/>
    </row>
    <row r="6" spans="1:14" ht="15.75" x14ac:dyDescent="0.25">
      <c r="A6" s="524" t="s">
        <v>1847</v>
      </c>
      <c r="B6" s="524"/>
      <c r="C6" s="524"/>
      <c r="D6" s="524"/>
      <c r="E6" s="524"/>
      <c r="F6" s="524"/>
      <c r="G6" s="524"/>
      <c r="H6" s="524"/>
      <c r="I6" s="524"/>
      <c r="J6" s="524"/>
      <c r="K6" s="524"/>
      <c r="L6" s="524"/>
      <c r="M6" s="524"/>
      <c r="N6" s="524"/>
    </row>
    <row r="7" spans="1:14" ht="15.75" x14ac:dyDescent="0.25">
      <c r="A7" s="26"/>
      <c r="B7" s="26"/>
      <c r="C7" s="26"/>
      <c r="D7" s="26"/>
      <c r="E7" s="26"/>
      <c r="F7" s="26"/>
      <c r="G7" s="26"/>
      <c r="H7" s="26"/>
      <c r="I7" s="26"/>
      <c r="J7" s="26"/>
      <c r="K7" s="26"/>
      <c r="L7" s="26"/>
      <c r="M7" s="26"/>
      <c r="N7" s="26"/>
    </row>
    <row r="8" spans="1:14" ht="16.5" thickBot="1" x14ac:dyDescent="0.3">
      <c r="A8" s="26"/>
      <c r="B8" s="26"/>
      <c r="C8" s="26"/>
      <c r="D8" s="26"/>
      <c r="E8" s="26"/>
      <c r="F8" s="26"/>
      <c r="G8" s="26"/>
      <c r="H8" s="26"/>
      <c r="I8" s="26"/>
      <c r="J8" s="26"/>
      <c r="K8" s="26"/>
      <c r="L8" s="26"/>
      <c r="M8" s="26"/>
      <c r="N8" s="26"/>
    </row>
    <row r="9" spans="1:14" ht="16.5" thickBot="1" x14ac:dyDescent="0.3">
      <c r="A9" s="226"/>
      <c r="B9" s="227"/>
      <c r="C9" s="228"/>
      <c r="D9" s="226"/>
      <c r="E9" s="522" t="s">
        <v>1815</v>
      </c>
      <c r="F9" s="523"/>
      <c r="G9" s="229" t="s">
        <v>439</v>
      </c>
      <c r="H9" s="522" t="s">
        <v>112</v>
      </c>
      <c r="I9" s="523"/>
      <c r="J9" s="229" t="s">
        <v>1820</v>
      </c>
      <c r="K9" s="228"/>
      <c r="L9" s="230"/>
      <c r="M9" s="26"/>
      <c r="N9" s="26"/>
    </row>
    <row r="10" spans="1:14" ht="15.75" x14ac:dyDescent="0.25">
      <c r="A10" s="231"/>
      <c r="B10" s="232"/>
      <c r="C10" s="233"/>
      <c r="D10" s="233"/>
      <c r="E10" s="228"/>
      <c r="F10" s="228"/>
      <c r="G10" s="228"/>
      <c r="H10" s="228"/>
      <c r="I10" s="228"/>
      <c r="J10" s="228"/>
      <c r="K10" s="233"/>
      <c r="L10" s="234"/>
      <c r="M10" s="26"/>
      <c r="N10" s="26"/>
    </row>
    <row r="11" spans="1:14" ht="15.75" x14ac:dyDescent="0.25">
      <c r="A11" s="231"/>
      <c r="B11" s="232"/>
      <c r="C11" s="233"/>
      <c r="D11" s="233"/>
      <c r="E11" s="233"/>
      <c r="F11" s="233"/>
      <c r="G11" s="233"/>
      <c r="H11" s="233"/>
      <c r="I11" s="233"/>
      <c r="J11" s="233"/>
      <c r="K11" s="233"/>
      <c r="L11" s="234"/>
      <c r="M11" s="26"/>
      <c r="N11" s="26"/>
    </row>
    <row r="12" spans="1:14" ht="16.5" thickBot="1" x14ac:dyDescent="0.3">
      <c r="A12" s="235"/>
      <c r="B12" s="236" t="s">
        <v>99</v>
      </c>
      <c r="C12" s="237" t="s">
        <v>1127</v>
      </c>
      <c r="D12" s="237" t="s">
        <v>1821</v>
      </c>
      <c r="E12" s="237" t="s">
        <v>1816</v>
      </c>
      <c r="F12" s="237" t="s">
        <v>1817</v>
      </c>
      <c r="G12" s="237" t="s">
        <v>1816</v>
      </c>
      <c r="H12" s="237" t="s">
        <v>1816</v>
      </c>
      <c r="I12" s="237" t="s">
        <v>1818</v>
      </c>
      <c r="J12" s="237" t="s">
        <v>1818</v>
      </c>
      <c r="K12" s="238" t="s">
        <v>62</v>
      </c>
      <c r="L12" s="238" t="s">
        <v>1838</v>
      </c>
      <c r="M12" s="26"/>
      <c r="N12" s="26"/>
    </row>
    <row r="13" spans="1:14" ht="15.75" x14ac:dyDescent="0.25">
      <c r="A13" s="239"/>
      <c r="B13" s="240"/>
      <c r="C13" s="241"/>
      <c r="D13" s="242"/>
      <c r="E13" s="239"/>
      <c r="F13" s="243"/>
      <c r="G13" s="243"/>
      <c r="H13" s="243"/>
      <c r="I13" s="243"/>
      <c r="J13" s="243"/>
      <c r="K13" s="230"/>
      <c r="L13" s="234"/>
      <c r="M13" s="26"/>
      <c r="N13" s="26"/>
    </row>
    <row r="14" spans="1:14" ht="15.75" x14ac:dyDescent="0.25">
      <c r="A14" s="282" t="s">
        <v>1128</v>
      </c>
      <c r="B14" s="244" t="s">
        <v>181</v>
      </c>
      <c r="C14" s="245"/>
      <c r="D14" s="246">
        <f>'WSS-31'!J174</f>
        <v>458917674.33772969</v>
      </c>
      <c r="E14" s="247">
        <f>'WSS-31'!J123+'WSS-31'!J124+'WSS-31'!J125</f>
        <v>306412267.92889446</v>
      </c>
      <c r="F14" s="248">
        <f>'WSS-31'!J126</f>
        <v>7860099.5094042588</v>
      </c>
      <c r="G14" s="248">
        <f>'WSS-31'!J135</f>
        <v>86363237.462433428</v>
      </c>
      <c r="H14" s="248">
        <f>'WSS-31'!J145+'WSS-31'!J147+'WSS-31'!J152+'WSS-31'!J141</f>
        <v>49645806.434738837</v>
      </c>
      <c r="I14" s="248">
        <f>'WSS-31'!J146+'WSS-31'!J148+'WSS-31'!J153+'WSS-31'!J157+'WSS-31'!J160+'WSS-31'!J163</f>
        <v>8316204.2646125071</v>
      </c>
      <c r="J14" s="248">
        <f>'WSS-31'!J166+'WSS-31'!J169</f>
        <v>320058.73764619022</v>
      </c>
      <c r="K14" s="249">
        <f>SUM(E14:J14)</f>
        <v>458917674.33772963</v>
      </c>
      <c r="L14" s="250" t="str">
        <f>IF(ABS(K14-D14)&lt;0.01,"ok","err")</f>
        <v>ok</v>
      </c>
      <c r="M14" s="26"/>
      <c r="N14" s="26"/>
    </row>
    <row r="15" spans="1:14" ht="15.75" x14ac:dyDescent="0.25">
      <c r="A15" s="282" t="s">
        <v>1260</v>
      </c>
      <c r="B15" s="244" t="s">
        <v>1796</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75" x14ac:dyDescent="0.25">
      <c r="A16" s="282" t="s">
        <v>1797</v>
      </c>
      <c r="B16" s="244" t="s">
        <v>1798</v>
      </c>
      <c r="C16" s="245"/>
      <c r="D16" s="253">
        <f>D14+D15</f>
        <v>458917674.33772969</v>
      </c>
      <c r="E16" s="253">
        <f t="shared" ref="E16:K16" si="1">E14+E15</f>
        <v>306412267.92889446</v>
      </c>
      <c r="F16" s="254">
        <f t="shared" si="1"/>
        <v>7860099.5094042588</v>
      </c>
      <c r="G16" s="254">
        <f t="shared" si="1"/>
        <v>86363237.462433428</v>
      </c>
      <c r="H16" s="254">
        <f t="shared" si="1"/>
        <v>49645806.434738837</v>
      </c>
      <c r="I16" s="254">
        <f t="shared" si="1"/>
        <v>8316204.2646125071</v>
      </c>
      <c r="J16" s="254">
        <f t="shared" si="1"/>
        <v>320058.73764619022</v>
      </c>
      <c r="K16" s="249">
        <f t="shared" si="1"/>
        <v>458917674.33772963</v>
      </c>
      <c r="L16" s="250" t="str">
        <f>IF(ABS(K16-D16)&lt;0.01,"ok","err")</f>
        <v>ok</v>
      </c>
      <c r="M16" s="26"/>
      <c r="N16" s="26"/>
    </row>
    <row r="17" spans="1:14" ht="15.75" x14ac:dyDescent="0.25">
      <c r="A17" s="282"/>
      <c r="B17" s="244"/>
      <c r="C17" s="245"/>
      <c r="D17" s="255"/>
      <c r="E17" s="256"/>
      <c r="F17" s="191"/>
      <c r="G17" s="191"/>
      <c r="H17" s="191"/>
      <c r="I17" s="191"/>
      <c r="J17" s="191"/>
      <c r="K17" s="249"/>
      <c r="L17" s="257"/>
      <c r="M17" s="26"/>
      <c r="N17" s="26"/>
    </row>
    <row r="18" spans="1:14" ht="15.75" x14ac:dyDescent="0.25">
      <c r="A18" s="282" t="s">
        <v>1799</v>
      </c>
      <c r="B18" s="244" t="s">
        <v>421</v>
      </c>
      <c r="C18" s="245"/>
      <c r="D18" s="258">
        <f>'WSS-31'!J807</f>
        <v>0.12995342034112711</v>
      </c>
      <c r="E18" s="258">
        <f t="shared" ref="E18:J18" si="2">D18</f>
        <v>0.12995342034112711</v>
      </c>
      <c r="F18" s="259">
        <f t="shared" si="2"/>
        <v>0.12995342034112711</v>
      </c>
      <c r="G18" s="259">
        <f t="shared" si="2"/>
        <v>0.12995342034112711</v>
      </c>
      <c r="H18" s="259">
        <f t="shared" si="2"/>
        <v>0.12995342034112711</v>
      </c>
      <c r="I18" s="259">
        <f t="shared" si="2"/>
        <v>0.12995342034112711</v>
      </c>
      <c r="J18" s="259">
        <f t="shared" si="2"/>
        <v>0.12995342034112711</v>
      </c>
      <c r="K18" s="249"/>
      <c r="L18" s="250"/>
      <c r="M18" s="26"/>
      <c r="N18" s="26"/>
    </row>
    <row r="19" spans="1:14" ht="15.75" x14ac:dyDescent="0.25">
      <c r="A19" s="283"/>
      <c r="B19" s="244"/>
      <c r="C19" s="245"/>
      <c r="D19" s="255"/>
      <c r="E19" s="256"/>
      <c r="F19" s="191"/>
      <c r="G19" s="191"/>
      <c r="H19" s="191"/>
      <c r="I19" s="191"/>
      <c r="J19" s="191"/>
      <c r="K19" s="249"/>
      <c r="L19" s="257"/>
      <c r="M19" s="26"/>
      <c r="N19" s="26"/>
    </row>
    <row r="20" spans="1:14" ht="15.75" x14ac:dyDescent="0.25">
      <c r="A20" s="282" t="s">
        <v>1800</v>
      </c>
      <c r="B20" s="244" t="s">
        <v>1801</v>
      </c>
      <c r="C20" s="245"/>
      <c r="D20" s="253">
        <f>D18*D16</f>
        <v>59637921.435183473</v>
      </c>
      <c r="E20" s="253">
        <f t="shared" ref="E20:J20" si="3">E18*E16</f>
        <v>39819322.251841687</v>
      </c>
      <c r="F20" s="254">
        <f t="shared" si="3"/>
        <v>1021446.8154686986</v>
      </c>
      <c r="G20" s="254">
        <f t="shared" si="3"/>
        <v>11223198.099976188</v>
      </c>
      <c r="H20" s="254">
        <f t="shared" si="3"/>
        <v>6451642.3517878493</v>
      </c>
      <c r="I20" s="254">
        <f t="shared" si="3"/>
        <v>1080719.1884418631</v>
      </c>
      <c r="J20" s="254">
        <f t="shared" si="3"/>
        <v>41592.727667185878</v>
      </c>
      <c r="K20" s="249">
        <f>SUM(E20:J20)</f>
        <v>59637921.435183473</v>
      </c>
      <c r="L20" s="250" t="str">
        <f>IF(ABS(K20-D20)&lt;0.01,"ok","err")</f>
        <v>ok</v>
      </c>
      <c r="M20" s="26"/>
      <c r="N20" s="26"/>
    </row>
    <row r="21" spans="1:14" ht="15.75" x14ac:dyDescent="0.25">
      <c r="A21" s="283"/>
      <c r="B21" s="244"/>
      <c r="C21" s="245"/>
      <c r="D21" s="255"/>
      <c r="E21" s="256"/>
      <c r="F21" s="191"/>
      <c r="G21" s="191"/>
      <c r="H21" s="191"/>
      <c r="I21" s="191"/>
      <c r="J21" s="191"/>
      <c r="K21" s="249"/>
      <c r="L21" s="257"/>
      <c r="M21" s="26"/>
      <c r="N21" s="26"/>
    </row>
    <row r="22" spans="1:14" ht="15.75" x14ac:dyDescent="0.25">
      <c r="A22" s="282" t="s">
        <v>1261</v>
      </c>
      <c r="B22" s="244" t="s">
        <v>1802</v>
      </c>
      <c r="C22" s="245"/>
      <c r="D22" s="253">
        <f>'WSS-31'!J708</f>
        <v>9811897.8114772867</v>
      </c>
      <c r="E22" s="253">
        <f t="shared" ref="E22:J22" si="4">(E14/$D$14)*$D$22</f>
        <v>6551253.1532807322</v>
      </c>
      <c r="F22" s="254">
        <f t="shared" si="4"/>
        <v>168053.00272126988</v>
      </c>
      <c r="G22" s="254">
        <f t="shared" si="4"/>
        <v>1846490.7935233042</v>
      </c>
      <c r="H22" s="254">
        <f t="shared" si="4"/>
        <v>1061453.0813375358</v>
      </c>
      <c r="I22" s="254">
        <f t="shared" si="4"/>
        <v>177804.75886335029</v>
      </c>
      <c r="J22" s="254">
        <f t="shared" si="4"/>
        <v>6843.0217510946095</v>
      </c>
      <c r="K22" s="249">
        <f>SUM(E22:J22)</f>
        <v>9811897.8114772867</v>
      </c>
      <c r="L22" s="250" t="str">
        <f>IF(ABS(K22-D22)&lt;0.01,"ok","err")</f>
        <v>ok</v>
      </c>
      <c r="M22" s="26"/>
      <c r="N22" s="26"/>
    </row>
    <row r="23" spans="1:14" ht="15.75" x14ac:dyDescent="0.25">
      <c r="A23" s="283"/>
      <c r="B23" s="244"/>
      <c r="C23" s="245"/>
      <c r="D23" s="255"/>
      <c r="E23" s="256"/>
      <c r="F23" s="191"/>
      <c r="G23" s="191"/>
      <c r="H23" s="191"/>
      <c r="I23" s="191"/>
      <c r="J23" s="191"/>
      <c r="K23" s="249"/>
      <c r="L23" s="257"/>
      <c r="M23" s="26"/>
      <c r="N23" s="26"/>
    </row>
    <row r="24" spans="1:14" ht="15.75" x14ac:dyDescent="0.25">
      <c r="A24" s="282" t="s">
        <v>1262</v>
      </c>
      <c r="B24" s="244" t="s">
        <v>197</v>
      </c>
      <c r="C24" s="245"/>
      <c r="D24" s="253">
        <f>D20-D22</f>
        <v>49826023.623706184</v>
      </c>
      <c r="E24" s="253">
        <f t="shared" ref="E24:J24" si="5">E20-E22</f>
        <v>33268069.098560955</v>
      </c>
      <c r="F24" s="254">
        <f t="shared" si="5"/>
        <v>853393.81274742878</v>
      </c>
      <c r="G24" s="254">
        <f t="shared" si="5"/>
        <v>9376707.3064528834</v>
      </c>
      <c r="H24" s="254">
        <f t="shared" si="5"/>
        <v>5390189.2704503136</v>
      </c>
      <c r="I24" s="254">
        <f t="shared" si="5"/>
        <v>902914.42957851279</v>
      </c>
      <c r="J24" s="254">
        <f t="shared" si="5"/>
        <v>34749.705916091269</v>
      </c>
      <c r="K24" s="249">
        <f>SUM(E24:J24)</f>
        <v>49826023.623706192</v>
      </c>
      <c r="L24" s="250" t="str">
        <f>IF(ABS(K24-D24)&lt;0.01,"ok","err")</f>
        <v>ok</v>
      </c>
      <c r="M24" s="26"/>
      <c r="N24" s="26"/>
    </row>
    <row r="25" spans="1:14" ht="15.75" x14ac:dyDescent="0.25">
      <c r="A25" s="283"/>
      <c r="B25" s="244"/>
      <c r="C25" s="245"/>
      <c r="D25" s="255"/>
      <c r="E25" s="256"/>
      <c r="F25" s="191"/>
      <c r="G25" s="191"/>
      <c r="H25" s="191"/>
      <c r="I25" s="191"/>
      <c r="J25" s="191"/>
      <c r="K25" s="249"/>
      <c r="L25" s="257"/>
      <c r="M25" s="26"/>
      <c r="N25" s="26"/>
    </row>
    <row r="26" spans="1:14" ht="15.75" x14ac:dyDescent="0.25">
      <c r="A26" s="282" t="s">
        <v>1263</v>
      </c>
      <c r="B26" s="244" t="s">
        <v>528</v>
      </c>
      <c r="C26" s="245"/>
      <c r="D26" s="253">
        <f>'WSS-31'!J680+'WSS-31'!J799</f>
        <v>11061793.702462863</v>
      </c>
      <c r="E26" s="253">
        <f t="shared" ref="E26:J26" si="6">$D$26*(E24/$K$24)</f>
        <v>7385789.4024774637</v>
      </c>
      <c r="F26" s="254">
        <f t="shared" si="6"/>
        <v>189460.55930256678</v>
      </c>
      <c r="G26" s="254">
        <f t="shared" si="6"/>
        <v>2081707.3948282853</v>
      </c>
      <c r="H26" s="254">
        <f t="shared" si="6"/>
        <v>1196667.0705502927</v>
      </c>
      <c r="I26" s="254">
        <f t="shared" si="6"/>
        <v>200454.55014440339</v>
      </c>
      <c r="J26" s="254">
        <f t="shared" si="6"/>
        <v>7714.725159849364</v>
      </c>
      <c r="K26" s="249">
        <f>SUM(E26:J26)</f>
        <v>11061793.702462863</v>
      </c>
      <c r="L26" s="250" t="str">
        <f>IF(ABS(K26-D26)&lt;0.01,"ok","err")</f>
        <v>ok</v>
      </c>
      <c r="M26" s="26"/>
      <c r="N26" s="26"/>
    </row>
    <row r="27" spans="1:14" ht="15.75" x14ac:dyDescent="0.25">
      <c r="A27" s="283"/>
      <c r="B27" s="244"/>
      <c r="C27" s="245"/>
      <c r="D27" s="255"/>
      <c r="E27" s="256"/>
      <c r="F27" s="191"/>
      <c r="G27" s="191"/>
      <c r="H27" s="191"/>
      <c r="I27" s="191"/>
      <c r="J27" s="191"/>
      <c r="K27" s="249"/>
      <c r="L27" s="257"/>
      <c r="M27" s="26"/>
      <c r="N27" s="26"/>
    </row>
    <row r="28" spans="1:14" ht="15.75" x14ac:dyDescent="0.25">
      <c r="A28" s="282" t="s">
        <v>1264</v>
      </c>
      <c r="B28" s="244" t="s">
        <v>769</v>
      </c>
      <c r="C28" s="245"/>
      <c r="D28" s="253">
        <f>'WSS-31'!J730</f>
        <v>80222463.340453222</v>
      </c>
      <c r="E28" s="253">
        <f>'WSS-31'!J180+'WSS-31'!J181+'WSS-31'!J182</f>
        <v>13720389.846223425</v>
      </c>
      <c r="F28" s="254">
        <f>'WSS-31'!J183</f>
        <v>54831541.083970971</v>
      </c>
      <c r="G28" s="254">
        <f>'WSS-31'!J192</f>
        <v>5847452.2365162745</v>
      </c>
      <c r="H28" s="254">
        <f>'WSS-31'!J198+'WSS-31'!J202+'WSS-31'!J204+'WSS-31'!J209</f>
        <v>2709597.0562042692</v>
      </c>
      <c r="I28" s="254">
        <f>'WSS-31'!J203+'WSS-31'!J205+'WSS-31'!J210+'WSS-31'!J214+'WSS-31'!J217</f>
        <v>1214710.0369196455</v>
      </c>
      <c r="J28" s="254">
        <f>'WSS-31'!J223+'WSS-31'!J226</f>
        <v>1898773.0806186204</v>
      </c>
      <c r="K28" s="249">
        <f>SUM(E28:J28)</f>
        <v>80222463.340453207</v>
      </c>
      <c r="L28" s="250" t="str">
        <f>IF(ABS(K28-D28)&lt;0.01,"ok","err")</f>
        <v>ok</v>
      </c>
      <c r="M28" s="26"/>
      <c r="N28" s="26"/>
    </row>
    <row r="29" spans="1:14" ht="15.75" x14ac:dyDescent="0.25">
      <c r="A29" s="282" t="s">
        <v>1803</v>
      </c>
      <c r="B29" s="244" t="s">
        <v>813</v>
      </c>
      <c r="C29" s="245"/>
      <c r="D29" s="253">
        <f>'WSS-31'!J731</f>
        <v>35446327.530531526</v>
      </c>
      <c r="E29" s="253">
        <f>'WSS-31'!J300</f>
        <v>29730245.118969984</v>
      </c>
      <c r="F29" s="254">
        <v>0</v>
      </c>
      <c r="G29" s="254">
        <f>'WSS-31'!J306</f>
        <v>3551396.6039011264</v>
      </c>
      <c r="H29" s="254">
        <f>'WSS-31'!J312+'WSS-31'!J316+'WSS-31'!J318+'WSS-31'!J323</f>
        <v>1821563.6003630839</v>
      </c>
      <c r="I29" s="254">
        <f>'WSS-31'!J317+'WSS-31'!J319+'WSS-31'!J324+'WSS-31'!J328+'WSS-31'!J331</f>
        <v>343122.20729733031</v>
      </c>
      <c r="J29" s="254">
        <v>0</v>
      </c>
      <c r="K29" s="249">
        <f>SUM(E29:J29)</f>
        <v>35446327.530531526</v>
      </c>
      <c r="L29" s="250" t="str">
        <f>IF(ABS(K29-D29)&lt;0.01,"ok","err")</f>
        <v>ok</v>
      </c>
      <c r="M29" s="26"/>
      <c r="N29" s="26"/>
    </row>
    <row r="30" spans="1:14" ht="15.75" x14ac:dyDescent="0.25">
      <c r="A30" s="282" t="s">
        <v>1804</v>
      </c>
      <c r="B30" s="244" t="s">
        <v>408</v>
      </c>
      <c r="C30" s="245"/>
      <c r="D30" s="253">
        <f>'WSS-31'!J733+'WSS-31'!J734</f>
        <v>4434929.6900627594</v>
      </c>
      <c r="E30" s="253">
        <f>'WSS-31'!J414+'WSS-31'!J471+'WSS-31'!J357</f>
        <v>3184130.8787222616</v>
      </c>
      <c r="F30" s="254">
        <f>'WSS-31'!J529</f>
        <v>0</v>
      </c>
      <c r="G30" s="254">
        <f>'WSS-31'!J420+'WSS-31'!J477+'WSS-31'!J363</f>
        <v>715116.12256999593</v>
      </c>
      <c r="H30" s="254">
        <f>'WSS-31'!J426+'WSS-31'!J430+'WSS-31'!J432+'WSS-31'!J437+'WSS-31'!J483+'WSS-31'!J487+'WSS-31'!J489+'WSS-31'!J494+'WSS-31'!J369+'WSS-31'!J373+'WSS-31'!J375+'WSS-31'!J380</f>
        <v>450646.95477995789</v>
      </c>
      <c r="I30" s="254">
        <f>'WSS-31'!J431+'WSS-31'!J433+'WSS-31'!J438+'WSS-31'!J442+'WSS-31'!J445+'WSS-31'!J488+'WSS-31'!J490+'WSS-31'!J495+'WSS-31'!J499+'WSS-31'!J502+'WSS-31'!J374+'WSS-31'!J376+'WSS-31'!J381+'WSS-31'!J385+'WSS-31'!J388</f>
        <v>85035.733990543929</v>
      </c>
      <c r="J30" s="254">
        <v>0</v>
      </c>
      <c r="K30" s="249">
        <f>SUM(E30:J30)</f>
        <v>4434929.6900627585</v>
      </c>
      <c r="L30" s="250" t="str">
        <f>IF(ABS(K30-D30)&lt;0.01,"ok","err")</f>
        <v>ok</v>
      </c>
      <c r="M30" s="26"/>
      <c r="N30" s="26"/>
    </row>
    <row r="31" spans="1:14" ht="15.75" x14ac:dyDescent="0.25">
      <c r="A31" s="282" t="s">
        <v>1805</v>
      </c>
      <c r="B31" s="244" t="s">
        <v>1841</v>
      </c>
      <c r="C31" s="245"/>
      <c r="D31" s="253">
        <f>'WSS-31'!J738</f>
        <v>1920799.6488013347</v>
      </c>
      <c r="E31" s="253">
        <f>D31</f>
        <v>1920799.6488013347</v>
      </c>
      <c r="F31" s="254"/>
      <c r="G31" s="254"/>
      <c r="H31" s="254"/>
      <c r="I31" s="254"/>
      <c r="J31" s="254"/>
      <c r="K31" s="249">
        <f>SUM(E31:J31)</f>
        <v>1920799.6488013347</v>
      </c>
      <c r="L31" s="250" t="str">
        <f>IF(ABS(K31-D31)&lt;0.01,"ok","err")</f>
        <v>ok</v>
      </c>
      <c r="M31" s="26"/>
      <c r="N31" s="26"/>
    </row>
    <row r="32" spans="1:14" ht="15.75" x14ac:dyDescent="0.25">
      <c r="A32" s="282" t="s">
        <v>1806</v>
      </c>
      <c r="B32" s="244" t="s">
        <v>1823</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75" x14ac:dyDescent="0.25">
      <c r="A33" s="282" t="s">
        <v>1808</v>
      </c>
      <c r="B33" s="244" t="s">
        <v>1822</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75" x14ac:dyDescent="0.25">
      <c r="A34" s="282" t="s">
        <v>1809</v>
      </c>
      <c r="B34" s="244" t="s">
        <v>1826</v>
      </c>
      <c r="C34" s="245"/>
      <c r="D34" s="253">
        <v>0</v>
      </c>
      <c r="E34" s="253" t="s">
        <v>2475</v>
      </c>
      <c r="F34" s="254">
        <v>0</v>
      </c>
      <c r="G34" s="254">
        <f>D34</f>
        <v>0</v>
      </c>
      <c r="H34" s="254">
        <v>0</v>
      </c>
      <c r="I34" s="254">
        <v>0</v>
      </c>
      <c r="J34" s="254">
        <v>0</v>
      </c>
      <c r="K34" s="249">
        <f t="shared" si="8"/>
        <v>0</v>
      </c>
      <c r="L34" s="250" t="str">
        <f t="shared" si="7"/>
        <v>ok</v>
      </c>
      <c r="M34" s="26"/>
      <c r="N34" s="26"/>
    </row>
    <row r="35" spans="1:14" ht="15.75" x14ac:dyDescent="0.25">
      <c r="A35" s="282" t="s">
        <v>1811</v>
      </c>
      <c r="B35" s="244" t="s">
        <v>1824</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75" x14ac:dyDescent="0.25">
      <c r="A36" s="284" t="s">
        <v>1813</v>
      </c>
      <c r="B36" s="244" t="s">
        <v>1825</v>
      </c>
      <c r="C36" s="245"/>
      <c r="D36" s="253">
        <f>'WSS-31'!J796+'WSS-31'!J797</f>
        <v>96705.178729663108</v>
      </c>
      <c r="E36" s="253">
        <f t="shared" ref="E36:J36" si="9">(E14/($D$14)*$D$36)</f>
        <v>64568.559443231294</v>
      </c>
      <c r="F36" s="254">
        <f t="shared" si="9"/>
        <v>1656.3152181637033</v>
      </c>
      <c r="G36" s="254">
        <f t="shared" si="9"/>
        <v>18198.846506684487</v>
      </c>
      <c r="H36" s="254">
        <f t="shared" si="9"/>
        <v>10461.58571115849</v>
      </c>
      <c r="I36" s="254">
        <f t="shared" si="9"/>
        <v>1752.4276460311098</v>
      </c>
      <c r="J36" s="254">
        <f t="shared" si="9"/>
        <v>67.444204394026599</v>
      </c>
      <c r="K36" s="249">
        <f t="shared" si="8"/>
        <v>96705.178729663094</v>
      </c>
      <c r="L36" s="250" t="str">
        <f t="shared" si="7"/>
        <v>ok</v>
      </c>
      <c r="M36" s="26"/>
      <c r="N36" s="26"/>
    </row>
    <row r="37" spans="1:14" ht="15.75" x14ac:dyDescent="0.25">
      <c r="A37" s="284" t="s">
        <v>1827</v>
      </c>
      <c r="B37" s="244" t="s">
        <v>2262</v>
      </c>
      <c r="C37" s="300"/>
      <c r="D37" s="253">
        <v>0</v>
      </c>
      <c r="E37" s="253">
        <v>0</v>
      </c>
      <c r="F37" s="302">
        <v>0</v>
      </c>
      <c r="G37" s="302">
        <v>0</v>
      </c>
      <c r="H37" s="302">
        <v>0</v>
      </c>
      <c r="I37" s="302">
        <v>0</v>
      </c>
      <c r="J37" s="302">
        <v>0</v>
      </c>
      <c r="K37" s="249">
        <f t="shared" si="8"/>
        <v>0</v>
      </c>
      <c r="L37" s="250" t="str">
        <f t="shared" si="7"/>
        <v>ok</v>
      </c>
      <c r="M37" s="26"/>
      <c r="N37" s="26"/>
    </row>
    <row r="38" spans="1:14" ht="15.75" x14ac:dyDescent="0.25">
      <c r="A38" s="282"/>
      <c r="B38" s="244"/>
      <c r="C38" s="26"/>
      <c r="D38" s="253"/>
      <c r="E38" s="253"/>
      <c r="F38" s="254"/>
      <c r="G38" s="254"/>
      <c r="H38" s="254"/>
      <c r="I38" s="254"/>
      <c r="J38" s="254"/>
      <c r="K38" s="249"/>
      <c r="L38" s="250"/>
      <c r="M38" s="26"/>
      <c r="N38" s="26"/>
    </row>
    <row r="39" spans="1:14" ht="15.75" x14ac:dyDescent="0.25">
      <c r="A39" s="282" t="s">
        <v>1828</v>
      </c>
      <c r="B39" s="244" t="s">
        <v>1832</v>
      </c>
      <c r="C39" s="245"/>
      <c r="D39" s="253">
        <f t="shared" ref="D39:J39" si="10">SUM(D32:D37)</f>
        <v>96705.178729663108</v>
      </c>
      <c r="E39" s="253">
        <f t="shared" si="10"/>
        <v>64568.559443231294</v>
      </c>
      <c r="F39" s="254">
        <f t="shared" si="10"/>
        <v>1656.3152181637033</v>
      </c>
      <c r="G39" s="254">
        <f t="shared" si="10"/>
        <v>18198.846506684487</v>
      </c>
      <c r="H39" s="254">
        <f t="shared" si="10"/>
        <v>10461.58571115849</v>
      </c>
      <c r="I39" s="254">
        <f t="shared" si="10"/>
        <v>1752.4276460311098</v>
      </c>
      <c r="J39" s="254">
        <f t="shared" si="10"/>
        <v>67.444204394026599</v>
      </c>
      <c r="K39" s="249">
        <f t="shared" si="8"/>
        <v>96705.178729663094</v>
      </c>
      <c r="L39" s="250" t="str">
        <f t="shared" si="7"/>
        <v>ok</v>
      </c>
      <c r="M39" s="26"/>
      <c r="N39" s="26"/>
    </row>
    <row r="40" spans="1:14" ht="15.75" x14ac:dyDescent="0.25">
      <c r="A40" s="283"/>
      <c r="B40" s="244"/>
      <c r="C40" s="245"/>
      <c r="D40" s="253"/>
      <c r="E40" s="256"/>
      <c r="F40" s="191"/>
      <c r="G40" s="191"/>
      <c r="H40" s="191"/>
      <c r="I40" s="191"/>
      <c r="J40" s="191"/>
      <c r="K40" s="234"/>
      <c r="L40" s="257"/>
      <c r="M40" s="26"/>
      <c r="N40" s="26"/>
    </row>
    <row r="41" spans="1:14" ht="15.75" x14ac:dyDescent="0.25">
      <c r="A41" s="282" t="s">
        <v>1829</v>
      </c>
      <c r="B41" s="244" t="s">
        <v>1807</v>
      </c>
      <c r="C41" s="260"/>
      <c r="D41" s="253">
        <f>SUM(D28:D31)+D22+D26+D39+D24</f>
        <v>192820940.52622485</v>
      </c>
      <c r="E41" s="253">
        <f t="shared" ref="E41:J41" si="11">SUM(E28:E31)+E22+E26+E39+E24</f>
        <v>95825245.706479385</v>
      </c>
      <c r="F41" s="254">
        <f t="shared" si="11"/>
        <v>56044104.773960404</v>
      </c>
      <c r="G41" s="254">
        <f t="shared" si="11"/>
        <v>23437069.304298557</v>
      </c>
      <c r="H41" s="254">
        <f t="shared" si="11"/>
        <v>12640578.619396612</v>
      </c>
      <c r="I41" s="254">
        <f t="shared" si="11"/>
        <v>2925794.1444398174</v>
      </c>
      <c r="J41" s="254">
        <f t="shared" si="11"/>
        <v>1948147.9776500496</v>
      </c>
      <c r="K41" s="249">
        <f>SUM(E41:J41)</f>
        <v>192820940.52622479</v>
      </c>
      <c r="L41" s="250" t="str">
        <f>IF(ABS(K41-D41)&lt;0.01,"ok","err")</f>
        <v>ok</v>
      </c>
      <c r="M41" s="26"/>
      <c r="N41" s="26"/>
    </row>
    <row r="42" spans="1:14" ht="15.75" x14ac:dyDescent="0.25">
      <c r="A42" s="283"/>
      <c r="B42" s="244"/>
      <c r="C42" s="245"/>
      <c r="D42" s="261"/>
      <c r="E42" s="256"/>
      <c r="F42" s="191"/>
      <c r="G42" s="191"/>
      <c r="H42" s="191"/>
      <c r="I42" s="191"/>
      <c r="J42" s="191"/>
      <c r="K42" s="234"/>
      <c r="L42" s="257"/>
      <c r="M42" s="26"/>
      <c r="N42" s="26"/>
    </row>
    <row r="43" spans="1:14" ht="15.75" x14ac:dyDescent="0.25">
      <c r="A43" s="282" t="s">
        <v>1830</v>
      </c>
      <c r="B43" s="244" t="s">
        <v>2257</v>
      </c>
      <c r="C43" s="245"/>
      <c r="D43" s="253">
        <f>-'WSS-31'!J659-'WSS-31'!J665</f>
        <v>-146518.18044319775</v>
      </c>
      <c r="E43" s="253">
        <f>D43</f>
        <v>-146518.18044319775</v>
      </c>
      <c r="F43" s="254">
        <v>0</v>
      </c>
      <c r="G43" s="254">
        <v>0</v>
      </c>
      <c r="H43" s="254">
        <v>0</v>
      </c>
      <c r="I43" s="254">
        <v>0</v>
      </c>
      <c r="J43" s="254">
        <v>0</v>
      </c>
      <c r="K43" s="249">
        <f>SUM(E43:J43)</f>
        <v>-146518.18044319775</v>
      </c>
      <c r="L43" s="250" t="str">
        <f>IF(ABS(K43-D43)&lt;0.01,"ok","err")</f>
        <v>ok</v>
      </c>
      <c r="M43" s="26"/>
      <c r="N43" s="26"/>
    </row>
    <row r="44" spans="1:14" ht="15.75" x14ac:dyDescent="0.25">
      <c r="A44" s="282" t="s">
        <v>1831</v>
      </c>
      <c r="B44" s="244" t="s">
        <v>1833</v>
      </c>
      <c r="C44" s="245"/>
      <c r="D44" s="253">
        <f>-'WSS-31'!J652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75" x14ac:dyDescent="0.25">
      <c r="A45" s="282" t="s">
        <v>1835</v>
      </c>
      <c r="B45" s="244" t="s">
        <v>2466</v>
      </c>
      <c r="C45" s="245"/>
      <c r="D45" s="253">
        <f>-'WSS-31'!J658</f>
        <v>-2689112.2941903835</v>
      </c>
      <c r="E45" s="253">
        <v>0</v>
      </c>
      <c r="F45" s="254">
        <v>0</v>
      </c>
      <c r="G45" s="254">
        <f>D45</f>
        <v>-2689112.2941903835</v>
      </c>
      <c r="H45" s="254">
        <v>0</v>
      </c>
      <c r="I45" s="254">
        <v>0</v>
      </c>
      <c r="J45" s="254">
        <v>0</v>
      </c>
      <c r="K45" s="249">
        <f>SUM(E45:J45)</f>
        <v>-2689112.2941903835</v>
      </c>
      <c r="L45" s="250" t="str">
        <f>IF(ABS(K45-D45)&lt;0.01,"ok","err")</f>
        <v>ok</v>
      </c>
      <c r="M45" s="26"/>
      <c r="N45" s="26"/>
    </row>
    <row r="46" spans="1:14" ht="15.75" x14ac:dyDescent="0.25">
      <c r="A46" s="282" t="s">
        <v>1836</v>
      </c>
      <c r="B46" s="244" t="s">
        <v>1834</v>
      </c>
      <c r="C46" s="245"/>
      <c r="D46" s="253">
        <f>-('WSS-31'!J654+'WSS-31'!J655+'WSS-31'!J656+'WSS-31'!J657+'WSS-31'!J660+'WSS-31'!J662+'WSS-31'!J663+'WSS-31'!J664)</f>
        <v>-599242.89130814758</v>
      </c>
      <c r="E46" s="253">
        <f t="shared" ref="E46:J46" si="12">(E14/($D$14)*$D$46)</f>
        <v>-400105.25554714218</v>
      </c>
      <c r="F46" s="254">
        <f t="shared" si="12"/>
        <v>-10263.515700898601</v>
      </c>
      <c r="G46" s="254">
        <f t="shared" si="12"/>
        <v>-112770.89337299015</v>
      </c>
      <c r="H46" s="254">
        <f t="shared" si="12"/>
        <v>-64826.216667749868</v>
      </c>
      <c r="I46" s="254">
        <f t="shared" si="12"/>
        <v>-10859.085554783211</v>
      </c>
      <c r="J46" s="254">
        <f t="shared" si="12"/>
        <v>-417.92446458358319</v>
      </c>
      <c r="K46" s="249">
        <f>SUM(E46:J46)</f>
        <v>-599242.89130814769</v>
      </c>
      <c r="L46" s="250" t="str">
        <f>IF(ABS(K46-D46)&lt;0.01,"ok","err")</f>
        <v>ok</v>
      </c>
      <c r="M46" s="26"/>
      <c r="N46" s="26"/>
    </row>
    <row r="47" spans="1:14" ht="15.75" x14ac:dyDescent="0.25">
      <c r="A47" s="282" t="s">
        <v>1842</v>
      </c>
      <c r="B47" s="244" t="s">
        <v>1837</v>
      </c>
      <c r="C47" s="245"/>
      <c r="D47" s="253">
        <f>SUM(D43:D46)</f>
        <v>-4309837.7546283072</v>
      </c>
      <c r="E47" s="253">
        <f t="shared" ref="E47:J47" si="13">SUM(E43:E46)</f>
        <v>-546623.43599033996</v>
      </c>
      <c r="F47" s="254">
        <f t="shared" si="13"/>
        <v>-885227.90438747674</v>
      </c>
      <c r="G47" s="254">
        <f t="shared" si="13"/>
        <v>-2801883.1875633737</v>
      </c>
      <c r="H47" s="254">
        <f t="shared" si="13"/>
        <v>-64826.216667749868</v>
      </c>
      <c r="I47" s="254">
        <f t="shared" si="13"/>
        <v>-10859.085554783211</v>
      </c>
      <c r="J47" s="254">
        <f t="shared" si="13"/>
        <v>-417.92446458358319</v>
      </c>
      <c r="K47" s="249">
        <f>SUM(E47:J47)</f>
        <v>-4309837.7546283072</v>
      </c>
      <c r="L47" s="250" t="str">
        <f>IF(ABS(K47-D47)&lt;0.01,"ok","err")</f>
        <v>ok</v>
      </c>
      <c r="M47" s="26"/>
      <c r="N47" s="26"/>
    </row>
    <row r="48" spans="1:14" ht="15.75" x14ac:dyDescent="0.25">
      <c r="A48" s="283"/>
      <c r="B48" s="244"/>
      <c r="C48" s="26"/>
      <c r="D48" s="255"/>
      <c r="E48" s="256"/>
      <c r="F48" s="191"/>
      <c r="G48" s="191"/>
      <c r="H48" s="191"/>
      <c r="I48" s="191"/>
      <c r="J48" s="191"/>
      <c r="K48" s="234"/>
      <c r="L48" s="257"/>
      <c r="M48" s="26"/>
      <c r="N48" s="26"/>
    </row>
    <row r="49" spans="1:14" ht="15.75" x14ac:dyDescent="0.25">
      <c r="A49" s="282" t="s">
        <v>1843</v>
      </c>
      <c r="B49" s="244" t="s">
        <v>1810</v>
      </c>
      <c r="C49" s="262" t="e">
        <f>'WSS-31'!#REF!-SUM('WSS-31'!H652:H665)-'WSS-31'!#REF!-'WSS-31'!#REF!-'WSS-31'!#REF!</f>
        <v>#REF!</v>
      </c>
      <c r="D49" s="253">
        <f>D41+D47</f>
        <v>188511102.77159655</v>
      </c>
      <c r="E49" s="253">
        <f t="shared" ref="E49:J49" si="14">E41+E47</f>
        <v>95278622.270489052</v>
      </c>
      <c r="F49" s="254">
        <f t="shared" si="14"/>
        <v>55158876.86957293</v>
      </c>
      <c r="G49" s="254">
        <f t="shared" si="14"/>
        <v>20635186.116735183</v>
      </c>
      <c r="H49" s="254">
        <f t="shared" si="14"/>
        <v>12575752.402728863</v>
      </c>
      <c r="I49" s="254">
        <f t="shared" si="14"/>
        <v>2914935.0588850342</v>
      </c>
      <c r="J49" s="254">
        <f t="shared" si="14"/>
        <v>1947730.053185466</v>
      </c>
      <c r="K49" s="249">
        <f>SUM(E49:J49)</f>
        <v>188511102.77159652</v>
      </c>
      <c r="L49" s="250" t="str">
        <f>IF(ABS(K49-D49)&lt;0.01,"ok","err")</f>
        <v>ok</v>
      </c>
      <c r="M49" s="26"/>
      <c r="N49" s="26"/>
    </row>
    <row r="50" spans="1:14" ht="15.75" x14ac:dyDescent="0.25">
      <c r="A50" s="283"/>
      <c r="B50" s="244"/>
      <c r="C50" s="245"/>
      <c r="D50" s="253"/>
      <c r="E50" s="256"/>
      <c r="F50" s="191"/>
      <c r="G50" s="191"/>
      <c r="H50" s="191"/>
      <c r="I50" s="191"/>
      <c r="J50" s="191"/>
      <c r="K50" s="234"/>
      <c r="L50" s="257"/>
      <c r="M50" s="26"/>
      <c r="N50" s="26"/>
    </row>
    <row r="51" spans="1:14" ht="15.75" x14ac:dyDescent="0.25">
      <c r="A51" s="282" t="s">
        <v>2264</v>
      </c>
      <c r="B51" s="244" t="s">
        <v>1812</v>
      </c>
      <c r="C51" s="245"/>
      <c r="D51" s="263"/>
      <c r="E51" s="251">
        <v>5473847.4691718873</v>
      </c>
      <c r="F51" s="265">
        <f>'Billing Det'!$C$14</f>
        <v>1699193305</v>
      </c>
      <c r="G51" s="265">
        <f>$E$51</f>
        <v>5473847.4691718873</v>
      </c>
      <c r="H51" s="265">
        <f>$E$51</f>
        <v>5473847.4691718873</v>
      </c>
      <c r="I51" s="265">
        <f>'WSS-31'!J830</f>
        <v>53288.416438356158</v>
      </c>
      <c r="J51" s="265">
        <f>I51</f>
        <v>53288.416438356158</v>
      </c>
      <c r="K51" s="234"/>
      <c r="L51" s="257"/>
      <c r="M51" s="26"/>
      <c r="N51" s="26"/>
    </row>
    <row r="52" spans="1:14" ht="16.5" thickBot="1" x14ac:dyDescent="0.3">
      <c r="A52" s="283"/>
      <c r="B52" s="244"/>
      <c r="C52" s="245"/>
      <c r="D52" s="255"/>
      <c r="E52" s="256"/>
      <c r="F52" s="191"/>
      <c r="G52" s="191"/>
      <c r="H52" s="191"/>
      <c r="I52" s="191"/>
      <c r="J52" s="191"/>
      <c r="K52" s="234"/>
      <c r="L52" s="257"/>
      <c r="M52" s="26"/>
      <c r="N52" s="26"/>
    </row>
    <row r="53" spans="1:14" ht="16.5" thickBot="1" x14ac:dyDescent="0.3">
      <c r="A53" s="285" t="s">
        <v>2467</v>
      </c>
      <c r="B53" s="266" t="s">
        <v>1814</v>
      </c>
      <c r="C53" s="267"/>
      <c r="D53" s="268"/>
      <c r="E53" s="445">
        <f t="shared" ref="E53:H53" si="15">E49/E51</f>
        <v>17.406152218725104</v>
      </c>
      <c r="F53" s="270">
        <f t="shared" si="15"/>
        <v>3.2461802142972153E-2</v>
      </c>
      <c r="G53" s="446">
        <f t="shared" si="15"/>
        <v>3.7697773335757532</v>
      </c>
      <c r="H53" s="446">
        <f t="shared" si="15"/>
        <v>2.2974247042056124</v>
      </c>
      <c r="I53" s="271">
        <f>I49/I51/30.5</f>
        <v>1.7934787269476486</v>
      </c>
      <c r="J53" s="271">
        <f>J49/J51/30.5</f>
        <v>1.1983843021054825</v>
      </c>
      <c r="K53" s="272">
        <f>I53+J53</f>
        <v>2.991863029053131</v>
      </c>
      <c r="L53" s="273"/>
      <c r="M53" s="26"/>
      <c r="N53" s="26"/>
    </row>
    <row r="54" spans="1:14" ht="15.75" x14ac:dyDescent="0.25">
      <c r="A54" s="26"/>
      <c r="B54" s="26"/>
      <c r="C54" s="26"/>
      <c r="D54" s="26"/>
      <c r="E54" s="26"/>
      <c r="F54" s="26"/>
      <c r="G54" s="26"/>
      <c r="H54" s="26"/>
      <c r="I54" s="26"/>
      <c r="J54" s="26"/>
      <c r="K54" s="26"/>
      <c r="L54" s="26"/>
      <c r="M54" s="26"/>
      <c r="N54" s="26"/>
    </row>
    <row r="55" spans="1:14" ht="15.75" x14ac:dyDescent="0.25">
      <c r="A55" s="26"/>
      <c r="B55" s="26"/>
      <c r="C55" s="26"/>
      <c r="D55" s="274"/>
      <c r="E55" s="26"/>
      <c r="F55" s="26"/>
      <c r="G55" s="26"/>
      <c r="H55" s="26"/>
      <c r="I55" s="26"/>
      <c r="J55" s="26" t="s">
        <v>2258</v>
      </c>
      <c r="K55" s="444">
        <f>I53+J53</f>
        <v>2.991863029053131</v>
      </c>
      <c r="L55" s="290"/>
      <c r="M55" s="26"/>
      <c r="N55" s="26"/>
    </row>
    <row r="56" spans="1:14" ht="15.75" x14ac:dyDescent="0.25">
      <c r="A56" s="26"/>
      <c r="B56" s="26"/>
      <c r="C56" s="26"/>
      <c r="D56" s="289"/>
      <c r="E56" s="26"/>
      <c r="F56" s="26"/>
      <c r="G56" s="26"/>
      <c r="H56" s="26"/>
      <c r="I56" s="26"/>
      <c r="J56" s="26" t="s">
        <v>2263</v>
      </c>
      <c r="K56" s="279">
        <f>E53+G53+H53</f>
        <v>23.473354256506468</v>
      </c>
      <c r="L56" s="26"/>
      <c r="M56" s="26"/>
      <c r="N56" s="26"/>
    </row>
    <row r="57" spans="1:14" ht="15.75" x14ac:dyDescent="0.25">
      <c r="A57" s="26"/>
      <c r="B57" s="26"/>
      <c r="C57" s="26"/>
      <c r="D57" s="279"/>
      <c r="E57" s="26"/>
      <c r="F57" s="26"/>
      <c r="G57" s="26"/>
      <c r="H57" s="26"/>
      <c r="I57" s="26"/>
      <c r="J57" s="26" t="s">
        <v>2268</v>
      </c>
      <c r="K57" s="509">
        <f>F53</f>
        <v>3.2461802142972153E-2</v>
      </c>
      <c r="L57" s="26"/>
      <c r="M57" s="26"/>
      <c r="N57" s="26"/>
    </row>
    <row r="58" spans="1:14" ht="15.75" x14ac:dyDescent="0.25">
      <c r="A58" s="26"/>
      <c r="B58" s="26"/>
      <c r="C58" s="26"/>
      <c r="D58" s="26"/>
      <c r="E58" s="26"/>
      <c r="F58" s="26"/>
      <c r="G58" s="26"/>
      <c r="H58" s="26"/>
      <c r="I58" s="26"/>
      <c r="J58" s="191"/>
      <c r="K58" s="291"/>
      <c r="L58" s="26"/>
      <c r="M58" s="26"/>
      <c r="N58" s="26"/>
    </row>
    <row r="59" spans="1:14" ht="15.75" x14ac:dyDescent="0.25">
      <c r="A59" s="26"/>
      <c r="B59" s="26"/>
      <c r="C59" s="26"/>
      <c r="D59" s="289"/>
      <c r="E59" s="26"/>
      <c r="F59" s="26"/>
      <c r="G59" s="26"/>
      <c r="H59" s="26"/>
      <c r="I59" s="26"/>
      <c r="J59" s="292"/>
      <c r="K59" s="293"/>
      <c r="L59" s="26"/>
      <c r="M59" s="26"/>
      <c r="N59" s="26"/>
    </row>
    <row r="60" spans="1:14" ht="15.75" x14ac:dyDescent="0.25">
      <c r="A60" s="26"/>
      <c r="B60" s="26"/>
      <c r="C60" s="26"/>
      <c r="D60" s="274"/>
      <c r="E60" s="26"/>
      <c r="F60" s="26"/>
      <c r="G60" s="26"/>
      <c r="H60" s="26"/>
      <c r="I60" s="26"/>
      <c r="J60" s="292"/>
      <c r="K60" s="294"/>
      <c r="L60" s="26"/>
      <c r="M60" s="26"/>
      <c r="N60" s="26"/>
    </row>
    <row r="61" spans="1:14" ht="15.75" x14ac:dyDescent="0.25">
      <c r="A61" s="26"/>
      <c r="B61" s="26"/>
      <c r="C61" s="26"/>
      <c r="D61" s="26"/>
      <c r="E61" s="26"/>
      <c r="F61" s="26"/>
      <c r="G61" s="26"/>
      <c r="H61" s="26"/>
      <c r="I61" s="26"/>
      <c r="J61" s="292"/>
      <c r="K61" s="295"/>
      <c r="L61" s="26"/>
      <c r="M61" s="26"/>
      <c r="N61" s="26"/>
    </row>
    <row r="62" spans="1:14" ht="15.75" x14ac:dyDescent="0.25">
      <c r="J62" s="292"/>
      <c r="K62" s="32"/>
    </row>
    <row r="63" spans="1:14" ht="15.75" x14ac:dyDescent="0.25">
      <c r="J63" s="292"/>
      <c r="K63" s="296"/>
      <c r="L63" s="299"/>
    </row>
  </sheetData>
  <mergeCells count="6">
    <mergeCell ref="A1:N1"/>
    <mergeCell ref="A3:N3"/>
    <mergeCell ref="A4:N4"/>
    <mergeCell ref="A6:N6"/>
    <mergeCell ref="E9:F9"/>
    <mergeCell ref="H9:I9"/>
  </mergeCells>
  <pageMargins left="1" right="1" top="1.5" bottom="1" header="0.5" footer="0.5"/>
  <pageSetup orientation="portrait" r:id="rId1"/>
  <headerFooter scaleWithDoc="0">
    <oddHeader xml:space="preserve">&amp;R&amp;"Times New Roman,Bold"&amp;12 Case No. 2020-00349
Attachment 3 to Response to AG-KIUC-1 Question No. 188
Page &amp;P of &amp;N
Seelye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Display>DocumentLibraryForm</Display>
  <Edit>DocumentLibraryForm</Edit>
  <New>DocumentLibraryForm</New>
  <MobileDisplayFormUrl/>
  <MobileEditFormUrl/>
  <MobileNewFormUrl/>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0103853DF7894DB347713A7250CD66" ma:contentTypeVersion="53" ma:contentTypeDescription="Create a new document." ma:contentTypeScope="" ma:versionID="cacfa8175316c073b911f4e929358acd">
  <xsd:schema xmlns:xsd="http://www.w3.org/2001/XMLSchema" xmlns:xs="http://www.w3.org/2001/XMLSchema" xmlns:p="http://schemas.microsoft.com/office/2006/metadata/properties" xmlns:ns1="http://schemas.microsoft.com/sharepoint/v3" xmlns:ns2="54fcda00-7b58-44a7-b108-8bd10a8a08ba" targetNamespace="http://schemas.microsoft.com/office/2006/metadata/properties" ma:root="true" ma:fieldsID="3e7f21d9c579c12408c77b5d4d8fcc13" ns1:_="" ns2:_="">
    <xsd:import namespace="http://schemas.microsoft.com/sharepoint/v3"/>
    <xsd:import namespace="54fcda00-7b58-44a7-b108-8bd10a8a08ba"/>
    <xsd:element name="properties">
      <xsd:complexType>
        <xsd:sequence>
          <xsd:element name="documentManagement">
            <xsd:complexType>
              <xsd:all>
                <xsd:element ref="ns2:Company" minOccurs="0"/>
                <xsd:element ref="ns2:Year"/>
                <xsd:element ref="ns2:Document_x0020_Type"/>
                <xsd:element ref="ns2:Filing_x0020_Requirement" minOccurs="0"/>
                <xsd:element ref="ns2:Witness_x0020_Testimony" minOccurs="0"/>
                <xsd:element ref="ns2:Intervemprs" minOccurs="0"/>
                <xsd:element ref="ns2:Round" minOccurs="0"/>
                <xsd:element ref="ns2:Data_x0020_Request_x0020_Question_x0020_No_x002e_" minOccurs="0"/>
                <xsd:element ref="ns2:Tariff_x0020_Dev_x0020_Doc_x0020_Type" minOccurs="0"/>
                <xsd:element ref="ns2:Filed_x0020_Documents" minOccurs="0"/>
                <xsd:element ref="ns2:Department" minOccurs="0"/>
                <xsd:element ref="ns1:Form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9" nillable="true" ma:displayName="Form Data"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fcda00-7b58-44a7-b108-8bd10a8a08ba" elementFormDefault="qualified">
    <xsd:import namespace="http://schemas.microsoft.com/office/2006/documentManagement/types"/>
    <xsd:import namespace="http://schemas.microsoft.com/office/infopath/2007/PartnerControls"/>
    <xsd:element name="Company" ma:index="2" nillable="true" ma:displayName="Company" ma:internalName="Company" ma:readOnly="false" ma:requiredMultiChoice="true">
      <xsd:complexType>
        <xsd:complexContent>
          <xsd:extension base="dms:MultiChoice">
            <xsd:sequence>
              <xsd:element name="Value" maxOccurs="unbounded" minOccurs="0" nillable="true">
                <xsd:simpleType>
                  <xsd:restriction base="dms:Choice">
                    <xsd:enumeration value="KU"/>
                    <xsd:enumeration value="LGE"/>
                    <xsd:enumeration value="ODP"/>
                  </xsd:restriction>
                </xsd:simpleType>
              </xsd:element>
            </xsd:sequence>
          </xsd:extension>
        </xsd:complexContent>
      </xsd:complexType>
    </xsd:element>
    <xsd:element name="Year" ma:index="3" ma:displayName="Year" ma:default="2020" ma:format="Dropdown" ma:indexed="true" ma:internalName="Year" ma:readOnly="false">
      <xsd:simpleType>
        <xsd:restriction base="dms:Choice">
          <xsd:enumeration value="2020"/>
          <xsd:enumeration value="2019"/>
          <xsd:enumeration value="2018"/>
          <xsd:enumeration value="2017"/>
          <xsd:enumeration value="2016"/>
          <xsd:enumeration value="2015"/>
          <xsd:enumeration value="2014"/>
        </xsd:restriction>
      </xsd:simpleType>
    </xsd:element>
    <xsd:element name="Document_x0020_Type" ma:index="4" ma:displayName="Document Type" ma:format="Dropdown" ma:indexed="true" ma:internalName="Document_x0020_Type" ma:readOnly="false">
      <xsd:simpleType>
        <xsd:restriction base="dms:Choice">
          <xsd:enumeration value="General Information"/>
          <xsd:enumeration value="Application"/>
          <xsd:enumeration value="Development"/>
          <xsd:enumeration value="Orders"/>
          <xsd:enumeration value="Direct Testimony"/>
          <xsd:enumeration value="Rebuttal Testimony"/>
          <xsd:enumeration value="Stipulation Testimony"/>
          <xsd:enumeration value="Supplemental Rebuttal Testimony"/>
          <xsd:enumeration value="Superseded Testimony"/>
          <xsd:enumeration value="Intervenor Direct Testimony"/>
          <xsd:enumeration value="Intervenor Supplemental Testimony"/>
          <xsd:enumeration value="Intervenor Data Requests Issued"/>
          <xsd:enumeration value="Intervenor Data Requests Responses"/>
          <xsd:enumeration value="Data Requests"/>
          <xsd:enumeration value="Notices"/>
          <xsd:enumeration value="eFile/Filed Docs"/>
          <xsd:enumeration value="Filing Requirements"/>
          <xsd:enumeration value="Tariff Development"/>
          <xsd:enumeration value="Witness Prep"/>
          <xsd:enumeration value="Public Hearings"/>
          <xsd:enumeration value="Superseded"/>
        </xsd:restriction>
      </xsd:simpleType>
    </xsd:element>
    <xsd:element name="Filing_x0020_Requirement" ma:index="5" nillable="true" ma:displayName="Filing Requirement" ma:format="Dropdown" ma:internalName="Filing_x0020_Requirement" ma:readOnly="false">
      <xsd:simpleType>
        <xsd:restriction base="dms:Choice">
          <xsd:enumeration value="Filing Requirements - Draft Responses"/>
          <xsd:enumeration value="Tab 01-Sec 14(2) Attachment Only"/>
          <xsd:enumeration value="Tab 03-Sec 16(1)(b)(2) Attachment Only"/>
          <xsd:enumeration value="Tab 04-Sec 16(1)(b)(3) Attachment Only"/>
          <xsd:enumeration value="Tab 05-Sec 16(1)(b)(4) Attachment Only"/>
          <xsd:enumeration value="Tab 06-Sec 16(1)(b)(5) Attachment Only"/>
          <xsd:enumeration value="Tab 07-Sec 16(2) Attachment Only"/>
          <xsd:enumeration value="Tab 13-Sec 16(6)(f) Attachment Only"/>
          <xsd:enumeration value="Tab 15-Sec 16(7)(b) Attachment Only"/>
          <xsd:enumeration value="Tab 16-Sec 16(7)(c) Attachment Only"/>
          <xsd:enumeration value="Tab 17-Sec 16(7)(d) Attachment Only"/>
          <xsd:enumeration value="Tab 18-Sec 16(7)(e) Attachment Only"/>
          <xsd:enumeration value="Tab 19-Sec 16(7)(f) Attachment Only"/>
          <xsd:enumeration value="Tab 20-Sec 16(7)(g) Attachment Only"/>
          <xsd:enumeration value="Tab 22-Sec 16(7)(h)(1) Attachment Only"/>
          <xsd:enumeration value="Tab 23-Sec 16(7)(h)(2) Attachment Only"/>
          <xsd:enumeration value="Tab 24-Sec 16(7)(h)(3) Attachment Only"/>
          <xsd:enumeration value="Tab 25-Sec 16(7)(h)(4) Attachment Only"/>
          <xsd:enumeration value="Tab 28-Sec 16(7)(h)(7) Attachment Only"/>
          <xsd:enumeration value="Tab 29-Sec 16(7)(h)(8) Attachment Only"/>
          <xsd:enumeration value="Tab 30-Sec 16(7)(h)(9) Attachment Only"/>
          <xsd:enumeration value="Tab 31-Sec 16(7)(h)(10) Attachment Only"/>
          <xsd:enumeration value="Tab 32-Sec 16(7)(h)(11) Attachment Only"/>
          <xsd:enumeration value="Tab 33-Sec 16(7)(h)(12) Attachment Only"/>
          <xsd:enumeration value="Tab 39-Sec 16(7)(i) Attachment Only"/>
          <xsd:enumeration value="Tab 40-Sec 16(7)(j) Attachment Only"/>
          <xsd:enumeration value="Tab 41-Sec 16(7)(k) Attachment Only"/>
          <xsd:enumeration value="Tab 43-Sec 16(7)(m) Attachment Only"/>
          <xsd:enumeration value="Tab 44-Sec 16(7)(n) Attachment Only"/>
          <xsd:enumeration value="Tab 45-Sec 16(7)(o) Attachment Only"/>
          <xsd:enumeration value="Tab 46-Sec 16(7)(p) Attachment Only"/>
          <xsd:enumeration value="Tab 50-Sec 16(7)(t) Attachment Only"/>
          <xsd:enumeration value="Tab 51-Sec 16(7)(u) Attachment Only"/>
          <xsd:enumeration value="Tab 54-Sec 16(8)(a) Attachment Only"/>
          <xsd:enumeration value="Tab 55-Sec 16(8)(b Attachment Only"/>
          <xsd:enumeration value="Tab 56-Sec 16(8)(c) Attachment Only"/>
          <xsd:enumeration value="Tab 57-Sec 16(8)(d) Attachment Only"/>
          <xsd:enumeration value="Tab 58-Sec 16(8)(e) Attachment Only"/>
          <xsd:enumeration value="Tab 59-Sec 16(8)(f) Attachment Only"/>
          <xsd:enumeration value="Tab 60-Sec 16(8)(g) Attachment Only"/>
          <xsd:enumeration value="Tab 61-Sec 16(8)(h) Attachment Only"/>
          <xsd:enumeration value="Tab 62-Sec 16(8)(i) Attachment Only"/>
          <xsd:enumeration value="Tab 63-Sec 16(8)(j) Attachment Only"/>
          <xsd:enumeration value="Tab 64-Sec 16(8)(k) Attachment Only"/>
          <xsd:enumeration value="Tab 66-Sec 16(8)(m) Attachment Only"/>
          <xsd:enumeration value="Tab 67-Sec 16(8)(n) Attachment Only"/>
          <xsd:enumeration value="Filing Requirements - Guidance Sheets"/>
          <xsd:enumeration value="Filing Requirements - Witness/Preparer Assignments"/>
          <xsd:enumeration value="Filing Requirements - eFiled"/>
          <xsd:enumeration value="Exempt Schedules 10_13_20_23_33_44-49"/>
          <xsd:enumeration value="Schedule 01-5_8-29_40-Revenue Requirements"/>
          <xsd:enumeration value="Schedule 01-5-Financial Data"/>
          <xsd:enumeration value="Schedule 06-Annual Reports"/>
          <xsd:enumeration value="Schedule 07-Comparative Financial Statements"/>
          <xsd:enumeration value="Schedule 17-Lead/Lag Cash Working Capital Calc - ET"/>
          <xsd:enumeration value="Schedule 27-Lead/Lag Cash Working Capital Calc - Adj."/>
          <xsd:enumeration value="Schedule 29-Workpapers for Adjustments"/>
          <xsd:enumeration value="Schedule 30-Revenue and Expense Analysis"/>
          <xsd:enumeration value="Schedule 31-Advertising"/>
          <xsd:enumeration value="Schedule 32-Storm Damage"/>
          <xsd:enumeration value="Schedule 34-Misc Expenses"/>
          <xsd:enumeration value="Schedule 35-Affiliate Services"/>
          <xsd:enumeration value="Schedule 36-Income Taxes"/>
          <xsd:enumeration value="Schedule 37-Organization"/>
          <xsd:enumeration value="Schedule 38-Changes in Acctg Procedures"/>
          <xsd:enumeration value="Schedule 39-Out of Period"/>
          <xsd:enumeration value="Schedule 40-Cost of Service"/>
          <xsd:enumeration value="Schedule 41-Present and Proposed Tariffs"/>
          <xsd:enumeration value="Schedule 42-Present and Proposed Revenues"/>
          <xsd:enumeration value="Schedule 43-Sample Bills"/>
          <xsd:enumeration value="Schedule 50-Other"/>
        </xsd:restriction>
      </xsd:simpleType>
    </xsd:element>
    <xsd:element name="Witness_x0020_Testimony" ma:index="6" nillable="true" ma:displayName="Witness" ma:format="Dropdown" ma:internalName="Witness_x0020_Testimony" ma:readOnly="false">
      <xsd:simpleType>
        <xsd:restriction base="dms:Choice">
          <xsd:enumeration value="Arbough, Daniel K."/>
          <xsd:enumeration value="Bellar, Lonnie E."/>
          <xsd:enumeration value="Blake, Kent W."/>
          <xsd:enumeration value="Conroy, Robert M."/>
          <xsd:enumeration value="Garrett, Christopher M."/>
          <xsd:enumeration value="Hornung, Michael E."/>
          <xsd:enumeration value="Leichty, Douglas A."/>
          <xsd:enumeration value="Lovekamp, Rick E."/>
          <xsd:enumeration value="Malloy, John P."/>
          <xsd:enumeration value="McFarland, Elizabeth J."/>
          <xsd:enumeration value="McKenzie, Adrien M. (FINCAP, Inc.)"/>
          <xsd:enumeration value="Meiman, Greg J."/>
          <xsd:enumeration value="Metts, Heather D."/>
          <xsd:enumeration value="Murphy, J. Clay"/>
          <xsd:enumeration value="Rahn, Derek"/>
          <xsd:enumeration value="Saunders, Eileen L."/>
          <xsd:enumeration value="Seelye, Steve (The Prime Group)"/>
          <xsd:enumeration value="Sinclair, David S."/>
          <xsd:enumeration value="Spanos, John J. (Gannett Fleming)"/>
          <xsd:enumeration value="Straight, Scott"/>
          <xsd:enumeration value="Thompson, Paul W."/>
          <xsd:enumeration value="Wilson, Stuart"/>
          <xsd:enumeration value="Wolfe, John K."/>
          <xsd:enumeration value="z - eFiled/Filed"/>
        </xsd:restriction>
      </xsd:simpleType>
    </xsd:element>
    <xsd:element name="Intervemprs" ma:index="7" nillable="true" ma:displayName="Data Request Party" ma:format="Dropdown" ma:internalName="Intervemprs" ma:readOnly="false">
      <xsd:simpleType>
        <xsd:restriction base="dms:Choice">
          <xsd:enumeration value="0-Data Response Tracking Sheet"/>
          <xsd:enumeration value="KY Public Service Commission - PSC"/>
          <xsd:enumeration value="VA State Corporation Commission - VASCC"/>
          <xsd:enumeration value="Appalachian Voices"/>
          <xsd:enumeration value="Association of Community Ministries - ACM"/>
          <xsd:enumeration value="Attorney General/KY Industrial Utility Customers - AG/KIUC"/>
          <xsd:enumeration value="Attorney General - AG"/>
          <xsd:enumeration value="AT&amp;T"/>
          <xsd:enumeration value="Charter Communications - Charter"/>
          <xsd:enumeration value="Community Action Council - CAC"/>
          <xsd:enumeration value="East Kentucky Power Cooperative - EKPC"/>
          <xsd:enumeration value="JBS Swift &amp; Co - JBS"/>
          <xsd:enumeration value="KY Cable Telecomm. Assn - KCTA"/>
          <xsd:enumeration value="KY Industrial Utility Customers - KIUC"/>
          <xsd:enumeration value="Kentucky League of Cities - KLC"/>
          <xsd:enumeration value="Kroger"/>
          <xsd:enumeration value="Kroger/Wal-Mart"/>
          <xsd:enumeration value="KY School Boards Assn - KSBA"/>
          <xsd:enumeration value="KY Solar Industries Assn - KSIA"/>
          <xsd:enumeration value="Lexington-Fayette Urban County Govt - LFUCG"/>
          <xsd:enumeration value="Louisville Metro Government - METRO"/>
          <xsd:enumeration value="Metro. Housing Coalition - MHC"/>
          <xsd:enumeration value="Metro Housing Coalition/Kentuckians for the Commonwealth/Kentucky Solar Energy Society - MHC/KFTC/KSES"/>
          <xsd:enumeration value="Mountain Association/Kentuckians for the Commonwealth/Kentucky Solar Energy Society - MA/KFTC/KSES"/>
          <xsd:enumeration value="Sierra Club - SC"/>
          <xsd:enumeration value="U.S. Dept. of Defense/Federal Executive Agencies - DOD/FEA"/>
          <xsd:enumeration value="U.S. Dept. of Defense -  US DOD"/>
          <xsd:enumeration value="Wal-Mart"/>
        </xsd:restriction>
      </xsd:simpleType>
    </xsd:element>
    <xsd:element name="Round" ma:index="8" nillable="true" ma:displayName="Data Request Round" ma:format="Dropdown" ma:internalName="Round" ma:readOnly="false">
      <xsd:simpleType>
        <xsd:restriction base="dms:Choice">
          <xsd:enumeration value="On-Site Requests"/>
          <xsd:enumeration value="DR01"/>
          <xsd:enumeration value="DR01 Attachments"/>
          <xsd:enumeration value="DR01 eFiled/Filed"/>
          <xsd:enumeration value="DR02"/>
          <xsd:enumeration value="DR02 Attachments"/>
          <xsd:enumeration value="DR02 eFiled/Filed"/>
          <xsd:enumeration value="DR03"/>
          <xsd:enumeration value="DR03 Attachments"/>
          <xsd:enumeration value="DR03 eFiled/Filed"/>
          <xsd:enumeration value="DR04"/>
          <xsd:enumeration value="DR04 Attachments"/>
          <xsd:enumeration value="DR04 eFiled/Filed"/>
          <xsd:enumeration value="DR05"/>
          <xsd:enumeration value="DR05 Attachments"/>
          <xsd:enumeration value="DR05 eFiled/Filed"/>
          <xsd:enumeration value="DR06"/>
          <xsd:enumeration value="DR06 Attachments"/>
          <xsd:enumeration value="DR06 eFiled/Filed"/>
          <xsd:enumeration value="DR07"/>
          <xsd:enumeration value="DR07 Attachments"/>
          <xsd:enumeration value="DR07 eFiled/Filed"/>
          <xsd:enumeration value="DR08"/>
          <xsd:enumeration value="DR08 Attachments"/>
          <xsd:enumeration value="DR08 eFiled/Filed"/>
          <xsd:enumeration value="DR09"/>
          <xsd:enumeration value="DR09 Attachments"/>
          <xsd:enumeration value="DR09 eFiled/Filed"/>
          <xsd:enumeration value="DR10"/>
          <xsd:enumeration value="DR10 Attachments"/>
          <xsd:enumeration value="DR10 eFiled/Filed"/>
          <xsd:enumeration value="DR11"/>
          <xsd:enumeration value="DR11 Attachments"/>
          <xsd:enumeration value="DR11 eFiled/Filed"/>
          <xsd:enumeration value="DR12"/>
          <xsd:enumeration value="DR12 Attachments"/>
          <xsd:enumeration value="DR12 eFiled/Filed"/>
          <xsd:enumeration value="DR13"/>
          <xsd:enumeration value="DR13 Attachments"/>
          <xsd:enumeration value="DR13 eFiled/Filed"/>
          <xsd:enumeration value="DR14"/>
          <xsd:enumeration value="DR14 Attachments"/>
          <xsd:enumeration value="DR14 eFiled/Filed"/>
          <xsd:enumeration value="Post Hearing DR01"/>
          <xsd:enumeration value="Post Hearing DR01 Attachments"/>
          <xsd:enumeration value="Post Hearing DR01 eFiled/Filed"/>
          <xsd:enumeration value="Post Hearing DR02"/>
          <xsd:enumeration value="Post Hearing DR02 Attachments"/>
          <xsd:enumeration value="Post Hearing DR02 eFiled/Filed"/>
          <xsd:enumeration value="PSC DR02/Intervenors DR01"/>
          <xsd:enumeration value="PSC DR03/Intervenors DR02"/>
          <xsd:enumeration value="PSC DR04"/>
          <xsd:enumeration value="PSC DR05/Intervenors DR03"/>
          <xsd:enumeration value="PSC DR06"/>
        </xsd:restriction>
      </xsd:simpleType>
    </xsd:element>
    <xsd:element name="Data_x0020_Request_x0020_Question_x0020_No_x002e_" ma:index="9" nillable="true" ma:displayName="Data Request Question No." ma:format="Dropdown" ma:internalName="Data_x0020_Request_x0020_Question_x0020_No_x002e_" ma:readOnly="false">
      <xsd:simpleType>
        <xsd:restriction base="dms:Choice">
          <xsd:enumeration value="001"/>
          <xsd:enumeration value="002"/>
          <xsd:enumeration value="003"/>
          <xsd:enumeration value="004"/>
          <xsd:enumeration value="005"/>
          <xsd:enumeration value="006"/>
          <xsd:enumeration value="007"/>
          <xsd:enumeration value="008"/>
          <xsd:enumeration value="009"/>
          <xsd:enumeration value="010"/>
          <xsd:enumeration value="011"/>
          <xsd:enumeration value="012"/>
          <xsd:enumeration value="013"/>
          <xsd:enumeration value="014"/>
          <xsd:enumeration value="015"/>
          <xsd:enumeration value="016"/>
          <xsd:enumeration value="017"/>
          <xsd:enumeration value="018"/>
          <xsd:enumeration value="019"/>
          <xsd:enumeration value="020"/>
          <xsd:enumeration value="021"/>
          <xsd:enumeration value="022"/>
          <xsd:enumeration value="023"/>
          <xsd:enumeration value="024"/>
          <xsd:enumeration value="025"/>
          <xsd:enumeration value="026"/>
          <xsd:enumeration value="027"/>
          <xsd:enumeration value="028"/>
          <xsd:enumeration value="029"/>
          <xsd:enumeration value="030"/>
          <xsd:enumeration value="031"/>
          <xsd:enumeration value="032"/>
          <xsd:enumeration value="033"/>
          <xsd:enumeration value="034"/>
          <xsd:enumeration value="035"/>
          <xsd:enumeration value="036"/>
          <xsd:enumeration value="037"/>
          <xsd:enumeration value="038"/>
          <xsd:enumeration value="039"/>
          <xsd:enumeration value="040"/>
          <xsd:enumeration value="041"/>
          <xsd:enumeration value="042"/>
          <xsd:enumeration value="043"/>
          <xsd:enumeration value="044"/>
          <xsd:enumeration value="045"/>
          <xsd:enumeration value="046"/>
          <xsd:enumeration value="047"/>
          <xsd:enumeration value="048"/>
          <xsd:enumeration value="049"/>
          <xsd:enumeration value="050"/>
          <xsd:enumeration value="051"/>
          <xsd:enumeration value="052"/>
          <xsd:enumeration value="053"/>
          <xsd:enumeration value="054"/>
          <xsd:enumeration value="055"/>
          <xsd:enumeration value="056"/>
          <xsd:enumeration value="057"/>
          <xsd:enumeration value="058"/>
          <xsd:enumeration value="059"/>
          <xsd:enumeration value="060"/>
          <xsd:enumeration value="061"/>
          <xsd:enumeration value="062"/>
          <xsd:enumeration value="063"/>
          <xsd:enumeration value="064"/>
          <xsd:enumeration value="065"/>
          <xsd:enumeration value="066"/>
          <xsd:enumeration value="067"/>
          <xsd:enumeration value="068"/>
          <xsd:enumeration value="069"/>
          <xsd:enumeration value="070"/>
          <xsd:enumeration value="071"/>
          <xsd:enumeration value="072"/>
          <xsd:enumeration value="073"/>
          <xsd:enumeration value="074"/>
          <xsd:enumeration value="075"/>
          <xsd:enumeration value="076"/>
          <xsd:enumeration value="077"/>
          <xsd:enumeration value="078"/>
          <xsd:enumeration value="079"/>
          <xsd:enumeration value="080"/>
          <xsd:enumeration value="081"/>
          <xsd:enumeration value="082"/>
          <xsd:enumeration value="083"/>
          <xsd:enumeration value="084"/>
          <xsd:enumeration value="085"/>
          <xsd:enumeration value="086"/>
          <xsd:enumeration value="087"/>
          <xsd:enumeration value="088"/>
          <xsd:enumeration value="089"/>
          <xsd:enumeration value="090"/>
          <xsd:enumeration value="091"/>
          <xsd:enumeration value="092"/>
          <xsd:enumeration value="093"/>
          <xsd:enumeration value="094"/>
          <xsd:enumeration value="095"/>
          <xsd:enumeration value="096"/>
          <xsd:enumeration value="097"/>
          <xsd:enumeration value="098"/>
          <xsd:enumeration value="099"/>
          <xsd:enumeration value="100"/>
          <xsd:enumeration value="101"/>
          <xsd:enumeration value="102"/>
          <xsd:enumeration value="103"/>
          <xsd:enumeration value="104"/>
          <xsd:enumeration value="105"/>
          <xsd:enumeration value="106"/>
          <xsd:enumeration value="107"/>
          <xsd:enumeration value="108"/>
          <xsd:enumeration value="109"/>
          <xsd:enumeration value="110"/>
          <xsd:enumeration value="111"/>
          <xsd:enumeration value="112"/>
          <xsd:enumeration value="113"/>
          <xsd:enumeration value="114"/>
          <xsd:enumeration value="115"/>
          <xsd:enumeration value="116"/>
          <xsd:enumeration value="117"/>
          <xsd:enumeration value="118"/>
          <xsd:enumeration value="119"/>
          <xsd:enumeration value="120"/>
          <xsd:enumeration value="121"/>
          <xsd:enumeration value="122"/>
          <xsd:enumeration value="123"/>
          <xsd:enumeration value="124"/>
          <xsd:enumeration value="125"/>
          <xsd:enumeration value="126"/>
          <xsd:enumeration value="127"/>
          <xsd:enumeration value="128"/>
          <xsd:enumeration value="129"/>
          <xsd:enumeration value="130"/>
          <xsd:enumeration value="131"/>
          <xsd:enumeration value="132"/>
          <xsd:enumeration value="133"/>
          <xsd:enumeration value="134"/>
          <xsd:enumeration value="135"/>
          <xsd:enumeration value="136"/>
          <xsd:enumeration value="137"/>
          <xsd:enumeration value="138"/>
          <xsd:enumeration value="139"/>
          <xsd:enumeration value="140"/>
          <xsd:enumeration value="141"/>
          <xsd:enumeration value="142"/>
          <xsd:enumeration value="143"/>
          <xsd:enumeration value="144"/>
          <xsd:enumeration value="145"/>
          <xsd:enumeration value="146"/>
          <xsd:enumeration value="147"/>
          <xsd:enumeration value="148"/>
          <xsd:enumeration value="149"/>
          <xsd:enumeration value="150"/>
          <xsd:enumeration value="151"/>
          <xsd:enumeration value="152"/>
          <xsd:enumeration value="153"/>
          <xsd:enumeration value="154"/>
          <xsd:enumeration value="155"/>
          <xsd:enumeration value="156"/>
          <xsd:enumeration value="157"/>
          <xsd:enumeration value="158"/>
          <xsd:enumeration value="159"/>
          <xsd:enumeration value="160"/>
          <xsd:enumeration value="161"/>
          <xsd:enumeration value="162"/>
          <xsd:enumeration value="163"/>
          <xsd:enumeration value="164"/>
          <xsd:enumeration value="165"/>
          <xsd:enumeration value="166"/>
          <xsd:enumeration value="167"/>
          <xsd:enumeration value="168"/>
          <xsd:enumeration value="169"/>
          <xsd:enumeration value="170"/>
          <xsd:enumeration value="171"/>
          <xsd:enumeration value="172"/>
          <xsd:enumeration value="173"/>
          <xsd:enumeration value="174"/>
          <xsd:enumeration value="175"/>
          <xsd:enumeration value="176"/>
          <xsd:enumeration value="177"/>
          <xsd:enumeration value="178"/>
          <xsd:enumeration value="179"/>
          <xsd:enumeration value="180"/>
          <xsd:enumeration value="181"/>
          <xsd:enumeration value="182"/>
          <xsd:enumeration value="183"/>
          <xsd:enumeration value="184"/>
          <xsd:enumeration value="185"/>
          <xsd:enumeration value="186"/>
          <xsd:enumeration value="187"/>
          <xsd:enumeration value="188"/>
          <xsd:enumeration value="189"/>
          <xsd:enumeration value="190"/>
          <xsd:enumeration value="191"/>
          <xsd:enumeration value="192"/>
          <xsd:enumeration value="193"/>
          <xsd:enumeration value="194"/>
          <xsd:enumeration value="195"/>
          <xsd:enumeration value="196"/>
          <xsd:enumeration value="197"/>
          <xsd:enumeration value="198"/>
          <xsd:enumeration value="199"/>
          <xsd:enumeration value="200"/>
          <xsd:enumeration value="201"/>
          <xsd:enumeration value="202"/>
          <xsd:enumeration value="203"/>
          <xsd:enumeration value="204"/>
          <xsd:enumeration value="205"/>
          <xsd:enumeration value="206"/>
          <xsd:enumeration value="207"/>
          <xsd:enumeration value="208"/>
          <xsd:enumeration value="209"/>
          <xsd:enumeration value="210"/>
          <xsd:enumeration value="211"/>
          <xsd:enumeration value="212"/>
          <xsd:enumeration value="213"/>
          <xsd:enumeration value="214"/>
          <xsd:enumeration value="215"/>
          <xsd:enumeration value="216"/>
          <xsd:enumeration value="217"/>
          <xsd:enumeration value="218"/>
          <xsd:enumeration value="219"/>
          <xsd:enumeration value="220"/>
          <xsd:enumeration value="221"/>
          <xsd:enumeration value="222"/>
          <xsd:enumeration value="223"/>
          <xsd:enumeration value="224"/>
          <xsd:enumeration value="225"/>
          <xsd:enumeration value="226"/>
          <xsd:enumeration value="227"/>
          <xsd:enumeration value="228"/>
          <xsd:enumeration value="229"/>
          <xsd:enumeration value="230"/>
          <xsd:enumeration value="231"/>
          <xsd:enumeration value="232"/>
          <xsd:enumeration value="233"/>
          <xsd:enumeration value="234"/>
          <xsd:enumeration value="235"/>
          <xsd:enumeration value="236"/>
          <xsd:enumeration value="237"/>
          <xsd:enumeration value="238"/>
          <xsd:enumeration value="239"/>
          <xsd:enumeration value="240"/>
          <xsd:enumeration value="241"/>
          <xsd:enumeration value="242"/>
          <xsd:enumeration value="243"/>
          <xsd:enumeration value="244"/>
          <xsd:enumeration value="245"/>
          <xsd:enumeration value="246"/>
          <xsd:enumeration value="247"/>
          <xsd:enumeration value="248"/>
          <xsd:enumeration value="249"/>
          <xsd:enumeration value="250"/>
          <xsd:enumeration value="251"/>
          <xsd:enumeration value="252"/>
          <xsd:enumeration value="253"/>
          <xsd:enumeration value="254"/>
          <xsd:enumeration value="255"/>
          <xsd:enumeration value="256"/>
          <xsd:enumeration value="257"/>
          <xsd:enumeration value="258"/>
          <xsd:enumeration value="259"/>
          <xsd:enumeration value="260"/>
          <xsd:enumeration value="261"/>
          <xsd:enumeration value="262"/>
          <xsd:enumeration value="263"/>
          <xsd:enumeration value="264"/>
          <xsd:enumeration value="265"/>
          <xsd:enumeration value="266"/>
          <xsd:enumeration value="267"/>
          <xsd:enumeration value="268"/>
          <xsd:enumeration value="269"/>
          <xsd:enumeration value="270"/>
          <xsd:enumeration value="271"/>
          <xsd:enumeration value="272"/>
          <xsd:enumeration value="273"/>
          <xsd:enumeration value="274"/>
          <xsd:enumeration value="275"/>
          <xsd:enumeration value="276"/>
          <xsd:enumeration value="277"/>
          <xsd:enumeration value="278"/>
          <xsd:enumeration value="279"/>
          <xsd:enumeration value="280"/>
          <xsd:enumeration value="281"/>
          <xsd:enumeration value="282"/>
          <xsd:enumeration value="283"/>
          <xsd:enumeration value="284"/>
          <xsd:enumeration value="285"/>
          <xsd:enumeration value="286"/>
          <xsd:enumeration value="287"/>
          <xsd:enumeration value="288"/>
          <xsd:enumeration value="289"/>
          <xsd:enumeration value="290"/>
          <xsd:enumeration value="291"/>
          <xsd:enumeration value="292"/>
          <xsd:enumeration value="293"/>
          <xsd:enumeration value="294"/>
          <xsd:enumeration value="295"/>
          <xsd:enumeration value="296"/>
          <xsd:enumeration value="297"/>
          <xsd:enumeration value="298"/>
          <xsd:enumeration value="299"/>
          <xsd:enumeration value="300"/>
          <xsd:enumeration value="301"/>
          <xsd:enumeration value="302"/>
          <xsd:enumeration value="303"/>
          <xsd:enumeration value="304"/>
          <xsd:enumeration value="305"/>
          <xsd:enumeration value="306"/>
          <xsd:enumeration value="307"/>
          <xsd:enumeration value="308"/>
          <xsd:enumeration value="309"/>
          <xsd:enumeration value="310"/>
          <xsd:enumeration value="311"/>
          <xsd:enumeration value="312"/>
          <xsd:enumeration value="313"/>
          <xsd:enumeration value="314"/>
          <xsd:enumeration value="315"/>
          <xsd:enumeration value="316"/>
          <xsd:enumeration value="317"/>
          <xsd:enumeration value="318"/>
          <xsd:enumeration value="319"/>
          <xsd:enumeration value="320"/>
          <xsd:enumeration value="321"/>
          <xsd:enumeration value="322"/>
          <xsd:enumeration value="323"/>
          <xsd:enumeration value="324"/>
          <xsd:enumeration value="325"/>
          <xsd:enumeration value="326"/>
          <xsd:enumeration value="327"/>
          <xsd:enumeration value="328"/>
          <xsd:enumeration value="329"/>
          <xsd:enumeration value="330"/>
          <xsd:enumeration value="331"/>
          <xsd:enumeration value="332"/>
          <xsd:enumeration value="333"/>
          <xsd:enumeration value="334"/>
          <xsd:enumeration value="335"/>
          <xsd:enumeration value="336"/>
          <xsd:enumeration value="337"/>
          <xsd:enumeration value="338"/>
          <xsd:enumeration value="339"/>
          <xsd:enumeration value="340"/>
          <xsd:enumeration value="341"/>
          <xsd:enumeration value="342"/>
          <xsd:enumeration value="343"/>
          <xsd:enumeration value="344"/>
          <xsd:enumeration value="345"/>
          <xsd:enumeration value="346"/>
          <xsd:enumeration value="347"/>
          <xsd:enumeration value="348"/>
          <xsd:enumeration value="349"/>
          <xsd:enumeration value="350"/>
          <xsd:enumeration value="351"/>
          <xsd:enumeration value="352"/>
          <xsd:enumeration value="353"/>
          <xsd:enumeration value="354"/>
          <xsd:enumeration value="355"/>
          <xsd:enumeration value="356"/>
          <xsd:enumeration value="357"/>
          <xsd:enumeration value="358"/>
          <xsd:enumeration value="359"/>
          <xsd:enumeration value="360"/>
          <xsd:enumeration value="361"/>
          <xsd:enumeration value="362"/>
          <xsd:enumeration value="363"/>
          <xsd:enumeration value="364"/>
          <xsd:enumeration value="365"/>
          <xsd:enumeration value="366"/>
          <xsd:enumeration value="367"/>
          <xsd:enumeration value="368"/>
          <xsd:enumeration value="369"/>
          <xsd:enumeration value="370"/>
          <xsd:enumeration value="371"/>
          <xsd:enumeration value="372"/>
          <xsd:enumeration value="373"/>
          <xsd:enumeration value="374"/>
          <xsd:enumeration value="375"/>
          <xsd:enumeration value="376"/>
          <xsd:enumeration value="377"/>
          <xsd:enumeration value="378"/>
          <xsd:enumeration value="379"/>
          <xsd:enumeration value="380"/>
          <xsd:enumeration value="381"/>
          <xsd:enumeration value="382"/>
          <xsd:enumeration value="383"/>
          <xsd:enumeration value="384"/>
          <xsd:enumeration value="385"/>
          <xsd:enumeration value="386"/>
          <xsd:enumeration value="387"/>
          <xsd:enumeration value="388"/>
          <xsd:enumeration value="389"/>
          <xsd:enumeration value="390"/>
          <xsd:enumeration value="391"/>
          <xsd:enumeration value="392"/>
          <xsd:enumeration value="393"/>
          <xsd:enumeration value="394"/>
          <xsd:enumeration value="395"/>
          <xsd:enumeration value="396"/>
          <xsd:enumeration value="397"/>
          <xsd:enumeration value="398"/>
          <xsd:enumeration value="399"/>
          <xsd:enumeration value="400"/>
          <xsd:enumeration value="401"/>
          <xsd:enumeration value="402"/>
          <xsd:enumeration value="403"/>
          <xsd:enumeration value="404"/>
          <xsd:enumeration value="405"/>
          <xsd:enumeration value="406"/>
          <xsd:enumeration value="407"/>
          <xsd:enumeration value="408"/>
          <xsd:enumeration value="409"/>
          <xsd:enumeration value="410"/>
          <xsd:enumeration value="411"/>
          <xsd:enumeration value="412"/>
          <xsd:enumeration value="413"/>
          <xsd:enumeration value="414"/>
          <xsd:enumeration value="415"/>
          <xsd:enumeration value="416"/>
          <xsd:enumeration value="417"/>
          <xsd:enumeration value="418"/>
          <xsd:enumeration value="419"/>
          <xsd:enumeration value="420"/>
          <xsd:enumeration value="421"/>
          <xsd:enumeration value="422"/>
          <xsd:enumeration value="423"/>
          <xsd:enumeration value="424"/>
          <xsd:enumeration value="425"/>
          <xsd:enumeration value="426"/>
          <xsd:enumeration value="427"/>
          <xsd:enumeration value="428"/>
          <xsd:enumeration value="429"/>
          <xsd:enumeration value="430"/>
          <xsd:enumeration value="431"/>
          <xsd:enumeration value="432"/>
          <xsd:enumeration value="433"/>
          <xsd:enumeration value="434"/>
          <xsd:enumeration value="435"/>
          <xsd:enumeration value="436"/>
          <xsd:enumeration value="437"/>
          <xsd:enumeration value="438"/>
          <xsd:enumeration value="439"/>
          <xsd:enumeration value="440"/>
          <xsd:enumeration value="441"/>
        </xsd:restriction>
      </xsd:simpleType>
    </xsd:element>
    <xsd:element name="Tariff_x0020_Dev_x0020_Doc_x0020_Type" ma:index="10" nillable="true" ma:displayName="Tariff Dev Doc Type" ma:format="Dropdown" ma:internalName="Tariff_x0020_Dev_x0020_Doc_x0020_Type">
      <xsd:simpleType>
        <xsd:restriction base="dms:Choice">
          <xsd:enumeration value="Support"/>
          <xsd:enumeration value="Customer Communications"/>
          <xsd:enumeration value="Customer Service"/>
        </xsd:restriction>
      </xsd:simpleType>
    </xsd:element>
    <xsd:element name="Filed_x0020_Documents" ma:index="11" nillable="true" ma:displayName="Filed Documents (Internal Use Only)" ma:format="Dropdown" ma:internalName="Filed_x0020_Documents" ma:readOnly="false">
      <xsd:simpleType>
        <xsd:restriction base="dms:Choice">
          <xsd:enumeration value="Application/Filing Requirements/Testimony"/>
          <xsd:enumeration value="PSC DR 01"/>
          <xsd:enumeration value="PSC DR 02/Intervenor DR 01"/>
          <xsd:enumeration value="PSC DR 03/Intervenor DR 02"/>
          <xsd:enumeration value="PSC DR 04"/>
          <xsd:enumeration value="PSC DR 05"/>
          <xsd:enumeration value="PSC DR 06"/>
          <xsd:enumeration value="PSC Post Hearing DR01"/>
          <xsd:enumeration value="PSC Post Hearing DR02"/>
          <xsd:enumeration value="VSCC DR01"/>
          <xsd:enumeration value="VSCC DR02"/>
          <xsd:enumeration value="VSCC DR03"/>
          <xsd:enumeration value="VSCC DR04"/>
          <xsd:enumeration value="VSCC DR05"/>
          <xsd:enumeration value="VSCC DR06"/>
          <xsd:enumeration value="VSCC DR07"/>
          <xsd:enumeration value="VSCC DR08"/>
          <xsd:enumeration value="VSCC DR09"/>
          <xsd:enumeration value="VSCC DR10"/>
          <xsd:enumeration value="VSCC DR11"/>
          <xsd:enumeration value="VSCC DR12"/>
          <xsd:enumeration value="VSCC DR13"/>
          <xsd:enumeration value="Rebuttal Testimony"/>
          <xsd:enumeration value="Settlement Agreement"/>
          <xsd:enumeration value="Stipulation Testimony"/>
          <xsd:enumeration value="Post Hearing Briefs"/>
        </xsd:restriction>
      </xsd:simpleType>
    </xsd:element>
    <xsd:element name="Department" ma:index="18" nillable="true" ma:displayName="Department/Purpose" ma:format="Dropdown" ma:internalName="Department" ma:readOnly="false">
      <xsd:simpleType>
        <xsd:restriction base="dms:Choice">
          <xsd:enumeration value="Cost of Service"/>
          <xsd:enumeration value="Jurisdictional Separation Study"/>
          <xsd:enumeration value="Revenue Requirement"/>
          <xsd:enumeration value="Financial Planning &amp; Analysis"/>
          <xsd:enumeration value="Financial Reporting"/>
          <xsd:enumeration value="Sales Analysis &amp; Forecasting"/>
          <xsd:enumeration value="State Regulation &amp; Rates"/>
          <xsd:enumeration value="Tax Accounting &amp; Complianc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pany xmlns="54fcda00-7b58-44a7-b108-8bd10a8a08ba">
      <Value>KU</Value>
    </Company>
    <Tariff_x0020_Dev_x0020_Doc_x0020_Type xmlns="54fcda00-7b58-44a7-b108-8bd10a8a08ba" xsi:nil="true"/>
    <Filing_x0020_Requirement xmlns="54fcda00-7b58-44a7-b108-8bd10a8a08ba" xsi:nil="true"/>
    <Round xmlns="54fcda00-7b58-44a7-b108-8bd10a8a08ba">DR01 Attachments</Round>
    <FormData xmlns="http://schemas.microsoft.com/sharepoint/v3">&lt;?xml version="1.0" encoding="utf-8"?&gt;&lt;FormVariables&gt;&lt;Version /&gt;&lt;/FormVariables&gt;</FormData>
    <Data_x0020_Request_x0020_Question_x0020_No_x002e_ xmlns="54fcda00-7b58-44a7-b108-8bd10a8a08ba">188</Data_x0020_Request_x0020_Question_x0020_No_x002e_>
    <Year xmlns="54fcda00-7b58-44a7-b108-8bd10a8a08ba">2020</Year>
    <Document_x0020_Type xmlns="54fcda00-7b58-44a7-b108-8bd10a8a08ba">Data Requests</Document_x0020_Type>
    <Witness_x0020_Testimony xmlns="54fcda00-7b58-44a7-b108-8bd10a8a08ba" xsi:nil="true"/>
    <Intervemprs xmlns="54fcda00-7b58-44a7-b108-8bd10a8a08ba">Attorney General/KY Industrial Utility Customers - AG/KIUC</Intervemprs>
    <Filed_x0020_Documents xmlns="54fcda00-7b58-44a7-b108-8bd10a8a08ba" xsi:nil="true"/>
    <Department xmlns="54fcda00-7b58-44a7-b108-8bd10a8a08ba" xsi:nil="true"/>
  </documentManagement>
</p:properties>
</file>

<file path=customXml/item4.xml><?xml version="1.0" encoding="utf-8"?>
<?mso-contentType ?>
<FormTemplates xmlns="http://schemas.microsoft.com/sharepoint/v3/contenttype/forms">
  <Display>NFListDisplayForm</Display>
  <Edit>NFListEditForm</Edit>
  <New>NFListEditForm</New>
</FormTemplates>
</file>

<file path=customXml/item5.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Props1.xml><?xml version="1.0" encoding="utf-8"?>
<ds:datastoreItem xmlns:ds="http://schemas.openxmlformats.org/officeDocument/2006/customXml" ds:itemID="{762E46C8-1F83-4579-B964-E68F29D7ACF2}"/>
</file>

<file path=customXml/itemProps2.xml><?xml version="1.0" encoding="utf-8"?>
<ds:datastoreItem xmlns:ds="http://schemas.openxmlformats.org/officeDocument/2006/customXml" ds:itemID="{A55AFA2E-502F-477D-88E9-17C8AEF29278}"/>
</file>

<file path=customXml/itemProps3.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4.xml><?xml version="1.0" encoding="utf-8"?>
<ds:datastoreItem xmlns:ds="http://schemas.openxmlformats.org/officeDocument/2006/customXml" ds:itemID="{B337ACE7-17BB-4507-B43E-57DC2C70AEDE}"/>
</file>

<file path=customXml/itemProps5.xml><?xml version="1.0" encoding="utf-8"?>
<ds:datastoreItem xmlns:ds="http://schemas.openxmlformats.org/officeDocument/2006/customXml" ds:itemID="{5BCBDD5B-2DF6-4329-86D0-FBCFF79A6AD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WSS-29</vt:lpstr>
      <vt:lpstr>WSS-31</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'WSS-29'!Print_Area</vt:lpstr>
      <vt:lpstr>'WSS-31'!Print_Area</vt:lpstr>
      <vt:lpstr>'Billing Det'!Print_Titles</vt:lpstr>
      <vt:lpstr>'Jurisdictional Study'!Print_Titles</vt:lpstr>
      <vt:lpstr>'WSS-29'!Print_Titles</vt:lpstr>
      <vt:lpstr>'WSS-31'!Print_Titles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Wright, Samuel</cp:lastModifiedBy>
  <cp:lastPrinted>2020-11-18T23:19:38Z</cp:lastPrinted>
  <dcterms:created xsi:type="dcterms:W3CDTF">1999-02-10T22:20:33Z</dcterms:created>
  <dcterms:modified xsi:type="dcterms:W3CDTF">2021-01-16T16:55:33Z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0x0101002D0103853DF7894DB347713A7250CD66</vt:lpwstr>
  </property>
  <property fmtid="{D5CDD505-2E9C-101B-9397-08002B2CF9AE}" pid="3" name="MSIP_Label_d662fcd2-3ff9-4261-9b26-9dd5808d0bb4_Enabled">
    <vt:lpwstr>true</vt:lpwstr>
  </property>
  <property fmtid="{D5CDD505-2E9C-101B-9397-08002B2CF9AE}" pid="4" name="MSIP_Label_d662fcd2-3ff9-4261-9b26-9dd5808d0bb4_SetDate">
    <vt:lpwstr>2021-01-15T20:50:50Z</vt:lpwstr>
  </property>
  <property fmtid="{D5CDD505-2E9C-101B-9397-08002B2CF9AE}" pid="5" name="MSIP_Label_d662fcd2-3ff9-4261-9b26-9dd5808d0bb4_Method">
    <vt:lpwstr>Privileged</vt:lpwstr>
  </property>
  <property fmtid="{D5CDD505-2E9C-101B-9397-08002B2CF9AE}" pid="6" name="MSIP_Label_d662fcd2-3ff9-4261-9b26-9dd5808d0bb4_Name">
    <vt:lpwstr>d662fcd2-3ff9-4261-9b26-9dd5808d0bb4</vt:lpwstr>
  </property>
  <property fmtid="{D5CDD505-2E9C-101B-9397-08002B2CF9AE}" pid="7" name="MSIP_Label_d662fcd2-3ff9-4261-9b26-9dd5808d0bb4_SiteId">
    <vt:lpwstr>5ee3b0ba-a559-45ee-a69e-6d3e963a3e72</vt:lpwstr>
  </property>
  <property fmtid="{D5CDD505-2E9C-101B-9397-08002B2CF9AE}" pid="8" name="MSIP_Label_d662fcd2-3ff9-4261-9b26-9dd5808d0bb4_ActionId">
    <vt:lpwstr>6909c1de-6045-4986-add6-83a17b6b2420</vt:lpwstr>
  </property>
  <property fmtid="{D5CDD505-2E9C-101B-9397-08002B2CF9AE}" pid="9" name="MSIP_Label_d662fcd2-3ff9-4261-9b26-9dd5808d0bb4_ContentBits">
    <vt:lpwstr>0</vt:lpwstr>
  </property>
</Properties>
</file>