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General-Offices-GO-01\RATE\_NSPM Regulatory\MN Dockets\2013\13-0867 Community Solar Gardens\Value of Solar\2020 09-01 20210 VOS Calc\"/>
    </mc:Choice>
  </mc:AlternateContent>
  <xr:revisionPtr revIDLastSave="0" documentId="13_ncr:1_{79C8EDE8-BE5D-4B9A-8432-F6A5B3A86F3A}" xr6:coauthVersionLast="41" xr6:coauthVersionMax="41" xr10:uidLastSave="{00000000-0000-0000-0000-000000000000}"/>
  <bookViews>
    <workbookView xWindow="-120" yWindow="-120" windowWidth="29040" windowHeight="15840" tabRatio="850" firstSheet="4" activeTab="6" xr2:uid="{00000000-000D-0000-FFFF-FFFF00000000}"/>
  </bookViews>
  <sheets>
    <sheet name="Tariff" sheetId="22" state="hidden" r:id="rId1"/>
    <sheet name="Index" sheetId="16" r:id="rId2"/>
    <sheet name="Fig. ES-1" sheetId="1" r:id="rId3"/>
    <sheet name="Fig. ES-2 " sheetId="17" r:id="rId4"/>
    <sheet name="Table 3. Fixed Assumptions" sheetId="3" r:id="rId5"/>
    <sheet name="Table 4. Enviroment Costs" sheetId="4" r:id="rId6"/>
    <sheet name="Table 5. VOS Data Table" sheetId="2" r:id="rId7"/>
    <sheet name="Table 6. Azimuth and Tilt" sheetId="21" r:id="rId8"/>
    <sheet name="Table 8. Avoided Fuel Costs" sheetId="5" r:id="rId9"/>
    <sheet name="Table 9. Avoided Fixed O&amp;M" sheetId="6" r:id="rId10"/>
    <sheet name="Table 10. Avoided Variable O&amp;M" sheetId="7" r:id="rId11"/>
    <sheet name="Table 11. Avoided Gen. Cap." sheetId="8" r:id="rId12"/>
    <sheet name="Table 12. Avoided Reserve Cap. " sheetId="9" r:id="rId13"/>
    <sheet name="Table 13. Avoided Trans. Cap." sheetId="10" r:id="rId14"/>
    <sheet name="Table 14 Dist. Deferrable Cost" sheetId="20" r:id="rId15"/>
    <sheet name="Table 15. Avoided Dist - System" sheetId="11" r:id="rId16"/>
    <sheet name="Table 17. Avoided Enviromental" sheetId="12" r:id="rId17"/>
    <sheet name="Table 18. Inflation Adj. VOS" sheetId="19" r:id="rId18"/>
  </sheets>
  <definedNames>
    <definedName name="_xlnm.Print_Area" localSheetId="2">'Fig. ES-1'!$A$1:$I$18</definedName>
    <definedName name="_xlnm.Print_Area" localSheetId="3">'Fig. ES-2 '!$B$1:$M$30</definedName>
    <definedName name="_xlnm.Print_Area" localSheetId="1">Index!$A$1:$N$24</definedName>
    <definedName name="_xlnm.Print_Area" localSheetId="10">'Table 10. Avoided Variable O&amp;M'!$B$2:$J$33</definedName>
    <definedName name="_xlnm.Print_Area" localSheetId="11">'Table 11. Avoided Gen. Cap.'!$B$1:$N$32</definedName>
    <definedName name="_xlnm.Print_Area" localSheetId="12">'Table 12. Avoided Reserve Cap. '!$B$1:$N$32</definedName>
    <definedName name="_xlnm.Print_Area" localSheetId="13">'Table 13. Avoided Trans. Cap.'!$B$1:$M$32</definedName>
    <definedName name="_xlnm.Print_Area" localSheetId="14">'Table 14 Dist. Deferrable Cost'!$B$1:$I$18</definedName>
    <definedName name="_xlnm.Print_Area" localSheetId="15">'Table 15. Avoided Dist - System'!$B$1:$V$33</definedName>
    <definedName name="_xlnm.Print_Area" localSheetId="16">'Table 17. Avoided Enviromental'!$B$1:$M$33</definedName>
    <definedName name="_xlnm.Print_Area" localSheetId="17">'Table 18. Inflation Adj. VOS'!$B$1:$I$30</definedName>
    <definedName name="_xlnm.Print_Area" localSheetId="4">'Table 3. Fixed Assumptions'!$B$2:$H$24</definedName>
    <definedName name="_xlnm.Print_Area" localSheetId="5">'Table 4. Enviroment Costs'!$A$1:$K$31</definedName>
    <definedName name="_xlnm.Print_Area" localSheetId="6">'Table 5. VOS Data Table'!$B$1:$H$31</definedName>
    <definedName name="_xlnm.Print_Area" localSheetId="7">'Table 6. Azimuth and Tilt'!$B$2:$H$24</definedName>
    <definedName name="_xlnm.Print_Area" localSheetId="8">'Table 8. Avoided Fuel Costs'!$B$2:$M$33</definedName>
    <definedName name="_xlnm.Print_Area" localSheetId="9">'Table 9. Avoided Fixed O&amp;M'!$B$2:$M$32</definedName>
    <definedName name="solver_adj" localSheetId="6" hidden="1">'Table 5. VOS Data Table'!$G$17</definedName>
    <definedName name="solver_adj" localSheetId="8" hidden="1">'Table 8. Avoided Fuel Costs'!$G$7</definedName>
    <definedName name="solver_cvg" localSheetId="6" hidden="1">0.0001</definedName>
    <definedName name="solver_cvg" localSheetId="8" hidden="1">0.0001</definedName>
    <definedName name="solver_drv" localSheetId="6" hidden="1">1</definedName>
    <definedName name="solver_drv" localSheetId="8" hidden="1">1</definedName>
    <definedName name="solver_est" localSheetId="6" hidden="1">1</definedName>
    <definedName name="solver_est" localSheetId="8" hidden="1">1</definedName>
    <definedName name="solver_itr" localSheetId="6" hidden="1">100</definedName>
    <definedName name="solver_itr" localSheetId="8" hidden="1">100</definedName>
    <definedName name="solver_lin" localSheetId="6" hidden="1">2</definedName>
    <definedName name="solver_lin" localSheetId="8" hidden="1">2</definedName>
    <definedName name="solver_neg" localSheetId="6" hidden="1">2</definedName>
    <definedName name="solver_neg" localSheetId="8" hidden="1">2</definedName>
    <definedName name="solver_num" localSheetId="6" hidden="1">0</definedName>
    <definedName name="solver_num" localSheetId="8" hidden="1">0</definedName>
    <definedName name="solver_nwt" localSheetId="6" hidden="1">1</definedName>
    <definedName name="solver_nwt" localSheetId="8" hidden="1">1</definedName>
    <definedName name="solver_opt" localSheetId="6" hidden="1">'Table 5. VOS Data Table'!#REF!</definedName>
    <definedName name="solver_opt" localSheetId="8" hidden="1">'Table 8. Avoided Fuel Costs'!$M$34</definedName>
    <definedName name="solver_pre" localSheetId="6" hidden="1">0.000001</definedName>
    <definedName name="solver_pre" localSheetId="8" hidden="1">0.000001</definedName>
    <definedName name="solver_scl" localSheetId="6" hidden="1">2</definedName>
    <definedName name="solver_scl" localSheetId="8" hidden="1">2</definedName>
    <definedName name="solver_sho" localSheetId="6" hidden="1">2</definedName>
    <definedName name="solver_sho" localSheetId="8" hidden="1">2</definedName>
    <definedName name="solver_tim" localSheetId="6" hidden="1">100</definedName>
    <definedName name="solver_tim" localSheetId="8" hidden="1">100</definedName>
    <definedName name="solver_tol" localSheetId="6" hidden="1">0.05</definedName>
    <definedName name="solver_tol" localSheetId="8" hidden="1">0.05</definedName>
    <definedName name="solver_typ" localSheetId="6" hidden="1">3</definedName>
    <definedName name="solver_typ" localSheetId="8" hidden="1">3</definedName>
    <definedName name="solver_val" localSheetId="6" hidden="1">0.0028</definedName>
    <definedName name="solver_val" localSheetId="8" hidden="1">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8" i="11" l="1"/>
  <c r="G6" i="3" l="1"/>
  <c r="C6" i="11" l="1"/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C19" i="3" l="1"/>
  <c r="H7" i="5" l="1"/>
  <c r="E7" i="7"/>
  <c r="H6" i="8"/>
  <c r="H7" i="8" s="1"/>
  <c r="I6" i="9"/>
  <c r="I7" i="9" s="1"/>
  <c r="I8" i="9" s="1"/>
  <c r="I9" i="9" s="1"/>
  <c r="H6" i="10"/>
  <c r="H7" i="10" s="1"/>
  <c r="P6" i="11"/>
  <c r="P7" i="11" s="1"/>
  <c r="P8" i="11" s="1"/>
  <c r="P9" i="11" s="1"/>
  <c r="P10" i="11" s="1"/>
  <c r="P11" i="11" s="1"/>
  <c r="P12" i="11" s="1"/>
  <c r="P13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G7" i="12"/>
  <c r="G8" i="12" s="1"/>
  <c r="R12" i="8"/>
  <c r="Q15" i="8"/>
  <c r="L2" i="12"/>
  <c r="Q9" i="8"/>
  <c r="B5" i="19"/>
  <c r="E5" i="19" s="1"/>
  <c r="D7" i="12"/>
  <c r="D8" i="12" s="1"/>
  <c r="D9" i="12" s="1"/>
  <c r="B7" i="12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H7" i="11"/>
  <c r="D7" i="11"/>
  <c r="D8" i="11" s="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F18" i="20"/>
  <c r="D18" i="20"/>
  <c r="E16" i="20"/>
  <c r="E15" i="20"/>
  <c r="E14" i="20"/>
  <c r="E13" i="20"/>
  <c r="E12" i="20"/>
  <c r="E11" i="20"/>
  <c r="E10" i="20"/>
  <c r="E9" i="20"/>
  <c r="E8" i="20"/>
  <c r="E7" i="20"/>
  <c r="B7" i="20"/>
  <c r="B8" i="20" s="1"/>
  <c r="B9" i="20" s="1"/>
  <c r="B10" i="20" s="1"/>
  <c r="B11" i="20" s="1"/>
  <c r="B12" i="20" s="1"/>
  <c r="B13" i="20" s="1"/>
  <c r="B14" i="20" s="1"/>
  <c r="B15" i="20" s="1"/>
  <c r="B16" i="20" s="1"/>
  <c r="E7" i="10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C6" i="10"/>
  <c r="C7" i="10" s="1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F7" i="9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D6" i="9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R15" i="8"/>
  <c r="K15" i="8"/>
  <c r="K14" i="8"/>
  <c r="K13" i="8"/>
  <c r="Q12" i="8"/>
  <c r="K12" i="8"/>
  <c r="K11" i="8"/>
  <c r="K10" i="8"/>
  <c r="K9" i="8"/>
  <c r="K8" i="8"/>
  <c r="K7" i="8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D7" i="8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K6" i="8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C7" i="7"/>
  <c r="C8" i="7" s="1"/>
  <c r="C9" i="7" s="1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C30" i="6"/>
  <c r="K30" i="6" s="1"/>
  <c r="C29" i="6"/>
  <c r="K29" i="6" s="1"/>
  <c r="C28" i="6"/>
  <c r="C27" i="6"/>
  <c r="K27" i="6" s="1"/>
  <c r="C26" i="6"/>
  <c r="C25" i="6"/>
  <c r="K25" i="6" s="1"/>
  <c r="C24" i="6"/>
  <c r="K24" i="6" s="1"/>
  <c r="C23" i="6"/>
  <c r="K23" i="6" s="1"/>
  <c r="C22" i="6"/>
  <c r="K22" i="6" s="1"/>
  <c r="C21" i="17" s="1"/>
  <c r="C21" i="6"/>
  <c r="K21" i="6" s="1"/>
  <c r="C20" i="17" s="1"/>
  <c r="C20" i="6"/>
  <c r="K20" i="6" s="1"/>
  <c r="C19" i="6"/>
  <c r="K19" i="6" s="1"/>
  <c r="C18" i="19" s="1"/>
  <c r="C18" i="6"/>
  <c r="K18" i="6" s="1"/>
  <c r="C17" i="19" s="1"/>
  <c r="C17" i="6"/>
  <c r="K17" i="6" s="1"/>
  <c r="C16" i="19" s="1"/>
  <c r="C16" i="6"/>
  <c r="K16" i="6" s="1"/>
  <c r="C15" i="17" s="1"/>
  <c r="C15" i="6"/>
  <c r="K15" i="6" s="1"/>
  <c r="C14" i="19" s="1"/>
  <c r="C14" i="6"/>
  <c r="K14" i="6" s="1"/>
  <c r="C13" i="6"/>
  <c r="K13" i="6" s="1"/>
  <c r="C12" i="6"/>
  <c r="K12" i="6" s="1"/>
  <c r="C11" i="19" s="1"/>
  <c r="C11" i="6"/>
  <c r="K11" i="6" s="1"/>
  <c r="C10" i="19" s="1"/>
  <c r="C10" i="6"/>
  <c r="K10" i="6" s="1"/>
  <c r="C9" i="17" s="1"/>
  <c r="C9" i="6"/>
  <c r="C8" i="6"/>
  <c r="K8" i="6" s="1"/>
  <c r="E7" i="6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D7" i="6"/>
  <c r="D8" i="6" s="1"/>
  <c r="D9" i="6" s="1"/>
  <c r="D10" i="6" s="1"/>
  <c r="D11" i="6" s="1"/>
  <c r="C7" i="6"/>
  <c r="K7" i="6" s="1"/>
  <c r="C6" i="17" s="1"/>
  <c r="H6" i="6"/>
  <c r="H7" i="6" s="1"/>
  <c r="H8" i="6" s="1"/>
  <c r="C6" i="6"/>
  <c r="K6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P36" i="5"/>
  <c r="P26" i="5"/>
  <c r="C18" i="5"/>
  <c r="C17" i="5"/>
  <c r="P16" i="5"/>
  <c r="C16" i="5"/>
  <c r="C15" i="5"/>
  <c r="C14" i="5"/>
  <c r="P13" i="5"/>
  <c r="C13" i="5"/>
  <c r="C12" i="5"/>
  <c r="P11" i="5"/>
  <c r="C11" i="5"/>
  <c r="C10" i="5"/>
  <c r="P9" i="5"/>
  <c r="C9" i="5"/>
  <c r="P8" i="5"/>
  <c r="C8" i="5"/>
  <c r="P7" i="5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C7" i="5"/>
  <c r="D7" i="5" s="1"/>
  <c r="B7" i="5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F13" i="1"/>
  <c r="F12" i="1"/>
  <c r="D12" i="1"/>
  <c r="F11" i="1"/>
  <c r="D11" i="1"/>
  <c r="F10" i="1"/>
  <c r="D10" i="1"/>
  <c r="F9" i="1"/>
  <c r="D9" i="1"/>
  <c r="F8" i="1"/>
  <c r="F7" i="1"/>
  <c r="D7" i="1"/>
  <c r="F6" i="1"/>
  <c r="B5" i="1"/>
  <c r="H8" i="11"/>
  <c r="K6" i="10"/>
  <c r="E31" i="22"/>
  <c r="J31" i="22"/>
  <c r="I31" i="22"/>
  <c r="F31" i="22"/>
  <c r="C31" i="22"/>
  <c r="D31" i="22"/>
  <c r="G31" i="22"/>
  <c r="H31" i="22"/>
  <c r="K31" i="22"/>
  <c r="E5" i="22"/>
  <c r="E24" i="22"/>
  <c r="E6" i="22"/>
  <c r="E12" i="22"/>
  <c r="E17" i="22"/>
  <c r="E15" i="22"/>
  <c r="E9" i="22"/>
  <c r="E26" i="22"/>
  <c r="E20" i="22"/>
  <c r="E7" i="22"/>
  <c r="E21" i="22"/>
  <c r="E19" i="22"/>
  <c r="E14" i="22"/>
  <c r="E16" i="22"/>
  <c r="E10" i="22"/>
  <c r="E22" i="22"/>
  <c r="E11" i="22"/>
  <c r="E25" i="22"/>
  <c r="E23" i="22"/>
  <c r="E18" i="22"/>
  <c r="E28" i="22"/>
  <c r="E8" i="22"/>
  <c r="E13" i="22"/>
  <c r="E29" i="22"/>
  <c r="E27" i="22"/>
  <c r="J5" i="22"/>
  <c r="I5" i="22"/>
  <c r="F5" i="22"/>
  <c r="J24" i="22"/>
  <c r="J25" i="22"/>
  <c r="J28" i="22"/>
  <c r="J15" i="22"/>
  <c r="J22" i="22"/>
  <c r="J27" i="22"/>
  <c r="J21" i="22"/>
  <c r="J29" i="22"/>
  <c r="J14" i="22"/>
  <c r="J17" i="22"/>
  <c r="J19" i="22"/>
  <c r="J6" i="22"/>
  <c r="J10" i="22"/>
  <c r="J8" i="22"/>
  <c r="J16" i="22"/>
  <c r="J20" i="22"/>
  <c r="J13" i="22"/>
  <c r="J12" i="22"/>
  <c r="J7" i="22"/>
  <c r="J11" i="22"/>
  <c r="J9" i="22"/>
  <c r="J18" i="22"/>
  <c r="J26" i="22"/>
  <c r="J23" i="22"/>
  <c r="F15" i="22"/>
  <c r="F8" i="22"/>
  <c r="F12" i="22"/>
  <c r="I21" i="22"/>
  <c r="I29" i="22"/>
  <c r="F6" i="22"/>
  <c r="F26" i="22"/>
  <c r="F29" i="22"/>
  <c r="F28" i="22"/>
  <c r="I26" i="22"/>
  <c r="I22" i="22"/>
  <c r="I27" i="22"/>
  <c r="F21" i="22"/>
  <c r="I10" i="22"/>
  <c r="I16" i="22"/>
  <c r="F16" i="22"/>
  <c r="F22" i="22"/>
  <c r="F25" i="22"/>
  <c r="I14" i="22"/>
  <c r="I6" i="22"/>
  <c r="I9" i="22"/>
  <c r="I28" i="22"/>
  <c r="F14" i="22"/>
  <c r="F24" i="22"/>
  <c r="I11" i="22"/>
  <c r="I25" i="22"/>
  <c r="I18" i="22"/>
  <c r="F10" i="22"/>
  <c r="F18" i="22"/>
  <c r="F20" i="22"/>
  <c r="F17" i="22"/>
  <c r="F7" i="22"/>
  <c r="I23" i="22"/>
  <c r="I24" i="22"/>
  <c r="I7" i="22"/>
  <c r="I20" i="22"/>
  <c r="F27" i="22"/>
  <c r="F13" i="22"/>
  <c r="F11" i="22"/>
  <c r="F19" i="22"/>
  <c r="F9" i="22"/>
  <c r="F23" i="22"/>
  <c r="I17" i="22"/>
  <c r="I13" i="22"/>
  <c r="I19" i="22"/>
  <c r="I8" i="22"/>
  <c r="I12" i="22"/>
  <c r="I15" i="22"/>
  <c r="C5" i="22"/>
  <c r="D5" i="22"/>
  <c r="C19" i="22"/>
  <c r="C29" i="22"/>
  <c r="C21" i="22"/>
  <c r="C22" i="22"/>
  <c r="C26" i="22"/>
  <c r="C17" i="22"/>
  <c r="C12" i="22"/>
  <c r="C23" i="22"/>
  <c r="C11" i="22"/>
  <c r="C13" i="22"/>
  <c r="C27" i="22"/>
  <c r="C15" i="22"/>
  <c r="C6" i="22"/>
  <c r="C14" i="22"/>
  <c r="C9" i="22"/>
  <c r="C25" i="22"/>
  <c r="C28" i="22"/>
  <c r="C7" i="22"/>
  <c r="C16" i="22"/>
  <c r="C24" i="22"/>
  <c r="C8" i="22"/>
  <c r="C20" i="22"/>
  <c r="C18" i="22"/>
  <c r="C10" i="22"/>
  <c r="K5" i="22"/>
  <c r="H5" i="22"/>
  <c r="G5" i="22"/>
  <c r="D25" i="22"/>
  <c r="D17" i="22"/>
  <c r="D11" i="22"/>
  <c r="D10" i="22"/>
  <c r="D24" i="22"/>
  <c r="D29" i="22"/>
  <c r="D7" i="22"/>
  <c r="D6" i="22"/>
  <c r="D27" i="22"/>
  <c r="D26" i="22"/>
  <c r="D9" i="22"/>
  <c r="D19" i="22"/>
  <c r="D18" i="22"/>
  <c r="D23" i="22"/>
  <c r="D22" i="22"/>
  <c r="D28" i="22"/>
  <c r="D20" i="22"/>
  <c r="D8" i="22"/>
  <c r="D16" i="22"/>
  <c r="D12" i="22"/>
  <c r="D21" i="22"/>
  <c r="D15" i="22"/>
  <c r="D14" i="22"/>
  <c r="D13" i="22"/>
  <c r="G14" i="22"/>
  <c r="G24" i="22"/>
  <c r="G27" i="22"/>
  <c r="G22" i="22"/>
  <c r="G8" i="22"/>
  <c r="G19" i="22"/>
  <c r="K19" i="22"/>
  <c r="K18" i="22"/>
  <c r="K22" i="22"/>
  <c r="K8" i="22"/>
  <c r="K10" i="22"/>
  <c r="K16" i="22"/>
  <c r="G7" i="22"/>
  <c r="G21" i="22"/>
  <c r="G15" i="22"/>
  <c r="G20" i="22"/>
  <c r="G13" i="22"/>
  <c r="K28" i="22"/>
  <c r="K12" i="22"/>
  <c r="K7" i="22"/>
  <c r="K17" i="22"/>
  <c r="K27" i="22"/>
  <c r="G16" i="22"/>
  <c r="G23" i="22"/>
  <c r="G18" i="22"/>
  <c r="G12" i="22"/>
  <c r="G9" i="22"/>
  <c r="G10" i="22"/>
  <c r="G29" i="22"/>
  <c r="K6" i="22"/>
  <c r="K23" i="22"/>
  <c r="K9" i="22"/>
  <c r="K21" i="22"/>
  <c r="K20" i="22"/>
  <c r="K15" i="22"/>
  <c r="G28" i="22"/>
  <c r="G17" i="22"/>
  <c r="G11" i="22"/>
  <c r="G6" i="22"/>
  <c r="G25" i="22"/>
  <c r="G26" i="22"/>
  <c r="K14" i="22"/>
  <c r="K24" i="22"/>
  <c r="K11" i="22"/>
  <c r="K29" i="22"/>
  <c r="K13" i="22"/>
  <c r="K25" i="22"/>
  <c r="K26" i="22"/>
  <c r="H23" i="22"/>
  <c r="H29" i="22"/>
  <c r="H10" i="22"/>
  <c r="H13" i="22"/>
  <c r="H22" i="22"/>
  <c r="H28" i="22"/>
  <c r="H8" i="22"/>
  <c r="H14" i="22"/>
  <c r="H27" i="22"/>
  <c r="H17" i="22"/>
  <c r="H7" i="22"/>
  <c r="H16" i="22"/>
  <c r="H20" i="22"/>
  <c r="H6" i="22"/>
  <c r="H19" i="22"/>
  <c r="H11" i="22"/>
  <c r="H15" i="22"/>
  <c r="H26" i="22"/>
  <c r="H12" i="22"/>
  <c r="H9" i="22"/>
  <c r="H25" i="22"/>
  <c r="H24" i="22"/>
  <c r="H21" i="22"/>
  <c r="H18" i="22"/>
  <c r="B8" i="5" l="1"/>
  <c r="B5" i="17"/>
  <c r="P10" i="5"/>
  <c r="P12" i="5"/>
  <c r="P14" i="5"/>
  <c r="P15" i="5" s="1"/>
  <c r="R13" i="8"/>
  <c r="Q13" i="8" s="1"/>
  <c r="B6" i="19"/>
  <c r="E6" i="19" s="1"/>
  <c r="J20" i="12"/>
  <c r="P17" i="5"/>
  <c r="P18" i="5" s="1"/>
  <c r="P19" i="5" s="1"/>
  <c r="P20" i="5" s="1"/>
  <c r="P21" i="5" s="1"/>
  <c r="P22" i="5" s="1"/>
  <c r="P23" i="5" s="1"/>
  <c r="P24" i="5" s="1"/>
  <c r="P25" i="5" s="1"/>
  <c r="P27" i="5"/>
  <c r="P28" i="5" s="1"/>
  <c r="P29" i="5" s="1"/>
  <c r="P30" i="5" s="1"/>
  <c r="P31" i="5" s="1"/>
  <c r="P32" i="5" s="1"/>
  <c r="P33" i="5" s="1"/>
  <c r="P34" i="5" s="1"/>
  <c r="P35" i="5" s="1"/>
  <c r="H8" i="7"/>
  <c r="I10" i="6"/>
  <c r="L10" i="6" s="1"/>
  <c r="I7" i="6"/>
  <c r="L7" i="6" s="1"/>
  <c r="C6" i="19"/>
  <c r="C15" i="19"/>
  <c r="D5" i="17"/>
  <c r="I8" i="6"/>
  <c r="L8" i="6" s="1"/>
  <c r="D9" i="11"/>
  <c r="H9" i="11"/>
  <c r="I9" i="6"/>
  <c r="C16" i="17"/>
  <c r="F7" i="7"/>
  <c r="I7" i="7" s="1"/>
  <c r="K9" i="6"/>
  <c r="C11" i="17"/>
  <c r="C22" i="17"/>
  <c r="C22" i="19"/>
  <c r="C23" i="17"/>
  <c r="C23" i="19"/>
  <c r="C18" i="17"/>
  <c r="D10" i="12"/>
  <c r="D11" i="12" s="1"/>
  <c r="E11" i="12" s="1"/>
  <c r="E9" i="12"/>
  <c r="E8" i="12"/>
  <c r="E7" i="12"/>
  <c r="H7" i="12" s="1"/>
  <c r="K7" i="12" s="1"/>
  <c r="F7" i="5"/>
  <c r="I7" i="5" s="1"/>
  <c r="L7" i="5" s="1"/>
  <c r="J22" i="12"/>
  <c r="F6" i="10"/>
  <c r="I6" i="10" s="1"/>
  <c r="L6" i="10" s="1"/>
  <c r="C13" i="19"/>
  <c r="C13" i="17"/>
  <c r="C24" i="19"/>
  <c r="C24" i="17"/>
  <c r="C26" i="17"/>
  <c r="C26" i="19"/>
  <c r="C5" i="17"/>
  <c r="C5" i="19"/>
  <c r="C12" i="19"/>
  <c r="C12" i="17"/>
  <c r="C10" i="7"/>
  <c r="H9" i="7"/>
  <c r="C19" i="19"/>
  <c r="C19" i="17"/>
  <c r="C21" i="19"/>
  <c r="I6" i="6"/>
  <c r="L6" i="6" s="1"/>
  <c r="C17" i="17"/>
  <c r="C20" i="19"/>
  <c r="C9" i="19"/>
  <c r="J15" i="12"/>
  <c r="J31" i="12"/>
  <c r="C14" i="17"/>
  <c r="C7" i="19"/>
  <c r="C7" i="17"/>
  <c r="K28" i="6"/>
  <c r="C29" i="17"/>
  <c r="C29" i="19"/>
  <c r="C28" i="19"/>
  <c r="C28" i="17"/>
  <c r="D12" i="6"/>
  <c r="I11" i="6"/>
  <c r="L11" i="6" s="1"/>
  <c r="K26" i="6"/>
  <c r="C10" i="17"/>
  <c r="C8" i="10"/>
  <c r="K7" i="10"/>
  <c r="F7" i="10"/>
  <c r="I7" i="10" s="1"/>
  <c r="F6" i="6"/>
  <c r="H8" i="12"/>
  <c r="D5" i="19"/>
  <c r="Q17" i="8"/>
  <c r="H8" i="8"/>
  <c r="F7" i="6"/>
  <c r="H8" i="10"/>
  <c r="D6" i="19"/>
  <c r="G9" i="12"/>
  <c r="I10" i="9"/>
  <c r="H9" i="6"/>
  <c r="F8" i="6"/>
  <c r="H8" i="5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E8" i="7"/>
  <c r="C19" i="5"/>
  <c r="J11" i="12"/>
  <c r="J27" i="12"/>
  <c r="J16" i="12"/>
  <c r="J13" i="12"/>
  <c r="J18" i="12"/>
  <c r="J9" i="12"/>
  <c r="J19" i="12"/>
  <c r="J8" i="12"/>
  <c r="J24" i="12"/>
  <c r="J25" i="12"/>
  <c r="J10" i="12"/>
  <c r="J26" i="12"/>
  <c r="J21" i="12"/>
  <c r="J23" i="12"/>
  <c r="J12" i="12"/>
  <c r="J28" i="12"/>
  <c r="J29" i="12"/>
  <c r="J14" i="12"/>
  <c r="J30" i="12"/>
  <c r="D8" i="5"/>
  <c r="J17" i="12"/>
  <c r="E6" i="11"/>
  <c r="F6" i="11" s="1"/>
  <c r="C7" i="11"/>
  <c r="B9" i="5" l="1"/>
  <c r="B6" i="17"/>
  <c r="D6" i="17" s="1"/>
  <c r="B7" i="19"/>
  <c r="Q18" i="8"/>
  <c r="C6" i="8" s="1"/>
  <c r="L9" i="6"/>
  <c r="E10" i="12"/>
  <c r="D12" i="12"/>
  <c r="E12" i="12" s="1"/>
  <c r="L7" i="10"/>
  <c r="H10" i="11"/>
  <c r="D10" i="11"/>
  <c r="C8" i="19"/>
  <c r="C8" i="17"/>
  <c r="H9" i="12"/>
  <c r="K9" i="12" s="1"/>
  <c r="F8" i="10"/>
  <c r="I8" i="10" s="1"/>
  <c r="H10" i="7"/>
  <c r="C11" i="7"/>
  <c r="C9" i="10"/>
  <c r="K8" i="10"/>
  <c r="C25" i="17"/>
  <c r="C25" i="19"/>
  <c r="I12" i="6"/>
  <c r="L12" i="6" s="1"/>
  <c r="D13" i="6"/>
  <c r="C27" i="17"/>
  <c r="C27" i="19"/>
  <c r="E7" i="19"/>
  <c r="B8" i="19"/>
  <c r="H9" i="10"/>
  <c r="D7" i="19"/>
  <c r="H9" i="8"/>
  <c r="I11" i="9"/>
  <c r="G10" i="12"/>
  <c r="H10" i="6"/>
  <c r="F9" i="6"/>
  <c r="E9" i="7"/>
  <c r="F8" i="7"/>
  <c r="I8" i="7" s="1"/>
  <c r="F8" i="5"/>
  <c r="K8" i="5"/>
  <c r="K8" i="12"/>
  <c r="C20" i="5"/>
  <c r="E7" i="11"/>
  <c r="F7" i="11" s="1"/>
  <c r="I7" i="11"/>
  <c r="J7" i="11" s="1"/>
  <c r="C8" i="11"/>
  <c r="B7" i="17" l="1"/>
  <c r="D7" i="17" s="1"/>
  <c r="B10" i="5"/>
  <c r="D9" i="5"/>
  <c r="C22" i="8"/>
  <c r="C22" i="9" s="1"/>
  <c r="L22" i="9" s="1"/>
  <c r="C19" i="8"/>
  <c r="C19" i="9" s="1"/>
  <c r="L19" i="9" s="1"/>
  <c r="C21" i="8"/>
  <c r="C21" i="9" s="1"/>
  <c r="L21" i="9" s="1"/>
  <c r="C14" i="8"/>
  <c r="C14" i="9" s="1"/>
  <c r="L14" i="9" s="1"/>
  <c r="C13" i="8"/>
  <c r="C13" i="9" s="1"/>
  <c r="L13" i="9" s="1"/>
  <c r="C8" i="8"/>
  <c r="C8" i="9" s="1"/>
  <c r="L8" i="9" s="1"/>
  <c r="C25" i="8"/>
  <c r="C25" i="9" s="1"/>
  <c r="L25" i="9" s="1"/>
  <c r="C23" i="8"/>
  <c r="C23" i="9" s="1"/>
  <c r="L23" i="9" s="1"/>
  <c r="C17" i="8"/>
  <c r="C17" i="9" s="1"/>
  <c r="L17" i="9" s="1"/>
  <c r="C10" i="8"/>
  <c r="C10" i="9" s="1"/>
  <c r="L10" i="9" s="1"/>
  <c r="C20" i="8"/>
  <c r="C20" i="9" s="1"/>
  <c r="L20" i="9" s="1"/>
  <c r="C27" i="8"/>
  <c r="C27" i="9" s="1"/>
  <c r="L27" i="9" s="1"/>
  <c r="C29" i="8"/>
  <c r="C29" i="9" s="1"/>
  <c r="L29" i="9" s="1"/>
  <c r="C12" i="8"/>
  <c r="C12" i="9" s="1"/>
  <c r="L12" i="9" s="1"/>
  <c r="F6" i="8"/>
  <c r="I6" i="8" s="1"/>
  <c r="L6" i="8" s="1"/>
  <c r="C6" i="9"/>
  <c r="L6" i="9" s="1"/>
  <c r="C28" i="8"/>
  <c r="C28" i="9" s="1"/>
  <c r="L28" i="9" s="1"/>
  <c r="C16" i="8"/>
  <c r="C16" i="9" s="1"/>
  <c r="L16" i="9" s="1"/>
  <c r="C30" i="8"/>
  <c r="C30" i="9" s="1"/>
  <c r="L30" i="9" s="1"/>
  <c r="C18" i="8"/>
  <c r="C18" i="9" s="1"/>
  <c r="L18" i="9" s="1"/>
  <c r="C26" i="8"/>
  <c r="C26" i="9" s="1"/>
  <c r="L26" i="9" s="1"/>
  <c r="C9" i="8"/>
  <c r="C9" i="9" s="1"/>
  <c r="L9" i="9" s="1"/>
  <c r="C24" i="8"/>
  <c r="C24" i="9" s="1"/>
  <c r="L24" i="9" s="1"/>
  <c r="C15" i="8"/>
  <c r="C15" i="9" s="1"/>
  <c r="L15" i="9" s="1"/>
  <c r="C11" i="8"/>
  <c r="C11" i="9" s="1"/>
  <c r="L11" i="9" s="1"/>
  <c r="C7" i="8"/>
  <c r="C7" i="9" s="1"/>
  <c r="H10" i="12"/>
  <c r="K10" i="12" s="1"/>
  <c r="D13" i="12"/>
  <c r="E13" i="12" s="1"/>
  <c r="D11" i="11"/>
  <c r="H11" i="11"/>
  <c r="L8" i="10"/>
  <c r="F9" i="10"/>
  <c r="I9" i="10" s="1"/>
  <c r="H11" i="7"/>
  <c r="C12" i="7"/>
  <c r="D14" i="6"/>
  <c r="I13" i="6"/>
  <c r="L13" i="6" s="1"/>
  <c r="E8" i="19"/>
  <c r="B9" i="19"/>
  <c r="C10" i="10"/>
  <c r="K9" i="10"/>
  <c r="G11" i="12"/>
  <c r="G12" i="12" s="1"/>
  <c r="D8" i="19"/>
  <c r="H10" i="10"/>
  <c r="H11" i="10" s="1"/>
  <c r="H10" i="8"/>
  <c r="I12" i="9"/>
  <c r="F10" i="6"/>
  <c r="H11" i="6"/>
  <c r="E10" i="7"/>
  <c r="F9" i="7"/>
  <c r="I9" i="7" s="1"/>
  <c r="C21" i="5"/>
  <c r="I8" i="5"/>
  <c r="L8" i="5" s="1"/>
  <c r="C9" i="11"/>
  <c r="I8" i="11"/>
  <c r="J8" i="11" s="1"/>
  <c r="E8" i="11"/>
  <c r="F8" i="11" s="1"/>
  <c r="K9" i="5" l="1"/>
  <c r="F9" i="5"/>
  <c r="I9" i="5" s="1"/>
  <c r="L9" i="5" s="1"/>
  <c r="B11" i="5"/>
  <c r="B8" i="17"/>
  <c r="D8" i="17" s="1"/>
  <c r="D10" i="5"/>
  <c r="G11" i="9"/>
  <c r="J11" i="9" s="1"/>
  <c r="M11" i="9" s="1"/>
  <c r="D14" i="12"/>
  <c r="E14" i="12" s="1"/>
  <c r="G8" i="9"/>
  <c r="J8" i="9" s="1"/>
  <c r="M8" i="9" s="1"/>
  <c r="G10" i="9"/>
  <c r="J10" i="9" s="1"/>
  <c r="M10" i="9" s="1"/>
  <c r="F7" i="8"/>
  <c r="I7" i="8" s="1"/>
  <c r="L7" i="8" s="1"/>
  <c r="G6" i="9"/>
  <c r="J6" i="9" s="1"/>
  <c r="M6" i="9" s="1"/>
  <c r="F9" i="8"/>
  <c r="I9" i="8" s="1"/>
  <c r="L9" i="8" s="1"/>
  <c r="F8" i="8"/>
  <c r="I8" i="8" s="1"/>
  <c r="L8" i="8" s="1"/>
  <c r="G9" i="9"/>
  <c r="J9" i="9" s="1"/>
  <c r="M9" i="9" s="1"/>
  <c r="L9" i="10"/>
  <c r="H11" i="12"/>
  <c r="K11" i="12" s="1"/>
  <c r="D9" i="19"/>
  <c r="H12" i="11"/>
  <c r="D12" i="11"/>
  <c r="C13" i="7"/>
  <c r="H12" i="7"/>
  <c r="K10" i="10"/>
  <c r="C11" i="10"/>
  <c r="F11" i="10" s="1"/>
  <c r="I11" i="10" s="1"/>
  <c r="E9" i="19"/>
  <c r="B10" i="19"/>
  <c r="D15" i="6"/>
  <c r="I14" i="6"/>
  <c r="L14" i="6" s="1"/>
  <c r="D15" i="12"/>
  <c r="F10" i="10"/>
  <c r="I10" i="10" s="1"/>
  <c r="L7" i="9"/>
  <c r="G7" i="9"/>
  <c r="J7" i="9" s="1"/>
  <c r="H11" i="8"/>
  <c r="F10" i="8"/>
  <c r="I10" i="8" s="1"/>
  <c r="L10" i="8" s="1"/>
  <c r="G12" i="9"/>
  <c r="I13" i="9"/>
  <c r="F11" i="6"/>
  <c r="H12" i="6"/>
  <c r="H12" i="10"/>
  <c r="F10" i="7"/>
  <c r="I10" i="7" s="1"/>
  <c r="E11" i="7"/>
  <c r="H12" i="12"/>
  <c r="K12" i="12" s="1"/>
  <c r="D10" i="19"/>
  <c r="G13" i="12"/>
  <c r="C22" i="5"/>
  <c r="C10" i="11"/>
  <c r="E9" i="11"/>
  <c r="F9" i="11" s="1"/>
  <c r="I9" i="11"/>
  <c r="J9" i="11" s="1"/>
  <c r="F10" i="5" l="1"/>
  <c r="I10" i="5" s="1"/>
  <c r="K10" i="5"/>
  <c r="B9" i="17"/>
  <c r="D9" i="17" s="1"/>
  <c r="D11" i="5"/>
  <c r="B12" i="5"/>
  <c r="L10" i="10"/>
  <c r="H13" i="11"/>
  <c r="D13" i="11"/>
  <c r="C14" i="7"/>
  <c r="H13" i="7"/>
  <c r="E10" i="19"/>
  <c r="B11" i="19"/>
  <c r="K11" i="10"/>
  <c r="L11" i="10" s="1"/>
  <c r="C12" i="10"/>
  <c r="F12" i="10" s="1"/>
  <c r="I12" i="10" s="1"/>
  <c r="D16" i="12"/>
  <c r="E15" i="12"/>
  <c r="I15" i="6"/>
  <c r="L15" i="6" s="1"/>
  <c r="D16" i="6"/>
  <c r="M7" i="9"/>
  <c r="F11" i="8"/>
  <c r="I11" i="8" s="1"/>
  <c r="L11" i="8" s="1"/>
  <c r="H12" i="8"/>
  <c r="G13" i="9"/>
  <c r="I14" i="9"/>
  <c r="J12" i="9"/>
  <c r="M12" i="9" s="1"/>
  <c r="H13" i="10"/>
  <c r="H13" i="6"/>
  <c r="F12" i="6"/>
  <c r="G14" i="12"/>
  <c r="D11" i="19"/>
  <c r="H13" i="12"/>
  <c r="K13" i="12" s="1"/>
  <c r="F11" i="7"/>
  <c r="I11" i="7" s="1"/>
  <c r="E12" i="7"/>
  <c r="C23" i="5"/>
  <c r="C11" i="11"/>
  <c r="E11" i="11" s="1"/>
  <c r="I10" i="11"/>
  <c r="J10" i="11" s="1"/>
  <c r="E10" i="11"/>
  <c r="F10" i="11" s="1"/>
  <c r="B10" i="17" l="1"/>
  <c r="D10" i="17" s="1"/>
  <c r="B13" i="5"/>
  <c r="D12" i="5"/>
  <c r="F11" i="5"/>
  <c r="I11" i="5" s="1"/>
  <c r="K11" i="5"/>
  <c r="L10" i="5"/>
  <c r="D14" i="11"/>
  <c r="H14" i="11"/>
  <c r="C15" i="7"/>
  <c r="H14" i="7"/>
  <c r="C13" i="10"/>
  <c r="K12" i="10"/>
  <c r="L12" i="10" s="1"/>
  <c r="D17" i="12"/>
  <c r="E16" i="12"/>
  <c r="I16" i="6"/>
  <c r="L16" i="6" s="1"/>
  <c r="D17" i="6"/>
  <c r="E11" i="19"/>
  <c r="B12" i="19"/>
  <c r="J13" i="9"/>
  <c r="M13" i="9" s="1"/>
  <c r="H13" i="8"/>
  <c r="F12" i="8"/>
  <c r="I12" i="8" s="1"/>
  <c r="L12" i="8" s="1"/>
  <c r="G14" i="9"/>
  <c r="I15" i="9"/>
  <c r="H14" i="6"/>
  <c r="F13" i="6"/>
  <c r="H14" i="10"/>
  <c r="F13" i="10"/>
  <c r="I13" i="10" s="1"/>
  <c r="E13" i="7"/>
  <c r="F12" i="7"/>
  <c r="I12" i="7" s="1"/>
  <c r="H14" i="12"/>
  <c r="K14" i="12" s="1"/>
  <c r="G15" i="12"/>
  <c r="D12" i="19"/>
  <c r="C24" i="5"/>
  <c r="C12" i="11"/>
  <c r="F11" i="11"/>
  <c r="I11" i="11"/>
  <c r="J11" i="11" s="1"/>
  <c r="L11" i="5" l="1"/>
  <c r="F12" i="5"/>
  <c r="I12" i="5" s="1"/>
  <c r="K12" i="5"/>
  <c r="B11" i="17"/>
  <c r="D11" i="17" s="1"/>
  <c r="B14" i="5"/>
  <c r="D13" i="5"/>
  <c r="D15" i="11"/>
  <c r="H15" i="11"/>
  <c r="H15" i="7"/>
  <c r="C16" i="7"/>
  <c r="E17" i="12"/>
  <c r="D18" i="12"/>
  <c r="B13" i="19"/>
  <c r="E12" i="19"/>
  <c r="D18" i="6"/>
  <c r="I17" i="6"/>
  <c r="L17" i="6" s="1"/>
  <c r="C14" i="10"/>
  <c r="K13" i="10"/>
  <c r="L13" i="10" s="1"/>
  <c r="H14" i="8"/>
  <c r="F13" i="8"/>
  <c r="I13" i="8" s="1"/>
  <c r="L13" i="8" s="1"/>
  <c r="G15" i="9"/>
  <c r="I16" i="9"/>
  <c r="J14" i="9"/>
  <c r="M14" i="9" s="1"/>
  <c r="F14" i="6"/>
  <c r="H15" i="6"/>
  <c r="G16" i="12"/>
  <c r="H15" i="12"/>
  <c r="K15" i="12" s="1"/>
  <c r="D13" i="19"/>
  <c r="E14" i="7"/>
  <c r="F13" i="7"/>
  <c r="I13" i="7" s="1"/>
  <c r="H15" i="10"/>
  <c r="C25" i="5"/>
  <c r="C13" i="11"/>
  <c r="I12" i="11"/>
  <c r="J12" i="11" s="1"/>
  <c r="E12" i="11"/>
  <c r="F12" i="11" s="1"/>
  <c r="F13" i="5" l="1"/>
  <c r="I13" i="5" s="1"/>
  <c r="K13" i="5"/>
  <c r="B12" i="17"/>
  <c r="D12" i="17" s="1"/>
  <c r="B15" i="5"/>
  <c r="D14" i="5"/>
  <c r="L12" i="5"/>
  <c r="D16" i="11"/>
  <c r="H16" i="11"/>
  <c r="H16" i="7"/>
  <c r="C17" i="7"/>
  <c r="D19" i="6"/>
  <c r="I18" i="6"/>
  <c r="L18" i="6" s="1"/>
  <c r="D19" i="12"/>
  <c r="E18" i="12"/>
  <c r="B14" i="19"/>
  <c r="E13" i="19"/>
  <c r="K14" i="10"/>
  <c r="C15" i="10"/>
  <c r="F15" i="10" s="1"/>
  <c r="I15" i="10" s="1"/>
  <c r="F14" i="10"/>
  <c r="I14" i="10" s="1"/>
  <c r="J15" i="9"/>
  <c r="M15" i="9" s="1"/>
  <c r="H15" i="8"/>
  <c r="F14" i="8"/>
  <c r="I14" i="8" s="1"/>
  <c r="L14" i="8" s="1"/>
  <c r="G16" i="9"/>
  <c r="I17" i="9"/>
  <c r="F15" i="6"/>
  <c r="H16" i="6"/>
  <c r="H16" i="12"/>
  <c r="K16" i="12" s="1"/>
  <c r="G17" i="12"/>
  <c r="D14" i="19"/>
  <c r="F14" i="7"/>
  <c r="I14" i="7" s="1"/>
  <c r="E15" i="7"/>
  <c r="H16" i="10"/>
  <c r="C26" i="5"/>
  <c r="E13" i="11"/>
  <c r="F13" i="11" s="1"/>
  <c r="C14" i="11"/>
  <c r="I13" i="11"/>
  <c r="J13" i="11" s="1"/>
  <c r="F14" i="5" l="1"/>
  <c r="I14" i="5" s="1"/>
  <c r="K14" i="5"/>
  <c r="B13" i="17"/>
  <c r="D13" i="17" s="1"/>
  <c r="B16" i="5"/>
  <c r="D15" i="5"/>
  <c r="L13" i="5"/>
  <c r="L14" i="10"/>
  <c r="D17" i="11"/>
  <c r="H17" i="11"/>
  <c r="C18" i="7"/>
  <c r="H17" i="7"/>
  <c r="E14" i="19"/>
  <c r="B15" i="19"/>
  <c r="E19" i="12"/>
  <c r="D20" i="12"/>
  <c r="C16" i="10"/>
  <c r="F16" i="10" s="1"/>
  <c r="I16" i="10" s="1"/>
  <c r="K15" i="10"/>
  <c r="L15" i="10" s="1"/>
  <c r="I19" i="6"/>
  <c r="L19" i="6" s="1"/>
  <c r="D20" i="6"/>
  <c r="F15" i="8"/>
  <c r="I15" i="8" s="1"/>
  <c r="L15" i="8" s="1"/>
  <c r="H16" i="8"/>
  <c r="G17" i="9"/>
  <c r="I18" i="9"/>
  <c r="J16" i="9"/>
  <c r="M16" i="9" s="1"/>
  <c r="H17" i="10"/>
  <c r="F15" i="7"/>
  <c r="I15" i="7" s="1"/>
  <c r="E16" i="7"/>
  <c r="H17" i="6"/>
  <c r="F16" i="6"/>
  <c r="G18" i="12"/>
  <c r="D15" i="19"/>
  <c r="H17" i="12"/>
  <c r="K17" i="12" s="1"/>
  <c r="C27" i="5"/>
  <c r="I14" i="11"/>
  <c r="J14" i="11" s="1"/>
  <c r="C15" i="11"/>
  <c r="E14" i="11"/>
  <c r="F14" i="11" s="1"/>
  <c r="F15" i="5" l="1"/>
  <c r="I15" i="5" s="1"/>
  <c r="K15" i="5"/>
  <c r="B17" i="5"/>
  <c r="B14" i="17"/>
  <c r="D14" i="17" s="1"/>
  <c r="D16" i="5"/>
  <c r="L14" i="5"/>
  <c r="H18" i="11"/>
  <c r="D18" i="11"/>
  <c r="C19" i="7"/>
  <c r="H18" i="7"/>
  <c r="D21" i="6"/>
  <c r="I20" i="6"/>
  <c r="L20" i="6" s="1"/>
  <c r="E15" i="19"/>
  <c r="B16" i="19"/>
  <c r="K16" i="10"/>
  <c r="L16" i="10" s="1"/>
  <c r="C17" i="10"/>
  <c r="E20" i="12"/>
  <c r="D21" i="12"/>
  <c r="H17" i="8"/>
  <c r="F16" i="8"/>
  <c r="I16" i="8" s="1"/>
  <c r="L16" i="8" s="1"/>
  <c r="J17" i="9"/>
  <c r="M17" i="9" s="1"/>
  <c r="G18" i="9"/>
  <c r="I19" i="9"/>
  <c r="H18" i="6"/>
  <c r="F17" i="6"/>
  <c r="H18" i="12"/>
  <c r="K18" i="12" s="1"/>
  <c r="G19" i="12"/>
  <c r="D16" i="19"/>
  <c r="E17" i="7"/>
  <c r="F16" i="7"/>
  <c r="I16" i="7" s="1"/>
  <c r="H18" i="10"/>
  <c r="F17" i="10"/>
  <c r="I17" i="10" s="1"/>
  <c r="C28" i="5"/>
  <c r="E15" i="11"/>
  <c r="F15" i="11" s="1"/>
  <c r="C16" i="11"/>
  <c r="I15" i="11"/>
  <c r="J15" i="11" s="1"/>
  <c r="F16" i="5" l="1"/>
  <c r="I16" i="5" s="1"/>
  <c r="K16" i="5"/>
  <c r="B18" i="5"/>
  <c r="B15" i="17"/>
  <c r="D15" i="17" s="1"/>
  <c r="D17" i="5"/>
  <c r="L15" i="5"/>
  <c r="D19" i="11"/>
  <c r="H19" i="11"/>
  <c r="H19" i="7"/>
  <c r="C20" i="7"/>
  <c r="E16" i="19"/>
  <c r="B17" i="19"/>
  <c r="E21" i="12"/>
  <c r="D22" i="12"/>
  <c r="D22" i="6"/>
  <c r="I21" i="6"/>
  <c r="L21" i="6" s="1"/>
  <c r="C18" i="10"/>
  <c r="F18" i="10" s="1"/>
  <c r="I18" i="10" s="1"/>
  <c r="K17" i="10"/>
  <c r="L17" i="10" s="1"/>
  <c r="G19" i="9"/>
  <c r="I20" i="9"/>
  <c r="J18" i="9"/>
  <c r="M18" i="9" s="1"/>
  <c r="H18" i="8"/>
  <c r="F17" i="8"/>
  <c r="I17" i="8" s="1"/>
  <c r="L17" i="8" s="1"/>
  <c r="H19" i="10"/>
  <c r="E18" i="7"/>
  <c r="F17" i="7"/>
  <c r="I17" i="7" s="1"/>
  <c r="G20" i="12"/>
  <c r="H19" i="12"/>
  <c r="K19" i="12" s="1"/>
  <c r="D17" i="19"/>
  <c r="F18" i="6"/>
  <c r="H19" i="6"/>
  <c r="C29" i="5"/>
  <c r="E16" i="11"/>
  <c r="F16" i="11" s="1"/>
  <c r="I16" i="11"/>
  <c r="J16" i="11" s="1"/>
  <c r="C17" i="11"/>
  <c r="K17" i="5" l="1"/>
  <c r="F17" i="5"/>
  <c r="I17" i="5" s="1"/>
  <c r="L17" i="5" s="1"/>
  <c r="B19" i="5"/>
  <c r="B16" i="17"/>
  <c r="D16" i="17" s="1"/>
  <c r="D18" i="5"/>
  <c r="L16" i="5"/>
  <c r="D20" i="11"/>
  <c r="H20" i="11"/>
  <c r="C21" i="7"/>
  <c r="H20" i="7"/>
  <c r="D23" i="12"/>
  <c r="E22" i="12"/>
  <c r="D23" i="6"/>
  <c r="I22" i="6"/>
  <c r="L22" i="6" s="1"/>
  <c r="E17" i="19"/>
  <c r="B18" i="19"/>
  <c r="K18" i="10"/>
  <c r="L18" i="10" s="1"/>
  <c r="C19" i="10"/>
  <c r="H19" i="8"/>
  <c r="F18" i="8"/>
  <c r="I18" i="8" s="1"/>
  <c r="L18" i="8" s="1"/>
  <c r="G20" i="9"/>
  <c r="I21" i="9"/>
  <c r="J19" i="9"/>
  <c r="M19" i="9" s="1"/>
  <c r="F19" i="6"/>
  <c r="H20" i="6"/>
  <c r="F18" i="7"/>
  <c r="I18" i="7" s="1"/>
  <c r="E19" i="7"/>
  <c r="H20" i="12"/>
  <c r="K20" i="12" s="1"/>
  <c r="G21" i="12"/>
  <c r="D18" i="19"/>
  <c r="H20" i="10"/>
  <c r="C30" i="5"/>
  <c r="C18" i="11"/>
  <c r="E17" i="11"/>
  <c r="F17" i="11" s="1"/>
  <c r="I17" i="11"/>
  <c r="J17" i="11" s="1"/>
  <c r="K18" i="5" l="1"/>
  <c r="F18" i="5"/>
  <c r="I18" i="5" s="1"/>
  <c r="L18" i="5" s="1"/>
  <c r="B20" i="5"/>
  <c r="B17" i="17"/>
  <c r="D17" i="17" s="1"/>
  <c r="D19" i="5"/>
  <c r="D21" i="11"/>
  <c r="H21" i="11"/>
  <c r="C22" i="7"/>
  <c r="H21" i="7"/>
  <c r="C20" i="10"/>
  <c r="K19" i="10"/>
  <c r="D24" i="12"/>
  <c r="E23" i="12"/>
  <c r="B19" i="19"/>
  <c r="E18" i="19"/>
  <c r="I23" i="6"/>
  <c r="L23" i="6" s="1"/>
  <c r="D24" i="6"/>
  <c r="F19" i="10"/>
  <c r="I19" i="10" s="1"/>
  <c r="J20" i="9"/>
  <c r="M20" i="9" s="1"/>
  <c r="H20" i="8"/>
  <c r="F19" i="8"/>
  <c r="I19" i="8" s="1"/>
  <c r="L19" i="8" s="1"/>
  <c r="G21" i="9"/>
  <c r="I22" i="9"/>
  <c r="F20" i="10"/>
  <c r="I20" i="10" s="1"/>
  <c r="H21" i="10"/>
  <c r="F19" i="7"/>
  <c r="I19" i="7" s="1"/>
  <c r="E20" i="7"/>
  <c r="H21" i="6"/>
  <c r="F20" i="6"/>
  <c r="G22" i="12"/>
  <c r="H21" i="12"/>
  <c r="K21" i="12" s="1"/>
  <c r="D19" i="19"/>
  <c r="C31" i="5"/>
  <c r="I18" i="11"/>
  <c r="J18" i="11" s="1"/>
  <c r="C19" i="11"/>
  <c r="E18" i="11"/>
  <c r="F18" i="11" s="1"/>
  <c r="F19" i="5" l="1"/>
  <c r="I19" i="5" s="1"/>
  <c r="K19" i="5"/>
  <c r="B21" i="5"/>
  <c r="B18" i="17"/>
  <c r="D18" i="17" s="1"/>
  <c r="D20" i="5"/>
  <c r="H22" i="11"/>
  <c r="D22" i="11"/>
  <c r="L19" i="10"/>
  <c r="H22" i="7"/>
  <c r="C23" i="7"/>
  <c r="E24" i="12"/>
  <c r="D25" i="12"/>
  <c r="B20" i="19"/>
  <c r="E19" i="19"/>
  <c r="I24" i="6"/>
  <c r="L24" i="6" s="1"/>
  <c r="D25" i="6"/>
  <c r="K20" i="10"/>
  <c r="L20" i="10" s="1"/>
  <c r="C21" i="10"/>
  <c r="H21" i="8"/>
  <c r="F20" i="8"/>
  <c r="I20" i="8" s="1"/>
  <c r="L20" i="8" s="1"/>
  <c r="G22" i="9"/>
  <c r="I23" i="9"/>
  <c r="J21" i="9"/>
  <c r="M21" i="9" s="1"/>
  <c r="H22" i="12"/>
  <c r="K22" i="12" s="1"/>
  <c r="D20" i="19"/>
  <c r="G23" i="12"/>
  <c r="H22" i="10"/>
  <c r="E21" i="7"/>
  <c r="F20" i="7"/>
  <c r="I20" i="7" s="1"/>
  <c r="H22" i="6"/>
  <c r="F21" i="6"/>
  <c r="I19" i="11"/>
  <c r="J19" i="11" s="1"/>
  <c r="E19" i="11"/>
  <c r="F19" i="11" s="1"/>
  <c r="C20" i="11"/>
  <c r="F20" i="5" l="1"/>
  <c r="I20" i="5" s="1"/>
  <c r="K20" i="5"/>
  <c r="B19" i="17"/>
  <c r="D19" i="17" s="1"/>
  <c r="B22" i="5"/>
  <c r="D21" i="5"/>
  <c r="L19" i="5"/>
  <c r="D23" i="11"/>
  <c r="H23" i="11"/>
  <c r="C24" i="7"/>
  <c r="H23" i="7"/>
  <c r="C22" i="10"/>
  <c r="F22" i="10" s="1"/>
  <c r="I22" i="10" s="1"/>
  <c r="K21" i="10"/>
  <c r="E25" i="12"/>
  <c r="D26" i="12"/>
  <c r="F21" i="10"/>
  <c r="I21" i="10" s="1"/>
  <c r="I25" i="6"/>
  <c r="L25" i="6" s="1"/>
  <c r="D26" i="6"/>
  <c r="B21" i="19"/>
  <c r="E20" i="19"/>
  <c r="J22" i="9"/>
  <c r="M22" i="9" s="1"/>
  <c r="F21" i="8"/>
  <c r="I21" i="8" s="1"/>
  <c r="L21" i="8" s="1"/>
  <c r="H22" i="8"/>
  <c r="G23" i="9"/>
  <c r="I24" i="9"/>
  <c r="G24" i="12"/>
  <c r="H23" i="12"/>
  <c r="K23" i="12" s="1"/>
  <c r="D21" i="19"/>
  <c r="F22" i="6"/>
  <c r="H23" i="6"/>
  <c r="H23" i="10"/>
  <c r="E22" i="7"/>
  <c r="F21" i="7"/>
  <c r="I21" i="7" s="1"/>
  <c r="I20" i="11"/>
  <c r="J20" i="11" s="1"/>
  <c r="E20" i="11"/>
  <c r="F20" i="11" s="1"/>
  <c r="C21" i="11"/>
  <c r="K21" i="5" l="1"/>
  <c r="F21" i="5"/>
  <c r="I21" i="5" s="1"/>
  <c r="L21" i="5" s="1"/>
  <c r="B23" i="5"/>
  <c r="B20" i="17"/>
  <c r="D20" i="17" s="1"/>
  <c r="D22" i="5"/>
  <c r="L20" i="5"/>
  <c r="H24" i="11"/>
  <c r="D24" i="11"/>
  <c r="H24" i="7"/>
  <c r="C25" i="7"/>
  <c r="D27" i="6"/>
  <c r="I26" i="6"/>
  <c r="L26" i="6" s="1"/>
  <c r="L21" i="10"/>
  <c r="D27" i="12"/>
  <c r="E26" i="12"/>
  <c r="E21" i="19"/>
  <c r="B22" i="19"/>
  <c r="C23" i="10"/>
  <c r="F23" i="10" s="1"/>
  <c r="I23" i="10" s="1"/>
  <c r="K22" i="10"/>
  <c r="L22" i="10" s="1"/>
  <c r="G24" i="9"/>
  <c r="I25" i="9"/>
  <c r="J23" i="9"/>
  <c r="M23" i="9" s="1"/>
  <c r="H23" i="8"/>
  <c r="F22" i="8"/>
  <c r="I22" i="8" s="1"/>
  <c r="L22" i="8" s="1"/>
  <c r="H24" i="6"/>
  <c r="F23" i="6"/>
  <c r="F22" i="7"/>
  <c r="I22" i="7" s="1"/>
  <c r="E23" i="7"/>
  <c r="H24" i="10"/>
  <c r="H24" i="12"/>
  <c r="K24" i="12" s="1"/>
  <c r="G25" i="12"/>
  <c r="D22" i="19"/>
  <c r="I21" i="11"/>
  <c r="J21" i="11" s="1"/>
  <c r="E21" i="11"/>
  <c r="F21" i="11" s="1"/>
  <c r="C22" i="11"/>
  <c r="K22" i="5" l="1"/>
  <c r="F22" i="5"/>
  <c r="I22" i="5" s="1"/>
  <c r="L22" i="5" s="1"/>
  <c r="B24" i="5"/>
  <c r="B21" i="17"/>
  <c r="D21" i="17" s="1"/>
  <c r="D23" i="5"/>
  <c r="D25" i="11"/>
  <c r="H25" i="11"/>
  <c r="C26" i="7"/>
  <c r="H25" i="7"/>
  <c r="B23" i="19"/>
  <c r="E22" i="19"/>
  <c r="D28" i="12"/>
  <c r="E27" i="12"/>
  <c r="K23" i="10"/>
  <c r="L23" i="10" s="1"/>
  <c r="C24" i="10"/>
  <c r="I27" i="6"/>
  <c r="L27" i="6" s="1"/>
  <c r="D28" i="6"/>
  <c r="H24" i="8"/>
  <c r="F23" i="8"/>
  <c r="I23" i="8" s="1"/>
  <c r="L23" i="8" s="1"/>
  <c r="G25" i="9"/>
  <c r="I26" i="9"/>
  <c r="J24" i="9"/>
  <c r="M24" i="9" s="1"/>
  <c r="G26" i="12"/>
  <c r="D23" i="19"/>
  <c r="H25" i="12"/>
  <c r="K25" i="12" s="1"/>
  <c r="H25" i="10"/>
  <c r="F23" i="7"/>
  <c r="I23" i="7" s="1"/>
  <c r="E24" i="7"/>
  <c r="H25" i="6"/>
  <c r="F24" i="6"/>
  <c r="I22" i="11"/>
  <c r="J22" i="11" s="1"/>
  <c r="C23" i="11"/>
  <c r="E22" i="11"/>
  <c r="F22" i="11" s="1"/>
  <c r="F23" i="5" l="1"/>
  <c r="I23" i="5" s="1"/>
  <c r="K23" i="5"/>
  <c r="B22" i="17"/>
  <c r="D22" i="17" s="1"/>
  <c r="B25" i="5"/>
  <c r="D24" i="5"/>
  <c r="D26" i="11"/>
  <c r="H26" i="11"/>
  <c r="C27" i="7"/>
  <c r="H26" i="7"/>
  <c r="D29" i="6"/>
  <c r="I28" i="6"/>
  <c r="L28" i="6" s="1"/>
  <c r="C25" i="10"/>
  <c r="F25" i="10" s="1"/>
  <c r="I25" i="10" s="1"/>
  <c r="K24" i="10"/>
  <c r="D29" i="12"/>
  <c r="E28" i="12"/>
  <c r="F24" i="10"/>
  <c r="I24" i="10" s="1"/>
  <c r="L24" i="10" s="1"/>
  <c r="E23" i="19"/>
  <c r="B24" i="19"/>
  <c r="J25" i="9"/>
  <c r="M25" i="9" s="1"/>
  <c r="H25" i="8"/>
  <c r="F24" i="8"/>
  <c r="I24" i="8" s="1"/>
  <c r="L24" i="8" s="1"/>
  <c r="I27" i="9"/>
  <c r="G26" i="9"/>
  <c r="J26" i="9" s="1"/>
  <c r="M26" i="9" s="1"/>
  <c r="H26" i="6"/>
  <c r="F25" i="6"/>
  <c r="H26" i="10"/>
  <c r="E25" i="7"/>
  <c r="F24" i="7"/>
  <c r="I24" i="7" s="1"/>
  <c r="H26" i="12"/>
  <c r="K26" i="12" s="1"/>
  <c r="G27" i="12"/>
  <c r="D24" i="19"/>
  <c r="I23" i="11"/>
  <c r="J23" i="11" s="1"/>
  <c r="E23" i="11"/>
  <c r="F23" i="11" s="1"/>
  <c r="C24" i="11"/>
  <c r="K24" i="5" l="1"/>
  <c r="F24" i="5"/>
  <c r="I24" i="5" s="1"/>
  <c r="L24" i="5" s="1"/>
  <c r="B26" i="5"/>
  <c r="B23" i="17"/>
  <c r="D23" i="17" s="1"/>
  <c r="D25" i="5"/>
  <c r="L23" i="5"/>
  <c r="D27" i="11"/>
  <c r="H27" i="11"/>
  <c r="C28" i="7"/>
  <c r="H27" i="7"/>
  <c r="E24" i="19"/>
  <c r="B25" i="19"/>
  <c r="E29" i="12"/>
  <c r="D30" i="12"/>
  <c r="C26" i="10"/>
  <c r="F26" i="10" s="1"/>
  <c r="I26" i="10" s="1"/>
  <c r="K25" i="10"/>
  <c r="L25" i="10" s="1"/>
  <c r="D30" i="6"/>
  <c r="I30" i="6" s="1"/>
  <c r="L30" i="6" s="1"/>
  <c r="I29" i="6"/>
  <c r="L29" i="6" s="1"/>
  <c r="F25" i="8"/>
  <c r="I25" i="8" s="1"/>
  <c r="L25" i="8" s="1"/>
  <c r="H26" i="8"/>
  <c r="I28" i="9"/>
  <c r="G27" i="9"/>
  <c r="J27" i="9" s="1"/>
  <c r="M27" i="9" s="1"/>
  <c r="G28" i="12"/>
  <c r="H27" i="12"/>
  <c r="K27" i="12" s="1"/>
  <c r="D25" i="19"/>
  <c r="E26" i="7"/>
  <c r="F25" i="7"/>
  <c r="I25" i="7" s="1"/>
  <c r="H27" i="10"/>
  <c r="H27" i="6"/>
  <c r="F26" i="6"/>
  <c r="I24" i="11"/>
  <c r="J24" i="11" s="1"/>
  <c r="E24" i="11"/>
  <c r="F24" i="11" s="1"/>
  <c r="C25" i="11"/>
  <c r="K25" i="5" l="1"/>
  <c r="F25" i="5"/>
  <c r="I25" i="5" s="1"/>
  <c r="L25" i="5" s="1"/>
  <c r="B24" i="17"/>
  <c r="D24" i="17" s="1"/>
  <c r="B27" i="5"/>
  <c r="D26" i="5"/>
  <c r="H28" i="11"/>
  <c r="D28" i="11"/>
  <c r="H28" i="7"/>
  <c r="C29" i="7"/>
  <c r="L32" i="6"/>
  <c r="C27" i="10"/>
  <c r="F27" i="10" s="1"/>
  <c r="I27" i="10" s="1"/>
  <c r="K26" i="10"/>
  <c r="B26" i="19"/>
  <c r="E25" i="19"/>
  <c r="L26" i="10"/>
  <c r="E30" i="12"/>
  <c r="D31" i="12"/>
  <c r="E31" i="12" s="1"/>
  <c r="H27" i="8"/>
  <c r="F26" i="8"/>
  <c r="I26" i="8" s="1"/>
  <c r="L26" i="8" s="1"/>
  <c r="I29" i="9"/>
  <c r="G28" i="9"/>
  <c r="F27" i="6"/>
  <c r="H28" i="6"/>
  <c r="F26" i="7"/>
  <c r="I26" i="7" s="1"/>
  <c r="E27" i="7"/>
  <c r="H28" i="10"/>
  <c r="H28" i="12"/>
  <c r="K28" i="12" s="1"/>
  <c r="G29" i="12"/>
  <c r="D26" i="19"/>
  <c r="I25" i="11"/>
  <c r="J25" i="11" s="1"/>
  <c r="E25" i="11"/>
  <c r="F25" i="11" s="1"/>
  <c r="C26" i="11"/>
  <c r="F26" i="5" l="1"/>
  <c r="I26" i="5" s="1"/>
  <c r="K26" i="5"/>
  <c r="B25" i="17"/>
  <c r="D25" i="17" s="1"/>
  <c r="B28" i="5"/>
  <c r="D27" i="5"/>
  <c r="H29" i="11"/>
  <c r="D29" i="11"/>
  <c r="H29" i="7"/>
  <c r="C30" i="7"/>
  <c r="B27" i="19"/>
  <c r="E26" i="19"/>
  <c r="K27" i="10"/>
  <c r="L27" i="10" s="1"/>
  <c r="C28" i="10"/>
  <c r="J28" i="9"/>
  <c r="M28" i="9" s="1"/>
  <c r="H28" i="8"/>
  <c r="F27" i="8"/>
  <c r="I27" i="8" s="1"/>
  <c r="L27" i="8" s="1"/>
  <c r="I30" i="9"/>
  <c r="G30" i="9" s="1"/>
  <c r="G29" i="9"/>
  <c r="J29" i="9" s="1"/>
  <c r="M29" i="9" s="1"/>
  <c r="H29" i="6"/>
  <c r="F28" i="6"/>
  <c r="G30" i="12"/>
  <c r="H29" i="12"/>
  <c r="K29" i="12" s="1"/>
  <c r="D27" i="19"/>
  <c r="H29" i="10"/>
  <c r="F27" i="7"/>
  <c r="I27" i="7" s="1"/>
  <c r="E28" i="7"/>
  <c r="I26" i="11"/>
  <c r="J26" i="11" s="1"/>
  <c r="E26" i="11"/>
  <c r="F26" i="11" s="1"/>
  <c r="C27" i="11"/>
  <c r="K27" i="5" l="1"/>
  <c r="F27" i="5"/>
  <c r="I27" i="5" s="1"/>
  <c r="L27" i="5" s="1"/>
  <c r="B29" i="5"/>
  <c r="B26" i="17"/>
  <c r="D26" i="17" s="1"/>
  <c r="D28" i="5"/>
  <c r="L26" i="5"/>
  <c r="D30" i="11"/>
  <c r="H31" i="11" s="1"/>
  <c r="H30" i="11"/>
  <c r="C31" i="7"/>
  <c r="H31" i="7" s="1"/>
  <c r="H30" i="7"/>
  <c r="C29" i="10"/>
  <c r="F29" i="10" s="1"/>
  <c r="I29" i="10" s="1"/>
  <c r="K28" i="10"/>
  <c r="F28" i="10"/>
  <c r="I28" i="10" s="1"/>
  <c r="E27" i="19"/>
  <c r="B28" i="19"/>
  <c r="J30" i="9"/>
  <c r="M30" i="9" s="1"/>
  <c r="M32" i="9" s="1"/>
  <c r="H31" i="9" s="1"/>
  <c r="H29" i="8"/>
  <c r="F28" i="8"/>
  <c r="I28" i="8" s="1"/>
  <c r="L28" i="8" s="1"/>
  <c r="H30" i="10"/>
  <c r="E29" i="7"/>
  <c r="F28" i="7"/>
  <c r="I28" i="7" s="1"/>
  <c r="H30" i="12"/>
  <c r="K30" i="12" s="1"/>
  <c r="G31" i="12"/>
  <c r="D28" i="19"/>
  <c r="H30" i="6"/>
  <c r="F29" i="6"/>
  <c r="E27" i="11"/>
  <c r="F27" i="11" s="1"/>
  <c r="I27" i="11"/>
  <c r="J27" i="11" s="1"/>
  <c r="C28" i="11"/>
  <c r="F28" i="5" l="1"/>
  <c r="I28" i="5" s="1"/>
  <c r="K28" i="5"/>
  <c r="B27" i="17"/>
  <c r="D27" i="17" s="1"/>
  <c r="B30" i="5"/>
  <c r="D29" i="5"/>
  <c r="E28" i="19"/>
  <c r="B29" i="19"/>
  <c r="E29" i="19" s="1"/>
  <c r="L28" i="10"/>
  <c r="K29" i="10"/>
  <c r="L29" i="10" s="1"/>
  <c r="C30" i="10"/>
  <c r="K30" i="10" s="1"/>
  <c r="F29" i="8"/>
  <c r="I29" i="8" s="1"/>
  <c r="L29" i="8" s="1"/>
  <c r="H30" i="8"/>
  <c r="H26" i="9"/>
  <c r="K26" i="9" s="1"/>
  <c r="N26" i="9" s="1"/>
  <c r="H9" i="9"/>
  <c r="K9" i="9" s="1"/>
  <c r="N9" i="9" s="1"/>
  <c r="C10" i="1"/>
  <c r="G10" i="1" s="1"/>
  <c r="H8" i="9"/>
  <c r="K8" i="9" s="1"/>
  <c r="N8" i="9" s="1"/>
  <c r="H10" i="9"/>
  <c r="K10" i="9" s="1"/>
  <c r="N10" i="9" s="1"/>
  <c r="H11" i="9"/>
  <c r="K11" i="9" s="1"/>
  <c r="N11" i="9" s="1"/>
  <c r="H6" i="9"/>
  <c r="K6" i="9" s="1"/>
  <c r="N6" i="9" s="1"/>
  <c r="H7" i="9"/>
  <c r="K7" i="9" s="1"/>
  <c r="N7" i="9" s="1"/>
  <c r="H12" i="9"/>
  <c r="K12" i="9" s="1"/>
  <c r="N12" i="9" s="1"/>
  <c r="H13" i="9"/>
  <c r="K13" i="9" s="1"/>
  <c r="N13" i="9" s="1"/>
  <c r="H14" i="9"/>
  <c r="K14" i="9" s="1"/>
  <c r="N14" i="9" s="1"/>
  <c r="H15" i="9"/>
  <c r="K15" i="9" s="1"/>
  <c r="N15" i="9" s="1"/>
  <c r="H16" i="9"/>
  <c r="K16" i="9" s="1"/>
  <c r="N16" i="9" s="1"/>
  <c r="H17" i="9"/>
  <c r="K17" i="9" s="1"/>
  <c r="N17" i="9" s="1"/>
  <c r="H18" i="9"/>
  <c r="K18" i="9" s="1"/>
  <c r="N18" i="9" s="1"/>
  <c r="H19" i="9"/>
  <c r="K19" i="9" s="1"/>
  <c r="N19" i="9" s="1"/>
  <c r="H20" i="9"/>
  <c r="K20" i="9" s="1"/>
  <c r="N20" i="9" s="1"/>
  <c r="H21" i="9"/>
  <c r="K21" i="9" s="1"/>
  <c r="N21" i="9" s="1"/>
  <c r="H22" i="9"/>
  <c r="K22" i="9" s="1"/>
  <c r="N22" i="9" s="1"/>
  <c r="H23" i="9"/>
  <c r="K23" i="9" s="1"/>
  <c r="N23" i="9" s="1"/>
  <c r="H24" i="9"/>
  <c r="K24" i="9" s="1"/>
  <c r="N24" i="9" s="1"/>
  <c r="H25" i="9"/>
  <c r="K25" i="9" s="1"/>
  <c r="N25" i="9" s="1"/>
  <c r="H27" i="9"/>
  <c r="K27" i="9" s="1"/>
  <c r="N27" i="9" s="1"/>
  <c r="H28" i="9"/>
  <c r="K28" i="9" s="1"/>
  <c r="N28" i="9" s="1"/>
  <c r="H29" i="9"/>
  <c r="K29" i="9" s="1"/>
  <c r="N29" i="9" s="1"/>
  <c r="H30" i="9"/>
  <c r="K30" i="9" s="1"/>
  <c r="N30" i="9" s="1"/>
  <c r="F30" i="6"/>
  <c r="G31" i="6"/>
  <c r="H31" i="12"/>
  <c r="K31" i="12" s="1"/>
  <c r="K33" i="12" s="1"/>
  <c r="F7" i="12" s="1"/>
  <c r="D29" i="19"/>
  <c r="E30" i="7"/>
  <c r="F29" i="7"/>
  <c r="I29" i="7" s="1"/>
  <c r="I28" i="11"/>
  <c r="J28" i="11" s="1"/>
  <c r="E28" i="11"/>
  <c r="F28" i="11" s="1"/>
  <c r="C29" i="11"/>
  <c r="F29" i="5" l="1"/>
  <c r="I29" i="5" s="1"/>
  <c r="K29" i="5"/>
  <c r="B31" i="5"/>
  <c r="B28" i="17"/>
  <c r="D28" i="17" s="1"/>
  <c r="D30" i="5"/>
  <c r="L28" i="5"/>
  <c r="G29" i="6"/>
  <c r="J29" i="6" s="1"/>
  <c r="M29" i="6" s="1"/>
  <c r="F30" i="10"/>
  <c r="I30" i="10" s="1"/>
  <c r="L30" i="10" s="1"/>
  <c r="L32" i="10" s="1"/>
  <c r="G31" i="10" s="1"/>
  <c r="F30" i="8"/>
  <c r="I30" i="8" s="1"/>
  <c r="L30" i="8" s="1"/>
  <c r="L32" i="8" s="1"/>
  <c r="G31" i="8" s="1"/>
  <c r="N32" i="9"/>
  <c r="G30" i="6"/>
  <c r="J30" i="6" s="1"/>
  <c r="M30" i="6" s="1"/>
  <c r="G7" i="6"/>
  <c r="J7" i="6" s="1"/>
  <c r="M7" i="6" s="1"/>
  <c r="G6" i="6"/>
  <c r="J6" i="6" s="1"/>
  <c r="M6" i="6" s="1"/>
  <c r="C7" i="1"/>
  <c r="G7" i="1" s="1"/>
  <c r="G8" i="6"/>
  <c r="J8" i="6" s="1"/>
  <c r="M8" i="6" s="1"/>
  <c r="G9" i="6"/>
  <c r="J9" i="6" s="1"/>
  <c r="M9" i="6" s="1"/>
  <c r="G10" i="6"/>
  <c r="J10" i="6" s="1"/>
  <c r="M10" i="6" s="1"/>
  <c r="G11" i="6"/>
  <c r="J11" i="6" s="1"/>
  <c r="M11" i="6" s="1"/>
  <c r="G12" i="6"/>
  <c r="J12" i="6" s="1"/>
  <c r="M12" i="6" s="1"/>
  <c r="G13" i="6"/>
  <c r="J13" i="6" s="1"/>
  <c r="M13" i="6" s="1"/>
  <c r="G14" i="6"/>
  <c r="J14" i="6" s="1"/>
  <c r="M14" i="6" s="1"/>
  <c r="G15" i="6"/>
  <c r="J15" i="6" s="1"/>
  <c r="M15" i="6" s="1"/>
  <c r="G16" i="6"/>
  <c r="J16" i="6" s="1"/>
  <c r="M16" i="6" s="1"/>
  <c r="G17" i="6"/>
  <c r="J17" i="6" s="1"/>
  <c r="M17" i="6" s="1"/>
  <c r="G18" i="6"/>
  <c r="J18" i="6" s="1"/>
  <c r="M18" i="6" s="1"/>
  <c r="G19" i="6"/>
  <c r="J19" i="6" s="1"/>
  <c r="M19" i="6" s="1"/>
  <c r="G20" i="6"/>
  <c r="J20" i="6" s="1"/>
  <c r="M20" i="6" s="1"/>
  <c r="G21" i="6"/>
  <c r="J21" i="6" s="1"/>
  <c r="M21" i="6" s="1"/>
  <c r="G22" i="6"/>
  <c r="J22" i="6" s="1"/>
  <c r="M22" i="6" s="1"/>
  <c r="G23" i="6"/>
  <c r="J23" i="6" s="1"/>
  <c r="M23" i="6" s="1"/>
  <c r="G24" i="6"/>
  <c r="J24" i="6" s="1"/>
  <c r="M24" i="6" s="1"/>
  <c r="G25" i="6"/>
  <c r="J25" i="6" s="1"/>
  <c r="M25" i="6" s="1"/>
  <c r="G26" i="6"/>
  <c r="J26" i="6" s="1"/>
  <c r="M26" i="6" s="1"/>
  <c r="G27" i="6"/>
  <c r="J27" i="6" s="1"/>
  <c r="M27" i="6" s="1"/>
  <c r="G28" i="6"/>
  <c r="J28" i="6" s="1"/>
  <c r="M28" i="6" s="1"/>
  <c r="F8" i="12"/>
  <c r="C13" i="1"/>
  <c r="G13" i="1" s="1"/>
  <c r="I7" i="12"/>
  <c r="L7" i="12" s="1"/>
  <c r="F30" i="7"/>
  <c r="I30" i="7" s="1"/>
  <c r="E31" i="7"/>
  <c r="C30" i="11"/>
  <c r="E29" i="11"/>
  <c r="F29" i="11" s="1"/>
  <c r="I29" i="11"/>
  <c r="J29" i="11" s="1"/>
  <c r="F30" i="5" l="1"/>
  <c r="I30" i="5" s="1"/>
  <c r="K30" i="5"/>
  <c r="B29" i="17"/>
  <c r="D29" i="17" s="1"/>
  <c r="D31" i="5"/>
  <c r="L29" i="5"/>
  <c r="G14" i="10"/>
  <c r="J14" i="10" s="1"/>
  <c r="M14" i="10" s="1"/>
  <c r="C11" i="1"/>
  <c r="G11" i="1" s="1"/>
  <c r="G6" i="10"/>
  <c r="J6" i="10" s="1"/>
  <c r="M6" i="10" s="1"/>
  <c r="G22" i="10"/>
  <c r="J22" i="10" s="1"/>
  <c r="M22" i="10" s="1"/>
  <c r="G28" i="10"/>
  <c r="J28" i="10" s="1"/>
  <c r="M28" i="10" s="1"/>
  <c r="G29" i="10"/>
  <c r="J29" i="10" s="1"/>
  <c r="M29" i="10" s="1"/>
  <c r="G8" i="10"/>
  <c r="J8" i="10" s="1"/>
  <c r="M8" i="10" s="1"/>
  <c r="G7" i="10"/>
  <c r="J7" i="10" s="1"/>
  <c r="M7" i="10" s="1"/>
  <c r="G25" i="10"/>
  <c r="J25" i="10" s="1"/>
  <c r="M25" i="10" s="1"/>
  <c r="G10" i="10"/>
  <c r="J10" i="10" s="1"/>
  <c r="M10" i="10" s="1"/>
  <c r="G17" i="10"/>
  <c r="J17" i="10" s="1"/>
  <c r="M17" i="10" s="1"/>
  <c r="G16" i="10"/>
  <c r="J16" i="10" s="1"/>
  <c r="M16" i="10" s="1"/>
  <c r="G11" i="10"/>
  <c r="J11" i="10" s="1"/>
  <c r="M11" i="10" s="1"/>
  <c r="G24" i="10"/>
  <c r="J24" i="10" s="1"/>
  <c r="M24" i="10" s="1"/>
  <c r="G26" i="10"/>
  <c r="J26" i="10" s="1"/>
  <c r="M26" i="10" s="1"/>
  <c r="G12" i="10"/>
  <c r="J12" i="10" s="1"/>
  <c r="M12" i="10" s="1"/>
  <c r="G23" i="10"/>
  <c r="J23" i="10" s="1"/>
  <c r="M23" i="10" s="1"/>
  <c r="G20" i="10"/>
  <c r="J20" i="10" s="1"/>
  <c r="M20" i="10" s="1"/>
  <c r="G18" i="10"/>
  <c r="J18" i="10" s="1"/>
  <c r="M18" i="10" s="1"/>
  <c r="G15" i="10"/>
  <c r="J15" i="10" s="1"/>
  <c r="M15" i="10" s="1"/>
  <c r="G19" i="10"/>
  <c r="J19" i="10" s="1"/>
  <c r="M19" i="10" s="1"/>
  <c r="G13" i="10"/>
  <c r="J13" i="10" s="1"/>
  <c r="M13" i="10" s="1"/>
  <c r="G30" i="10"/>
  <c r="J30" i="10" s="1"/>
  <c r="M30" i="10" s="1"/>
  <c r="G9" i="10"/>
  <c r="J9" i="10" s="1"/>
  <c r="M9" i="10" s="1"/>
  <c r="G27" i="10"/>
  <c r="J27" i="10" s="1"/>
  <c r="M27" i="10" s="1"/>
  <c r="G21" i="10"/>
  <c r="J21" i="10" s="1"/>
  <c r="M21" i="10" s="1"/>
  <c r="C9" i="1"/>
  <c r="G9" i="1" s="1"/>
  <c r="G20" i="8"/>
  <c r="J20" i="8" s="1"/>
  <c r="M20" i="8" s="1"/>
  <c r="G7" i="8"/>
  <c r="J7" i="8" s="1"/>
  <c r="M7" i="8" s="1"/>
  <c r="G24" i="8"/>
  <c r="J24" i="8" s="1"/>
  <c r="M24" i="8" s="1"/>
  <c r="G19" i="8"/>
  <c r="J19" i="8" s="1"/>
  <c r="M19" i="8" s="1"/>
  <c r="G21" i="8"/>
  <c r="J21" i="8" s="1"/>
  <c r="M21" i="8" s="1"/>
  <c r="G26" i="8"/>
  <c r="J26" i="8" s="1"/>
  <c r="M26" i="8" s="1"/>
  <c r="G23" i="8"/>
  <c r="J23" i="8" s="1"/>
  <c r="M23" i="8" s="1"/>
  <c r="G22" i="8"/>
  <c r="J22" i="8" s="1"/>
  <c r="M22" i="8" s="1"/>
  <c r="G18" i="8"/>
  <c r="J18" i="8" s="1"/>
  <c r="M18" i="8" s="1"/>
  <c r="G30" i="8"/>
  <c r="J30" i="8" s="1"/>
  <c r="M30" i="8" s="1"/>
  <c r="G17" i="8"/>
  <c r="J17" i="8" s="1"/>
  <c r="M17" i="8" s="1"/>
  <c r="G28" i="8"/>
  <c r="J28" i="8" s="1"/>
  <c r="M28" i="8" s="1"/>
  <c r="G15" i="8"/>
  <c r="J15" i="8" s="1"/>
  <c r="M15" i="8" s="1"/>
  <c r="G25" i="8"/>
  <c r="J25" i="8" s="1"/>
  <c r="M25" i="8" s="1"/>
  <c r="G12" i="8"/>
  <c r="J12" i="8" s="1"/>
  <c r="M12" i="8" s="1"/>
  <c r="G27" i="8"/>
  <c r="J27" i="8" s="1"/>
  <c r="M27" i="8" s="1"/>
  <c r="G13" i="8"/>
  <c r="J13" i="8" s="1"/>
  <c r="M13" i="8" s="1"/>
  <c r="G10" i="8"/>
  <c r="J10" i="8" s="1"/>
  <c r="M10" i="8" s="1"/>
  <c r="G11" i="8"/>
  <c r="J11" i="8" s="1"/>
  <c r="M11" i="8" s="1"/>
  <c r="G9" i="8"/>
  <c r="J9" i="8" s="1"/>
  <c r="M9" i="8" s="1"/>
  <c r="G14" i="8"/>
  <c r="J14" i="8" s="1"/>
  <c r="M14" i="8" s="1"/>
  <c r="G6" i="8"/>
  <c r="J6" i="8" s="1"/>
  <c r="M6" i="8" s="1"/>
  <c r="G29" i="8"/>
  <c r="J29" i="8" s="1"/>
  <c r="M29" i="8" s="1"/>
  <c r="G16" i="8"/>
  <c r="J16" i="8" s="1"/>
  <c r="M16" i="8" s="1"/>
  <c r="G8" i="8"/>
  <c r="J8" i="8" s="1"/>
  <c r="M8" i="8" s="1"/>
  <c r="F31" i="7"/>
  <c r="I31" i="7" s="1"/>
  <c r="I33" i="7" s="1"/>
  <c r="D7" i="7" s="1"/>
  <c r="I8" i="12"/>
  <c r="L8" i="12" s="1"/>
  <c r="F9" i="12"/>
  <c r="M32" i="6"/>
  <c r="C31" i="11"/>
  <c r="I31" i="11" s="1"/>
  <c r="J31" i="11" s="1"/>
  <c r="I30" i="11"/>
  <c r="J30" i="11" s="1"/>
  <c r="E30" i="11"/>
  <c r="F30" i="11" s="1"/>
  <c r="F31" i="5" l="1"/>
  <c r="I31" i="5" s="1"/>
  <c r="K31" i="5"/>
  <c r="L30" i="5"/>
  <c r="M32" i="10"/>
  <c r="M32" i="8"/>
  <c r="F10" i="12"/>
  <c r="I9" i="12"/>
  <c r="L9" i="12" s="1"/>
  <c r="C8" i="1"/>
  <c r="G8" i="1" s="1"/>
  <c r="D8" i="7"/>
  <c r="G7" i="7"/>
  <c r="J7" i="7" s="1"/>
  <c r="F32" i="11"/>
  <c r="J32" i="11"/>
  <c r="L31" i="5" l="1"/>
  <c r="L33" i="5" s="1"/>
  <c r="G7" i="5" s="1"/>
  <c r="G6" i="11"/>
  <c r="D9" i="7"/>
  <c r="G8" i="7"/>
  <c r="J8" i="7" s="1"/>
  <c r="F11" i="12"/>
  <c r="I10" i="12"/>
  <c r="L10" i="12" s="1"/>
  <c r="K29" i="11"/>
  <c r="K19" i="11"/>
  <c r="K13" i="11"/>
  <c r="K28" i="11"/>
  <c r="K23" i="11"/>
  <c r="K14" i="11"/>
  <c r="K24" i="11"/>
  <c r="K7" i="11"/>
  <c r="K26" i="11"/>
  <c r="K9" i="11"/>
  <c r="K12" i="11"/>
  <c r="K15" i="11"/>
  <c r="K27" i="11"/>
  <c r="K25" i="11"/>
  <c r="K6" i="11"/>
  <c r="K16" i="11"/>
  <c r="K18" i="11"/>
  <c r="K10" i="11"/>
  <c r="K30" i="11"/>
  <c r="K11" i="11"/>
  <c r="K20" i="11"/>
  <c r="K17" i="11"/>
  <c r="K21" i="11"/>
  <c r="K8" i="11"/>
  <c r="K22" i="11"/>
  <c r="J7" i="5" l="1"/>
  <c r="M7" i="5" s="1"/>
  <c r="C6" i="1"/>
  <c r="G6" i="1" s="1"/>
  <c r="G8" i="5"/>
  <c r="N6" i="11"/>
  <c r="Q6" i="11" s="1"/>
  <c r="T6" i="11" s="1"/>
  <c r="W6" i="11"/>
  <c r="G7" i="1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N30" i="11" s="1"/>
  <c r="Q30" i="11" s="1"/>
  <c r="T30" i="11" s="1"/>
  <c r="I11" i="12"/>
  <c r="L11" i="12" s="1"/>
  <c r="F12" i="12"/>
  <c r="D10" i="7"/>
  <c r="G9" i="7"/>
  <c r="J9" i="7" s="1"/>
  <c r="J8" i="5" l="1"/>
  <c r="M8" i="5" s="1"/>
  <c r="G9" i="5"/>
  <c r="N12" i="11"/>
  <c r="Q12" i="11" s="1"/>
  <c r="T12" i="11" s="1"/>
  <c r="N20" i="11"/>
  <c r="Q20" i="11" s="1"/>
  <c r="T20" i="11" s="1"/>
  <c r="N16" i="11"/>
  <c r="Q16" i="11" s="1"/>
  <c r="T16" i="11" s="1"/>
  <c r="N23" i="11"/>
  <c r="Q23" i="11" s="1"/>
  <c r="T23" i="11" s="1"/>
  <c r="N19" i="11"/>
  <c r="Q19" i="11" s="1"/>
  <c r="T19" i="11" s="1"/>
  <c r="N7" i="11"/>
  <c r="Q7" i="11" s="1"/>
  <c r="T7" i="11" s="1"/>
  <c r="N14" i="11"/>
  <c r="Q14" i="11" s="1"/>
  <c r="T14" i="11" s="1"/>
  <c r="N28" i="11"/>
  <c r="Q28" i="11" s="1"/>
  <c r="T28" i="11" s="1"/>
  <c r="N11" i="11"/>
  <c r="Q11" i="11" s="1"/>
  <c r="T11" i="11" s="1"/>
  <c r="N26" i="11"/>
  <c r="Q26" i="11" s="1"/>
  <c r="T26" i="11" s="1"/>
  <c r="N9" i="11"/>
  <c r="Q9" i="11" s="1"/>
  <c r="T9" i="11" s="1"/>
  <c r="N13" i="11"/>
  <c r="Q13" i="11" s="1"/>
  <c r="T13" i="11" s="1"/>
  <c r="N21" i="11"/>
  <c r="Q21" i="11" s="1"/>
  <c r="T21" i="11" s="1"/>
  <c r="N10" i="11"/>
  <c r="Q10" i="11" s="1"/>
  <c r="T10" i="11" s="1"/>
  <c r="N8" i="11"/>
  <c r="Q8" i="11" s="1"/>
  <c r="T8" i="11" s="1"/>
  <c r="N18" i="11"/>
  <c r="Q18" i="11" s="1"/>
  <c r="T18" i="11" s="1"/>
  <c r="N25" i="11"/>
  <c r="Q25" i="11" s="1"/>
  <c r="T25" i="11" s="1"/>
  <c r="N24" i="11"/>
  <c r="Q24" i="11" s="1"/>
  <c r="T24" i="11" s="1"/>
  <c r="N27" i="11"/>
  <c r="Q27" i="11" s="1"/>
  <c r="T27" i="11" s="1"/>
  <c r="N15" i="11"/>
  <c r="Q15" i="11" s="1"/>
  <c r="T15" i="11" s="1"/>
  <c r="N29" i="11"/>
  <c r="Q29" i="11" s="1"/>
  <c r="T29" i="11" s="1"/>
  <c r="N22" i="11"/>
  <c r="Q22" i="11" s="1"/>
  <c r="T22" i="11" s="1"/>
  <c r="N17" i="11"/>
  <c r="Q17" i="11" s="1"/>
  <c r="T17" i="11" s="1"/>
  <c r="D11" i="7"/>
  <c r="G10" i="7"/>
  <c r="J10" i="7" s="1"/>
  <c r="I12" i="12"/>
  <c r="L12" i="12" s="1"/>
  <c r="F13" i="12"/>
  <c r="J9" i="5" l="1"/>
  <c r="M9" i="5" s="1"/>
  <c r="G10" i="5"/>
  <c r="T32" i="11"/>
  <c r="O32" i="11" s="1"/>
  <c r="O13" i="11" s="1"/>
  <c r="R13" i="11" s="1"/>
  <c r="U13" i="11" s="1"/>
  <c r="I13" i="12"/>
  <c r="L13" i="12" s="1"/>
  <c r="F14" i="12"/>
  <c r="D12" i="7"/>
  <c r="G11" i="7"/>
  <c r="J11" i="7" s="1"/>
  <c r="J10" i="5" l="1"/>
  <c r="M10" i="5" s="1"/>
  <c r="G11" i="5"/>
  <c r="O15" i="11"/>
  <c r="R15" i="11" s="1"/>
  <c r="U15" i="11" s="1"/>
  <c r="O9" i="11"/>
  <c r="R9" i="11" s="1"/>
  <c r="U9" i="11" s="1"/>
  <c r="O17" i="11"/>
  <c r="R17" i="11" s="1"/>
  <c r="U17" i="11" s="1"/>
  <c r="O14" i="11"/>
  <c r="R14" i="11" s="1"/>
  <c r="U14" i="11" s="1"/>
  <c r="O19" i="11"/>
  <c r="R19" i="11" s="1"/>
  <c r="U19" i="11" s="1"/>
  <c r="O29" i="11"/>
  <c r="R29" i="11" s="1"/>
  <c r="U29" i="11" s="1"/>
  <c r="O23" i="11"/>
  <c r="R23" i="11" s="1"/>
  <c r="U23" i="11" s="1"/>
  <c r="O10" i="11"/>
  <c r="R10" i="11" s="1"/>
  <c r="U10" i="11" s="1"/>
  <c r="C12" i="1"/>
  <c r="O22" i="11"/>
  <c r="R22" i="11" s="1"/>
  <c r="U22" i="11" s="1"/>
  <c r="O8" i="11"/>
  <c r="R8" i="11" s="1"/>
  <c r="U8" i="11" s="1"/>
  <c r="O25" i="11"/>
  <c r="R25" i="11" s="1"/>
  <c r="U25" i="11" s="1"/>
  <c r="O18" i="11"/>
  <c r="R18" i="11" s="1"/>
  <c r="U18" i="11" s="1"/>
  <c r="O27" i="11"/>
  <c r="R27" i="11" s="1"/>
  <c r="U27" i="11" s="1"/>
  <c r="O6" i="11"/>
  <c r="R6" i="11" s="1"/>
  <c r="U6" i="11" s="1"/>
  <c r="O26" i="11"/>
  <c r="R26" i="11" s="1"/>
  <c r="U26" i="11" s="1"/>
  <c r="O16" i="11"/>
  <c r="R16" i="11" s="1"/>
  <c r="U16" i="11" s="1"/>
  <c r="O12" i="11"/>
  <c r="R12" i="11" s="1"/>
  <c r="U12" i="11" s="1"/>
  <c r="O24" i="11"/>
  <c r="R24" i="11" s="1"/>
  <c r="U24" i="11" s="1"/>
  <c r="O30" i="11"/>
  <c r="R30" i="11" s="1"/>
  <c r="U30" i="11" s="1"/>
  <c r="O28" i="11"/>
  <c r="R28" i="11" s="1"/>
  <c r="U28" i="11" s="1"/>
  <c r="O11" i="11"/>
  <c r="R11" i="11" s="1"/>
  <c r="U11" i="11" s="1"/>
  <c r="O7" i="11"/>
  <c r="R7" i="11" s="1"/>
  <c r="U7" i="11" s="1"/>
  <c r="O21" i="11"/>
  <c r="R21" i="11" s="1"/>
  <c r="U21" i="11" s="1"/>
  <c r="O20" i="11"/>
  <c r="R20" i="11" s="1"/>
  <c r="U20" i="11" s="1"/>
  <c r="C18" i="1"/>
  <c r="G12" i="1"/>
  <c r="F15" i="12"/>
  <c r="I14" i="12"/>
  <c r="L14" i="12" s="1"/>
  <c r="D13" i="7"/>
  <c r="G12" i="7"/>
  <c r="J12" i="7" s="1"/>
  <c r="G12" i="5" l="1"/>
  <c r="J11" i="5"/>
  <c r="M11" i="5" s="1"/>
  <c r="U32" i="11"/>
  <c r="G16" i="1"/>
  <c r="D14" i="7"/>
  <c r="G13" i="7"/>
  <c r="J13" i="7" s="1"/>
  <c r="I15" i="12"/>
  <c r="L15" i="12" s="1"/>
  <c r="F16" i="12"/>
  <c r="J12" i="5" l="1"/>
  <c r="M12" i="5" s="1"/>
  <c r="G13" i="5"/>
  <c r="F5" i="19"/>
  <c r="F6" i="19" s="1"/>
  <c r="E5" i="17"/>
  <c r="E6" i="17" s="1"/>
  <c r="B31" i="22"/>
  <c r="D15" i="7"/>
  <c r="G14" i="7"/>
  <c r="J14" i="7" s="1"/>
  <c r="I16" i="12"/>
  <c r="L16" i="12" s="1"/>
  <c r="F17" i="12"/>
  <c r="J13" i="5" l="1"/>
  <c r="M13" i="5" s="1"/>
  <c r="G14" i="5"/>
  <c r="G5" i="19"/>
  <c r="F5" i="17"/>
  <c r="D16" i="7"/>
  <c r="G15" i="7"/>
  <c r="J15" i="7" s="1"/>
  <c r="I17" i="12"/>
  <c r="L17" i="12" s="1"/>
  <c r="F18" i="12"/>
  <c r="E7" i="17"/>
  <c r="F6" i="17"/>
  <c r="G6" i="19"/>
  <c r="F7" i="19"/>
  <c r="J14" i="5" l="1"/>
  <c r="M14" i="5" s="1"/>
  <c r="G15" i="5"/>
  <c r="F19" i="12"/>
  <c r="I18" i="12"/>
  <c r="L18" i="12" s="1"/>
  <c r="D17" i="7"/>
  <c r="G16" i="7"/>
  <c r="J16" i="7" s="1"/>
  <c r="G7" i="19"/>
  <c r="F8" i="19"/>
  <c r="E8" i="17"/>
  <c r="F7" i="17"/>
  <c r="J15" i="5" l="1"/>
  <c r="M15" i="5" s="1"/>
  <c r="G16" i="5"/>
  <c r="D18" i="7"/>
  <c r="G17" i="7"/>
  <c r="J17" i="7" s="1"/>
  <c r="I19" i="12"/>
  <c r="L19" i="12" s="1"/>
  <c r="F20" i="12"/>
  <c r="E9" i="17"/>
  <c r="F8" i="17"/>
  <c r="G8" i="19"/>
  <c r="F9" i="19"/>
  <c r="J16" i="5" l="1"/>
  <c r="M16" i="5" s="1"/>
  <c r="G17" i="5"/>
  <c r="I20" i="12"/>
  <c r="L20" i="12" s="1"/>
  <c r="F21" i="12"/>
  <c r="D19" i="7"/>
  <c r="G18" i="7"/>
  <c r="J18" i="7" s="1"/>
  <c r="G9" i="19"/>
  <c r="F10" i="19"/>
  <c r="E10" i="17"/>
  <c r="F9" i="17"/>
  <c r="J17" i="5" l="1"/>
  <c r="M17" i="5" s="1"/>
  <c r="G18" i="5"/>
  <c r="D20" i="7"/>
  <c r="G19" i="7"/>
  <c r="J19" i="7" s="1"/>
  <c r="F22" i="12"/>
  <c r="I21" i="12"/>
  <c r="L21" i="12" s="1"/>
  <c r="G10" i="19"/>
  <c r="F11" i="19"/>
  <c r="E11" i="17"/>
  <c r="F10" i="17"/>
  <c r="J18" i="5" l="1"/>
  <c r="M18" i="5" s="1"/>
  <c r="G19" i="5"/>
  <c r="F23" i="12"/>
  <c r="I22" i="12"/>
  <c r="L22" i="12" s="1"/>
  <c r="D21" i="7"/>
  <c r="G20" i="7"/>
  <c r="J20" i="7" s="1"/>
  <c r="G11" i="19"/>
  <c r="F12" i="19"/>
  <c r="E12" i="17"/>
  <c r="F11" i="17"/>
  <c r="J19" i="5" l="1"/>
  <c r="M19" i="5" s="1"/>
  <c r="G20" i="5"/>
  <c r="D22" i="7"/>
  <c r="G21" i="7"/>
  <c r="J21" i="7" s="1"/>
  <c r="I23" i="12"/>
  <c r="L23" i="12" s="1"/>
  <c r="F24" i="12"/>
  <c r="E13" i="17"/>
  <c r="F12" i="17"/>
  <c r="G12" i="19"/>
  <c r="F13" i="19"/>
  <c r="G21" i="5" l="1"/>
  <c r="J20" i="5"/>
  <c r="M20" i="5" s="1"/>
  <c r="I24" i="12"/>
  <c r="L24" i="12" s="1"/>
  <c r="F25" i="12"/>
  <c r="D23" i="7"/>
  <c r="G22" i="7"/>
  <c r="J22" i="7" s="1"/>
  <c r="G13" i="19"/>
  <c r="F14" i="19"/>
  <c r="E14" i="17"/>
  <c r="F13" i="17"/>
  <c r="G22" i="5" l="1"/>
  <c r="J21" i="5"/>
  <c r="M21" i="5" s="1"/>
  <c r="D24" i="7"/>
  <c r="G23" i="7"/>
  <c r="J23" i="7" s="1"/>
  <c r="I25" i="12"/>
  <c r="L25" i="12" s="1"/>
  <c r="F26" i="12"/>
  <c r="E15" i="17"/>
  <c r="F14" i="17"/>
  <c r="G14" i="19"/>
  <c r="F15" i="19"/>
  <c r="J22" i="5" l="1"/>
  <c r="M22" i="5" s="1"/>
  <c r="G23" i="5"/>
  <c r="F27" i="12"/>
  <c r="I26" i="12"/>
  <c r="L26" i="12" s="1"/>
  <c r="D25" i="7"/>
  <c r="G24" i="7"/>
  <c r="J24" i="7" s="1"/>
  <c r="G15" i="19"/>
  <c r="F16" i="19"/>
  <c r="E16" i="17"/>
  <c r="F15" i="17"/>
  <c r="J23" i="5" l="1"/>
  <c r="M23" i="5" s="1"/>
  <c r="G24" i="5"/>
  <c r="D26" i="7"/>
  <c r="G25" i="7"/>
  <c r="J25" i="7" s="1"/>
  <c r="I27" i="12"/>
  <c r="L27" i="12" s="1"/>
  <c r="F28" i="12"/>
  <c r="E17" i="17"/>
  <c r="F16" i="17"/>
  <c r="G16" i="19"/>
  <c r="F17" i="19"/>
  <c r="G25" i="5" l="1"/>
  <c r="J24" i="5"/>
  <c r="M24" i="5" s="1"/>
  <c r="F29" i="12"/>
  <c r="I28" i="12"/>
  <c r="L28" i="12" s="1"/>
  <c r="D27" i="7"/>
  <c r="G26" i="7"/>
  <c r="J26" i="7" s="1"/>
  <c r="G17" i="19"/>
  <c r="F18" i="19"/>
  <c r="E18" i="17"/>
  <c r="F17" i="17"/>
  <c r="J25" i="5" l="1"/>
  <c r="M25" i="5" s="1"/>
  <c r="G26" i="5"/>
  <c r="D28" i="7"/>
  <c r="G27" i="7"/>
  <c r="J27" i="7" s="1"/>
  <c r="I29" i="12"/>
  <c r="L29" i="12" s="1"/>
  <c r="F30" i="12"/>
  <c r="E19" i="17"/>
  <c r="F18" i="17"/>
  <c r="G18" i="19"/>
  <c r="F19" i="19"/>
  <c r="J26" i="5" l="1"/>
  <c r="M26" i="5" s="1"/>
  <c r="G27" i="5"/>
  <c r="F31" i="12"/>
  <c r="I31" i="12" s="1"/>
  <c r="L31" i="12" s="1"/>
  <c r="I30" i="12"/>
  <c r="L30" i="12" s="1"/>
  <c r="D29" i="7"/>
  <c r="G28" i="7"/>
  <c r="J28" i="7" s="1"/>
  <c r="G19" i="19"/>
  <c r="F20" i="19"/>
  <c r="E20" i="17"/>
  <c r="F19" i="17"/>
  <c r="J27" i="5" l="1"/>
  <c r="M27" i="5" s="1"/>
  <c r="G28" i="5"/>
  <c r="L33" i="12"/>
  <c r="D30" i="7"/>
  <c r="G29" i="7"/>
  <c r="J29" i="7" s="1"/>
  <c r="E21" i="17"/>
  <c r="F20" i="17"/>
  <c r="G20" i="19"/>
  <c r="F21" i="19"/>
  <c r="J28" i="5" l="1"/>
  <c r="M28" i="5" s="1"/>
  <c r="G29" i="5"/>
  <c r="D31" i="7"/>
  <c r="G31" i="7" s="1"/>
  <c r="J31" i="7" s="1"/>
  <c r="G30" i="7"/>
  <c r="J30" i="7" s="1"/>
  <c r="G21" i="19"/>
  <c r="F22" i="19"/>
  <c r="E22" i="17"/>
  <c r="F21" i="17"/>
  <c r="J29" i="5" l="1"/>
  <c r="M29" i="5" s="1"/>
  <c r="G30" i="5"/>
  <c r="J33" i="7"/>
  <c r="E23" i="17"/>
  <c r="F22" i="17"/>
  <c r="G22" i="19"/>
  <c r="F23" i="19"/>
  <c r="J30" i="5" l="1"/>
  <c r="M30" i="5" s="1"/>
  <c r="G31" i="5"/>
  <c r="J31" i="5" s="1"/>
  <c r="M31" i="5" s="1"/>
  <c r="M33" i="5"/>
  <c r="G23" i="19"/>
  <c r="F24" i="19"/>
  <c r="E24" i="17"/>
  <c r="F23" i="17"/>
  <c r="E25" i="17" l="1"/>
  <c r="F24" i="17"/>
  <c r="G24" i="19"/>
  <c r="F25" i="19"/>
  <c r="G25" i="19" l="1"/>
  <c r="F26" i="19"/>
  <c r="E26" i="17"/>
  <c r="F25" i="17"/>
  <c r="E27" i="17" l="1"/>
  <c r="F26" i="17"/>
  <c r="G26" i="19"/>
  <c r="F27" i="19"/>
  <c r="G27" i="19" l="1"/>
  <c r="F28" i="19"/>
  <c r="E28" i="17"/>
  <c r="F27" i="17"/>
  <c r="E29" i="17" l="1"/>
  <c r="G5" i="17" s="1"/>
  <c r="F28" i="17"/>
  <c r="G28" i="19"/>
  <c r="F29" i="19"/>
  <c r="G29" i="19" l="1"/>
  <c r="G30" i="19" s="1"/>
  <c r="H5" i="19"/>
  <c r="F29" i="17"/>
  <c r="F30" i="17" s="1"/>
  <c r="G28" i="17" l="1"/>
  <c r="G13" i="17"/>
  <c r="G18" i="17"/>
  <c r="G11" i="17"/>
  <c r="G8" i="17"/>
  <c r="G24" i="17"/>
  <c r="B5" i="22"/>
  <c r="G27" i="17"/>
  <c r="G12" i="17"/>
  <c r="G9" i="17"/>
  <c r="G15" i="17"/>
  <c r="G26" i="17"/>
  <c r="G7" i="17"/>
  <c r="H5" i="17"/>
  <c r="G21" i="17"/>
  <c r="G19" i="17"/>
  <c r="G23" i="17"/>
  <c r="G17" i="17"/>
  <c r="G22" i="17"/>
  <c r="G14" i="17"/>
  <c r="G6" i="17"/>
  <c r="G10" i="17"/>
  <c r="G25" i="17"/>
  <c r="G16" i="17"/>
  <c r="G29" i="17"/>
  <c r="G20" i="17"/>
  <c r="H21" i="19"/>
  <c r="I21" i="19" s="1"/>
  <c r="H12" i="19"/>
  <c r="I12" i="19" s="1"/>
  <c r="H27" i="19"/>
  <c r="I27" i="19" s="1"/>
  <c r="H17" i="19"/>
  <c r="I17" i="19" s="1"/>
  <c r="H8" i="19"/>
  <c r="I8" i="19" s="1"/>
  <c r="H11" i="19"/>
  <c r="I11" i="19" s="1"/>
  <c r="H22" i="19"/>
  <c r="I22" i="19" s="1"/>
  <c r="H29" i="19"/>
  <c r="I29" i="19" s="1"/>
  <c r="H20" i="19"/>
  <c r="I20" i="19" s="1"/>
  <c r="H10" i="19"/>
  <c r="I10" i="19" s="1"/>
  <c r="H25" i="19"/>
  <c r="I25" i="19" s="1"/>
  <c r="H16" i="19"/>
  <c r="I16" i="19" s="1"/>
  <c r="I5" i="19"/>
  <c r="H28" i="19"/>
  <c r="I28" i="19" s="1"/>
  <c r="H18" i="19"/>
  <c r="I18" i="19" s="1"/>
  <c r="H15" i="19"/>
  <c r="I15" i="19" s="1"/>
  <c r="H24" i="19"/>
  <c r="I24" i="19" s="1"/>
  <c r="H14" i="19"/>
  <c r="I14" i="19" s="1"/>
  <c r="H19" i="19"/>
  <c r="I19" i="19" s="1"/>
  <c r="H7" i="19"/>
  <c r="I7" i="19" s="1"/>
  <c r="H13" i="19"/>
  <c r="I13" i="19" s="1"/>
  <c r="H26" i="19"/>
  <c r="I26" i="19" s="1"/>
  <c r="H23" i="19"/>
  <c r="I23" i="19" s="1"/>
  <c r="H9" i="19"/>
  <c r="I9" i="19" s="1"/>
  <c r="H6" i="19"/>
  <c r="I6" i="19" s="1"/>
  <c r="H19" i="17" l="1"/>
  <c r="B19" i="22"/>
  <c r="I30" i="19"/>
  <c r="H25" i="17"/>
  <c r="B25" i="22"/>
  <c r="H22" i="17"/>
  <c r="B22" i="22"/>
  <c r="H21" i="17"/>
  <c r="B21" i="22"/>
  <c r="B15" i="22"/>
  <c r="H15" i="17"/>
  <c r="B18" i="22"/>
  <c r="H18" i="17"/>
  <c r="H16" i="17"/>
  <c r="B16" i="22"/>
  <c r="H14" i="17"/>
  <c r="B14" i="22"/>
  <c r="B26" i="22"/>
  <c r="H26" i="17"/>
  <c r="B27" i="22"/>
  <c r="H27" i="17"/>
  <c r="B11" i="22"/>
  <c r="H11" i="17"/>
  <c r="H20" i="17"/>
  <c r="B20" i="22"/>
  <c r="H10" i="17"/>
  <c r="B10" i="22"/>
  <c r="H17" i="17"/>
  <c r="B17" i="22"/>
  <c r="B9" i="22"/>
  <c r="H9" i="17"/>
  <c r="B24" i="22"/>
  <c r="H24" i="17"/>
  <c r="B13" i="22"/>
  <c r="H13" i="17"/>
  <c r="H29" i="17"/>
  <c r="B29" i="22"/>
  <c r="H6" i="17"/>
  <c r="B6" i="22"/>
  <c r="H23" i="17"/>
  <c r="B23" i="22"/>
  <c r="B7" i="22"/>
  <c r="H7" i="17"/>
  <c r="B12" i="22"/>
  <c r="H12" i="17"/>
  <c r="B8" i="22"/>
  <c r="H8" i="17"/>
  <c r="B28" i="22"/>
  <c r="H28" i="17"/>
  <c r="H30" i="17" l="1"/>
</calcChain>
</file>

<file path=xl/sharedStrings.xml><?xml version="1.0" encoding="utf-8"?>
<sst xmlns="http://schemas.openxmlformats.org/spreadsheetml/2006/main" count="504" uniqueCount="221">
  <si>
    <t>System Wide</t>
  </si>
  <si>
    <t>Minneapolis</t>
  </si>
  <si>
    <t>Minnetonka</t>
  </si>
  <si>
    <t>Edina</t>
  </si>
  <si>
    <t>SE</t>
  </si>
  <si>
    <t>Maple Grove</t>
  </si>
  <si>
    <t>Newport</t>
  </si>
  <si>
    <t>St.Paul</t>
  </si>
  <si>
    <t>NW</t>
  </si>
  <si>
    <t>WBL</t>
  </si>
  <si>
    <t>CONTENTS</t>
  </si>
  <si>
    <t>Figure ES-1. VOS Calculation Table: economic value, load match, loss savings and distributed PV value  - System Wide &amp; Each Planning Area</t>
  </si>
  <si>
    <t>Figure ES-2. VOS Rate Table: Calculation of the inflation-adjusted VOS - System Wide &amp; Each Planning Area</t>
  </si>
  <si>
    <t>Table 3. Fixed assumptions used in the methodology</t>
  </si>
  <si>
    <t>Table 4. Environmental costs by year</t>
  </si>
  <si>
    <t>Table 5. VOS Data table --required format showing example parameters used in the example calculation.</t>
  </si>
  <si>
    <t>Table 6. Azimuth and tilt angle</t>
  </si>
  <si>
    <t xml:space="preserve">Table 7. Losses to be considered   </t>
  </si>
  <si>
    <t>Table 8. Economic value of avoided fuel costs</t>
  </si>
  <si>
    <t>Table 9. Economic value of avoided plant O&amp;M - fixed</t>
  </si>
  <si>
    <t>Table 10. Economic value of avoided plant O&amp;M - variable</t>
  </si>
  <si>
    <t>Table 11. Economic value of avoided generation capacity cost.</t>
  </si>
  <si>
    <t>Table 12. Economic value of avoided reserve capacity cost.</t>
  </si>
  <si>
    <t>Table 13. Economic value of avoided transmission capacity cost.</t>
  </si>
  <si>
    <r>
      <t xml:space="preserve">Table 14. Determination of deferrable costs. </t>
    </r>
    <r>
      <rPr>
        <b/>
        <sz val="14"/>
        <rFont val="Garamond"/>
        <family val="1"/>
      </rPr>
      <t xml:space="preserve"> </t>
    </r>
  </si>
  <si>
    <t>Table 15. Economic value of avoided distribution capacity cost.  (two pages) - System Wide &amp; Each Planning Area</t>
  </si>
  <si>
    <t>Table 17. Economic value of avoided environmental costs</t>
  </si>
  <si>
    <t>Table 18. Calculation of the inflation-adjusted VOS</t>
  </si>
  <si>
    <t>Note: Table 1, 2 and 16 were not included as they are not required for the VOS calculation. Table 7 (Losses to be considered)</t>
  </si>
  <si>
    <t xml:space="preserve">          are included in Fig. ES-1</t>
  </si>
  <si>
    <t xml:space="preserve">Figure ES-2. 1st-Year VOS Rate calculation </t>
  </si>
  <si>
    <t>Year</t>
  </si>
  <si>
    <t>Discount
Factor</t>
  </si>
  <si>
    <t>Escalation
Factor</t>
  </si>
  <si>
    <t>VOS
Levelized</t>
  </si>
  <si>
    <t>Disc.</t>
  </si>
  <si>
    <t>VOS
Inflation Adj.
($/kWh)</t>
  </si>
  <si>
    <t>Disc</t>
  </si>
  <si>
    <t>Table 3.  Fixed Assumptions to be used for the VOS calculations</t>
  </si>
  <si>
    <t>Fuel Prices</t>
  </si>
  <si>
    <t>Guaranteed NG Fuel Prices</t>
  </si>
  <si>
    <t>Environmental Externalities</t>
  </si>
  <si>
    <t>$/mmBtu</t>
  </si>
  <si>
    <t>Environmental Discount Rate</t>
  </si>
  <si>
    <t>per year</t>
  </si>
  <si>
    <t>Environmental Costs</t>
  </si>
  <si>
    <t>separate table</t>
  </si>
  <si>
    <t>Economic Assumptions</t>
  </si>
  <si>
    <t>General Escalation Rate</t>
  </si>
  <si>
    <t xml:space="preserve">Treasury Yields </t>
  </si>
  <si>
    <t xml:space="preserve">1 Year </t>
  </si>
  <si>
    <t>2 Year</t>
  </si>
  <si>
    <t xml:space="preserve">3 Year </t>
  </si>
  <si>
    <t xml:space="preserve">5 Year </t>
  </si>
  <si>
    <t xml:space="preserve">7 Year </t>
  </si>
  <si>
    <t xml:space="preserve">10 Year </t>
  </si>
  <si>
    <t>Fuel Price Escalation</t>
  </si>
  <si>
    <t>20 Year</t>
  </si>
  <si>
    <t>30 Year</t>
  </si>
  <si>
    <t>PV Assumptions</t>
  </si>
  <si>
    <t>PV Degradation Rate</t>
  </si>
  <si>
    <t>PV Life</t>
  </si>
  <si>
    <t>Figure ES-1. VOS Calculation Table: economic value, load match, loss savings and distributed PV value</t>
  </si>
  <si>
    <t>Economic 
Value</t>
  </si>
  <si>
    <t>Load Match
(No Losses)</t>
  </si>
  <si>
    <t>Distributed
Loss Savings</t>
  </si>
  <si>
    <t>Distributed 
PV Value</t>
  </si>
  <si>
    <t>($/kWh)</t>
  </si>
  <si>
    <t>(%)</t>
  </si>
  <si>
    <t>Avoided Fuel Cost</t>
  </si>
  <si>
    <t>Avoided Plant O&amp;M - Fixed</t>
  </si>
  <si>
    <t>Avoided Plant O&amp;M - Variable</t>
  </si>
  <si>
    <t>Avoided Generation Capacity Cost</t>
  </si>
  <si>
    <t>Avoided Reserve Capacity Cost</t>
  </si>
  <si>
    <t>Avoided Transmission Capacity Cost</t>
  </si>
  <si>
    <t>Avoided Distribution Capacity Cost</t>
  </si>
  <si>
    <t>Avoided Environmental Cost</t>
  </si>
  <si>
    <t>Avoided Voltage Control Cost</t>
  </si>
  <si>
    <t>Solar Integration Cost</t>
  </si>
  <si>
    <t>TOTAL</t>
  </si>
  <si>
    <t>Table 4. Environmental costs by year.</t>
  </si>
  <si>
    <t>Analysis
Year</t>
  </si>
  <si>
    <t>CO2 Cost</t>
  </si>
  <si>
    <t>PM 2.5 Cost</t>
  </si>
  <si>
    <t>CO Cost</t>
  </si>
  <si>
    <t>NOx Cost</t>
  </si>
  <si>
    <t>Pb Cost</t>
  </si>
  <si>
    <t>SO2 Cost</t>
  </si>
  <si>
    <t>Total Cost</t>
  </si>
  <si>
    <t>Table 5. VOS Data table -- required format showing assumptions used in the VOS calculation.</t>
  </si>
  <si>
    <t>Input Data</t>
  </si>
  <si>
    <t>Units</t>
  </si>
  <si>
    <t>Economic Factors</t>
  </si>
  <si>
    <t>Power Generation - Continued</t>
  </si>
  <si>
    <t>Start Year for VOS applicability</t>
  </si>
  <si>
    <t>Other</t>
  </si>
  <si>
    <t>Discount Rate (After-tax WACC)</t>
  </si>
  <si>
    <t>Percentage</t>
  </si>
  <si>
    <t>Solar weighted Heat Rate</t>
  </si>
  <si>
    <t>BTU per kWh</t>
  </si>
  <si>
    <t>Fuel Price Overhead</t>
  </si>
  <si>
    <t>$ per MMBtu</t>
  </si>
  <si>
    <t xml:space="preserve">Load Match Analysis </t>
  </si>
  <si>
    <t>Generation life</t>
  </si>
  <si>
    <t>years</t>
  </si>
  <si>
    <t>ELCC (no loss)</t>
  </si>
  <si>
    <t>% of rating</t>
  </si>
  <si>
    <t>Heat Rate degradation</t>
  </si>
  <si>
    <t>pear year</t>
  </si>
  <si>
    <t>PLR (no loss)</t>
  </si>
  <si>
    <t>O&amp;M cost (first year) - Fixed</t>
  </si>
  <si>
    <t>per kW-yr</t>
  </si>
  <si>
    <t>Loss Savings - Energy</t>
  </si>
  <si>
    <t>% of PV output</t>
  </si>
  <si>
    <t>O&amp;M cost (first year) - Variable</t>
  </si>
  <si>
    <t>$ per kWh</t>
  </si>
  <si>
    <t>Loss Savings - PLR</t>
  </si>
  <si>
    <t>O&amp;M cost escalation rate</t>
  </si>
  <si>
    <t>Loss Savings - ELCC</t>
  </si>
  <si>
    <t>Reserve planning margin</t>
  </si>
  <si>
    <t>Years until new Generation is needed</t>
  </si>
  <si>
    <t>PV Energy</t>
  </si>
  <si>
    <t xml:space="preserve">Distribution </t>
  </si>
  <si>
    <t>Actual first year annual energy production</t>
  </si>
  <si>
    <t>kWh per kW-AC</t>
  </si>
  <si>
    <t>Capacity-related distribution capital costs -System</t>
  </si>
  <si>
    <t>$ per kW</t>
  </si>
  <si>
    <t>Capacity-related distribution capital costs - Mpls</t>
  </si>
  <si>
    <t>N/A</t>
  </si>
  <si>
    <t>Capacity-related distribution capital costs - Mtka</t>
  </si>
  <si>
    <t>Transmission</t>
  </si>
  <si>
    <t>Capacity-related distribution capital costs -Edina</t>
  </si>
  <si>
    <t>Capacity-related transmission capital cost</t>
  </si>
  <si>
    <t>Capacity-related distribution capital costs - SE</t>
  </si>
  <si>
    <t>Capacity-related distribution capital costs -MG</t>
  </si>
  <si>
    <t>Power Generation</t>
  </si>
  <si>
    <t>Capacity-related distribution capital costs - Newport</t>
  </si>
  <si>
    <t xml:space="preserve">Peaking CT, simple cycle </t>
  </si>
  <si>
    <t>Capacity-related distribution capital costs - St. Paul</t>
  </si>
  <si>
    <t>Installed Cost</t>
  </si>
  <si>
    <t>$/kW</t>
  </si>
  <si>
    <t>Capacity-related distribution capital costs - NW</t>
  </si>
  <si>
    <t>Heat Rate</t>
  </si>
  <si>
    <t>BTU/kWh</t>
  </si>
  <si>
    <t>Capacity-related distribution capital costs - WBL</t>
  </si>
  <si>
    <t>Intermediate CCGT</t>
  </si>
  <si>
    <t xml:space="preserve">Distribution capital cost escalation </t>
  </si>
  <si>
    <t>Peak Load (Weather Normalized)</t>
  </si>
  <si>
    <t>MW</t>
  </si>
  <si>
    <t>Peak Load Growth (10yr)</t>
  </si>
  <si>
    <t>Table 6. Azimuth and Tilt Angles</t>
  </si>
  <si>
    <t>Array KW</t>
  </si>
  <si>
    <t>% of Total</t>
  </si>
  <si>
    <t>Azimuth</t>
  </si>
  <si>
    <t>Tilt</t>
  </si>
  <si>
    <t>Weighted Average</t>
  </si>
  <si>
    <t>Table 8. Economic Value of Avoided Fuel Costs.</t>
  </si>
  <si>
    <t>Prices</t>
  </si>
  <si>
    <t>Costs</t>
  </si>
  <si>
    <t>Disc. Costs</t>
  </si>
  <si>
    <t>Guaranteed 
NG Price</t>
  </si>
  <si>
    <t>Burner Tip
NG Price</t>
  </si>
  <si>
    <t>Utility</t>
  </si>
  <si>
    <t>VOS</t>
  </si>
  <si>
    <t>p.u. PV 
Production</t>
  </si>
  <si>
    <t xml:space="preserve">Utility </t>
  </si>
  <si>
    <t>Discount 
Factor</t>
  </si>
  <si>
    <t>Treasury Yields</t>
  </si>
  <si>
    <t>mmBtu/kWh</t>
  </si>
  <si>
    <t>$/kWh</t>
  </si>
  <si>
    <t>(kWh)</t>
  </si>
  <si>
    <t>($)</t>
  </si>
  <si>
    <t>(risk free)</t>
  </si>
  <si>
    <t>Validation: Present Value</t>
  </si>
  <si>
    <t>O&amp;M
Fixed</t>
  </si>
  <si>
    <t>Utility Capacity</t>
  </si>
  <si>
    <t>PV 
Capacity</t>
  </si>
  <si>
    <t>per unit</t>
  </si>
  <si>
    <t>Capacity Cost</t>
  </si>
  <si>
    <t>Utility 
Capacity</t>
  </si>
  <si>
    <t>PV Capacity</t>
  </si>
  <si>
    <t>PV 
Production</t>
  </si>
  <si>
    <t xml:space="preserve"> $/kW-yr</t>
  </si>
  <si>
    <t>pu.</t>
  </si>
  <si>
    <t>kW</t>
  </si>
  <si>
    <t>CC / CT Ratio Based on Solar Implied HR.</t>
  </si>
  <si>
    <t>Solar Heat Rate</t>
  </si>
  <si>
    <t>CCGT</t>
  </si>
  <si>
    <t>CT</t>
  </si>
  <si>
    <t>Implied Ratio</t>
  </si>
  <si>
    <t>Solar Weighted Capacity Cost</t>
  </si>
  <si>
    <t>Amortized Over Generation Life</t>
  </si>
  <si>
    <t>$/kW-yr</t>
  </si>
  <si>
    <t>Reserve Margin</t>
  </si>
  <si>
    <t>%</t>
  </si>
  <si>
    <t xml:space="preserve">Table 14. Determination of deferrable distribution costs. </t>
  </si>
  <si>
    <t>Distribution Project Costs</t>
  </si>
  <si>
    <t>% Capacity Related</t>
  </si>
  <si>
    <t>Capacity Related</t>
  </si>
  <si>
    <t>$</t>
  </si>
  <si>
    <t>TOTAL 10-YEAR PERIOD</t>
  </si>
  <si>
    <t>Table 15. Economic value of avoided distribution capacity cost.</t>
  </si>
  <si>
    <t>Continued - Table 15. Economic value of avoided distribution capacity cost.</t>
  </si>
  <si>
    <t>EXAMPLE</t>
  </si>
  <si>
    <t>Conventional Distribution Planning</t>
  </si>
  <si>
    <t>Deferred Distribution Planning</t>
  </si>
  <si>
    <t>Distribution Cost</t>
  </si>
  <si>
    <t>New Dist.
Capacity</t>
  </si>
  <si>
    <t>Capital Cost</t>
  </si>
  <si>
    <t>Disc Capital
Cost</t>
  </si>
  <si>
    <t>Amortized</t>
  </si>
  <si>
    <t>Def. Dist.
Capacity</t>
  </si>
  <si>
    <t>Def. Capital Cost</t>
  </si>
  <si>
    <t>(MW)</t>
  </si>
  <si>
    <t>($M)</t>
  </si>
  <si>
    <t>$M/yr</t>
  </si>
  <si>
    <t>Env. Cost</t>
  </si>
  <si>
    <t>Solar Weighted Heat Rate</t>
  </si>
  <si>
    <t>mmBtu/MWh</t>
  </si>
  <si>
    <t>Table 18. Calculation of inflation-adjusted VOS</t>
  </si>
  <si>
    <t>Escallation
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</si>
</sst>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"/>
    <numFmt numFmtId="167" formatCode="&quot;$&quot;#,##0.00"/>
    <numFmt numFmtId="168" formatCode="&quot;$&quot;#,##0.000"/>
    <numFmt numFmtId="169" formatCode="0.0%"/>
    <numFmt numFmtId="170" formatCode="_(* #,##0.000_);_(* \(#,##0.000\);_(* &quot;-&quot;??_);_(@_)"/>
    <numFmt numFmtId="171" formatCode="0.000"/>
    <numFmt numFmtId="172" formatCode="#,##0.000_);\(#,##0.000\)"/>
    <numFmt numFmtId="173" formatCode="_(* #,##0.000_);_(* \(#,##0.000\);_(* &quot;-&quot;???_);_(@_)"/>
    <numFmt numFmtId="174" formatCode="0_);\(0\)"/>
    <numFmt numFmtId="175" formatCode="&quot;$&quot;#,##0.00&quot;/kW-yr&quot;"/>
    <numFmt numFmtId="176" formatCode="&quot;$&quot;#,##0.00&quot;/kW-mo&quot;"/>
    <numFmt numFmtId="177" formatCode="0.0000%"/>
    <numFmt numFmtId="178" formatCode="&quot;$&quot;#,##0.000_);\(&quot;$&quot;#,##0.000\);_(* &quot;-&quot;??_);_(@_)"/>
    <numFmt numFmtId="179" formatCode="_(&quot;$&quot;* #,##0.000_);_(&quot;$&quot;* \(#,##0.000\);_(&quot;$&quot;* &quot;-&quot;??_);_(@_)"/>
    <numFmt numFmtId="180" formatCode="&quot;$&quot;#,##0.0000"/>
    <numFmt numFmtId="181" formatCode="&quot;$&quot;#,##0.0000_);\(&quot;$&quot;#,##0.0000\);_(* &quot;-&quot;??_);_(@_)"/>
    <numFmt numFmtId="182" formatCode="#,##0.0"/>
    <numFmt numFmtId="183" formatCode="&quot;$&quot;#,##0.00000_);\(&quot;$&quot;#,##0.00000\);_(* &quot;-&quot;??_);_(@_)"/>
    <numFmt numFmtId="184" formatCode="0.0000"/>
    <numFmt numFmtId="185" formatCode="_(&quot;$&quot;* #,##0.0000_);_(&quot;$&quot;* \(#,##0.0000\);_(&quot;$&quot;* &quot;-&quot;??_);_(@_)"/>
    <numFmt numFmtId="186" formatCode="&quot;$&quot;#,##0.00000"/>
  </numFmts>
  <fonts count="26" x14ac:knownFonts="1">
    <font>
      <sz val="14"/>
      <name val="Garamond"/>
    </font>
    <font>
      <sz val="11"/>
      <color theme="1"/>
      <name val="Calibri"/>
      <family val="2"/>
      <scheme val="minor"/>
    </font>
    <font>
      <sz val="14"/>
      <name val="Garamond"/>
      <family val="1"/>
    </font>
    <font>
      <sz val="8"/>
      <name val="Garamond"/>
      <family val="1"/>
    </font>
    <font>
      <b/>
      <sz val="14"/>
      <name val="Garamond"/>
      <family val="1"/>
    </font>
    <font>
      <b/>
      <sz val="14"/>
      <color indexed="9"/>
      <name val="Garamond"/>
      <family val="1"/>
    </font>
    <font>
      <i/>
      <sz val="14"/>
      <name val="Garamond"/>
      <family val="1"/>
    </font>
    <font>
      <sz val="14"/>
      <color indexed="10"/>
      <name val="Garamond"/>
      <family val="1"/>
    </font>
    <font>
      <u/>
      <sz val="14"/>
      <name val="Garamond"/>
      <family val="1"/>
    </font>
    <font>
      <sz val="8"/>
      <name val="Arial"/>
      <family val="2"/>
    </font>
    <font>
      <b/>
      <sz val="20"/>
      <name val="Garamond"/>
      <family val="1"/>
    </font>
    <font>
      <sz val="14"/>
      <name val="Garamond"/>
      <family val="1"/>
    </font>
    <font>
      <sz val="12"/>
      <name val="Courier New"/>
      <family val="3"/>
    </font>
    <font>
      <sz val="8"/>
      <name val="Courier New"/>
      <family val="3"/>
    </font>
    <font>
      <b/>
      <sz val="11"/>
      <color indexed="9"/>
      <name val="Calibri"/>
      <family val="2"/>
    </font>
    <font>
      <b/>
      <sz val="12"/>
      <name val="Courier New"/>
      <family val="3"/>
    </font>
    <font>
      <b/>
      <sz val="19"/>
      <name val="Garamond"/>
      <family val="1"/>
    </font>
    <font>
      <sz val="8"/>
      <name val="Garamond"/>
      <family val="1"/>
    </font>
    <font>
      <u val="singleAccounting"/>
      <sz val="14"/>
      <name val="Garamond"/>
      <family val="1"/>
    </font>
    <font>
      <sz val="12"/>
      <color indexed="9"/>
      <name val="Garamond"/>
      <family val="1"/>
    </font>
    <font>
      <b/>
      <sz val="18"/>
      <name val="Garamond"/>
      <family val="1"/>
    </font>
    <font>
      <sz val="12"/>
      <name val="Garamond"/>
      <family val="1"/>
    </font>
    <font>
      <b/>
      <sz val="22"/>
      <name val="Garamond"/>
      <family val="1"/>
    </font>
    <font>
      <b/>
      <sz val="10"/>
      <name val="Garamond"/>
      <family val="1"/>
    </font>
    <font>
      <b/>
      <i/>
      <sz val="14"/>
      <name val="Garamond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9" fillId="0" borderId="0"/>
    <xf numFmtId="0" fontId="1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</cellStyleXfs>
  <cellXfs count="4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4" fillId="0" borderId="1" xfId="0" applyFont="1" applyBorder="1"/>
    <xf numFmtId="0" fontId="0" fillId="0" borderId="8" xfId="0" applyBorder="1"/>
    <xf numFmtId="0" fontId="0" fillId="0" borderId="4" xfId="0" applyBorder="1"/>
    <xf numFmtId="0" fontId="0" fillId="0" borderId="3" xfId="0" applyBorder="1" applyAlignment="1">
      <alignment horizontal="left" indent="2"/>
    </xf>
    <xf numFmtId="0" fontId="4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9" fontId="0" fillId="0" borderId="0" xfId="6" applyFont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39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39" fontId="0" fillId="0" borderId="14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2" borderId="4" xfId="0" applyNumberFormat="1" applyFill="1" applyBorder="1"/>
    <xf numFmtId="10" fontId="6" fillId="0" borderId="4" xfId="0" applyNumberFormat="1" applyFont="1" applyBorder="1"/>
    <xf numFmtId="0" fontId="0" fillId="0" borderId="5" xfId="0" applyBorder="1" applyAlignment="1">
      <alignment horizontal="center"/>
    </xf>
    <xf numFmtId="10" fontId="0" fillId="2" borderId="7" xfId="0" applyNumberFormat="1" applyFill="1" applyBorder="1"/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37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37" fontId="0" fillId="0" borderId="14" xfId="1" applyNumberFormat="1" applyFon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37" fontId="0" fillId="0" borderId="17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4" fillId="0" borderId="22" xfId="0" applyFont="1" applyBorder="1" applyAlignment="1">
      <alignment horizontal="right"/>
    </xf>
    <xf numFmtId="165" fontId="4" fillId="0" borderId="22" xfId="0" applyNumberFormat="1" applyFont="1" applyBorder="1"/>
    <xf numFmtId="165" fontId="4" fillId="0" borderId="23" xfId="0" applyNumberFormat="1" applyFont="1" applyBorder="1"/>
    <xf numFmtId="170" fontId="0" fillId="0" borderId="14" xfId="1" applyNumberFormat="1" applyFont="1" applyBorder="1" applyAlignment="1">
      <alignment horizontal="center"/>
    </xf>
    <xf numFmtId="170" fontId="0" fillId="0" borderId="0" xfId="1" applyNumberFormat="1" applyFont="1" applyBorder="1" applyAlignment="1">
      <alignment horizontal="center"/>
    </xf>
    <xf numFmtId="170" fontId="0" fillId="0" borderId="17" xfId="1" applyNumberFormat="1" applyFont="1" applyBorder="1" applyAlignment="1">
      <alignment horizontal="center"/>
    </xf>
    <xf numFmtId="172" fontId="0" fillId="0" borderId="0" xfId="1" applyNumberFormat="1" applyFont="1" applyBorder="1" applyAlignment="1">
      <alignment horizontal="center"/>
    </xf>
    <xf numFmtId="172" fontId="0" fillId="0" borderId="17" xfId="1" applyNumberFormat="1" applyFont="1" applyBorder="1" applyAlignment="1">
      <alignment horizontal="center"/>
    </xf>
    <xf numFmtId="171" fontId="0" fillId="0" borderId="14" xfId="1" applyNumberFormat="1" applyFont="1" applyBorder="1" applyAlignment="1">
      <alignment horizontal="center"/>
    </xf>
    <xf numFmtId="171" fontId="0" fillId="0" borderId="0" xfId="1" applyNumberFormat="1" applyFont="1" applyBorder="1" applyAlignment="1">
      <alignment horizontal="center"/>
    </xf>
    <xf numFmtId="3" fontId="0" fillId="0" borderId="14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0" fillId="0" borderId="17" xfId="1" applyNumberFormat="1" applyFont="1" applyBorder="1" applyAlignment="1">
      <alignment horizontal="center"/>
    </xf>
    <xf numFmtId="167" fontId="0" fillId="0" borderId="0" xfId="1" applyNumberFormat="1" applyFont="1" applyAlignment="1">
      <alignment horizontal="center"/>
    </xf>
    <xf numFmtId="174" fontId="0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9" fontId="0" fillId="0" borderId="0" xfId="6" applyNumberFormat="1" applyFont="1" applyBorder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177" fontId="0" fillId="0" borderId="0" xfId="6" applyNumberFormat="1" applyFont="1"/>
    <xf numFmtId="0" fontId="0" fillId="0" borderId="10" xfId="0" applyBorder="1"/>
    <xf numFmtId="0" fontId="0" fillId="0" borderId="21" xfId="0" applyBorder="1"/>
    <xf numFmtId="0" fontId="0" fillId="0" borderId="22" xfId="0" applyBorder="1"/>
    <xf numFmtId="165" fontId="0" fillId="0" borderId="22" xfId="0" applyNumberFormat="1" applyBorder="1"/>
    <xf numFmtId="165" fontId="0" fillId="0" borderId="23" xfId="0" applyNumberFormat="1" applyBorder="1"/>
    <xf numFmtId="178" fontId="0" fillId="0" borderId="14" xfId="0" applyNumberFormat="1" applyBorder="1" applyAlignment="1">
      <alignment horizontal="center"/>
    </xf>
    <xf numFmtId="178" fontId="0" fillId="0" borderId="0" xfId="0" applyNumberFormat="1" applyBorder="1" applyAlignment="1">
      <alignment horizontal="center"/>
    </xf>
    <xf numFmtId="178" fontId="0" fillId="0" borderId="17" xfId="0" applyNumberFormat="1" applyBorder="1" applyAlignment="1">
      <alignment horizontal="center"/>
    </xf>
    <xf numFmtId="0" fontId="0" fillId="0" borderId="20" xfId="0" applyBorder="1"/>
    <xf numFmtId="0" fontId="0" fillId="0" borderId="0" xfId="0" applyFill="1"/>
    <xf numFmtId="43" fontId="0" fillId="0" borderId="0" xfId="1" applyFont="1"/>
    <xf numFmtId="169" fontId="0" fillId="0" borderId="14" xfId="6" applyNumberFormat="1" applyFont="1" applyBorder="1" applyAlignment="1">
      <alignment horizontal="center"/>
    </xf>
    <xf numFmtId="169" fontId="0" fillId="0" borderId="17" xfId="6" applyNumberFormat="1" applyFont="1" applyBorder="1" applyAlignment="1">
      <alignment horizontal="center"/>
    </xf>
    <xf numFmtId="179" fontId="0" fillId="0" borderId="0" xfId="2" applyNumberFormat="1" applyFont="1"/>
    <xf numFmtId="173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168" fontId="0" fillId="0" borderId="0" xfId="0" applyNumberFormat="1" applyBorder="1" applyAlignment="1">
      <alignment horizontal="center"/>
    </xf>
    <xf numFmtId="0" fontId="0" fillId="0" borderId="3" xfId="0" applyFill="1" applyBorder="1"/>
    <xf numFmtId="168" fontId="0" fillId="0" borderId="0" xfId="0" applyNumberFormat="1" applyFill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168" fontId="0" fillId="0" borderId="0" xfId="0" applyNumberFormat="1" applyAlignment="1">
      <alignment horizontal="center"/>
    </xf>
    <xf numFmtId="171" fontId="0" fillId="0" borderId="0" xfId="0" applyNumberFormat="1" applyBorder="1" applyAlignment="1">
      <alignment horizontal="center"/>
    </xf>
    <xf numFmtId="0" fontId="0" fillId="0" borderId="19" xfId="0" applyBorder="1" applyAlignment="1">
      <alignment horizontal="center" wrapText="1"/>
    </xf>
    <xf numFmtId="171" fontId="0" fillId="0" borderId="14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  <xf numFmtId="171" fontId="0" fillId="0" borderId="15" xfId="0" applyNumberFormat="1" applyBorder="1" applyAlignment="1">
      <alignment horizontal="center"/>
    </xf>
    <xf numFmtId="171" fontId="0" fillId="0" borderId="16" xfId="0" applyNumberFormat="1" applyBorder="1" applyAlignment="1">
      <alignment horizontal="center"/>
    </xf>
    <xf numFmtId="171" fontId="0" fillId="0" borderId="17" xfId="0" applyNumberFormat="1" applyBorder="1" applyAlignment="1">
      <alignment horizontal="center"/>
    </xf>
    <xf numFmtId="168" fontId="0" fillId="0" borderId="17" xfId="0" applyNumberFormat="1" applyBorder="1" applyAlignment="1">
      <alignment horizontal="center"/>
    </xf>
    <xf numFmtId="171" fontId="0" fillId="0" borderId="18" xfId="0" applyNumberFormat="1" applyBorder="1" applyAlignment="1">
      <alignment horizontal="center"/>
    </xf>
    <xf numFmtId="0" fontId="0" fillId="0" borderId="5" xfId="0" applyFill="1" applyBorder="1"/>
    <xf numFmtId="0" fontId="10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Fill="1" applyBorder="1" applyAlignment="1">
      <alignment horizontal="center" wrapText="1"/>
    </xf>
    <xf numFmtId="168" fontId="0" fillId="0" borderId="14" xfId="0" applyNumberFormat="1" applyFill="1" applyBorder="1" applyAlignment="1">
      <alignment horizontal="center"/>
    </xf>
    <xf numFmtId="168" fontId="0" fillId="0" borderId="17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center" wrapText="1"/>
    </xf>
    <xf numFmtId="180" fontId="0" fillId="0" borderId="0" xfId="0" applyNumberFormat="1" applyBorder="1" applyAlignment="1">
      <alignment horizontal="center"/>
    </xf>
    <xf numFmtId="181" fontId="7" fillId="0" borderId="0" xfId="0" applyNumberFormat="1" applyFont="1" applyBorder="1"/>
    <xf numFmtId="0" fontId="10" fillId="0" borderId="0" xfId="5" applyFont="1"/>
    <xf numFmtId="0" fontId="12" fillId="0" borderId="0" xfId="5"/>
    <xf numFmtId="0" fontId="14" fillId="4" borderId="0" xfId="5" applyFont="1" applyFill="1" applyAlignment="1">
      <alignment horizontal="center"/>
    </xf>
    <xf numFmtId="164" fontId="12" fillId="0" borderId="0" xfId="5" applyNumberFormat="1" applyFill="1" applyBorder="1"/>
    <xf numFmtId="0" fontId="15" fillId="0" borderId="0" xfId="5" applyFont="1" applyAlignment="1">
      <alignment horizontal="right"/>
    </xf>
    <xf numFmtId="0" fontId="15" fillId="0" borderId="0" xfId="5" applyFont="1"/>
    <xf numFmtId="10" fontId="0" fillId="0" borderId="0" xfId="0" applyNumberFormat="1" applyFill="1" applyBorder="1"/>
    <xf numFmtId="0" fontId="5" fillId="3" borderId="6" xfId="0" applyFont="1" applyFill="1" applyBorder="1" applyAlignment="1">
      <alignment horizontal="center"/>
    </xf>
    <xf numFmtId="180" fontId="0" fillId="0" borderId="0" xfId="0" applyNumberFormat="1" applyFill="1" applyBorder="1" applyAlignment="1">
      <alignment horizontal="center"/>
    </xf>
    <xf numFmtId="0" fontId="16" fillId="0" borderId="0" xfId="0" applyFont="1"/>
    <xf numFmtId="181" fontId="7" fillId="0" borderId="14" xfId="0" applyNumberFormat="1" applyFont="1" applyBorder="1"/>
    <xf numFmtId="181" fontId="7" fillId="0" borderId="17" xfId="0" applyNumberFormat="1" applyFont="1" applyBorder="1"/>
    <xf numFmtId="169" fontId="0" fillId="0" borderId="0" xfId="0" applyNumberFormat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71" fontId="0" fillId="0" borderId="17" xfId="1" applyNumberFormat="1" applyFont="1" applyBorder="1" applyAlignment="1">
      <alignment horizontal="center"/>
    </xf>
    <xf numFmtId="0" fontId="17" fillId="0" borderId="0" xfId="4" applyFont="1"/>
    <xf numFmtId="0" fontId="4" fillId="0" borderId="31" xfId="4" applyFont="1" applyBorder="1" applyAlignment="1">
      <alignment horizontal="center" wrapText="1"/>
    </xf>
    <xf numFmtId="0" fontId="4" fillId="0" borderId="19" xfId="4" applyFont="1" applyBorder="1" applyAlignment="1">
      <alignment horizontal="center" wrapText="1"/>
    </xf>
    <xf numFmtId="0" fontId="4" fillId="0" borderId="33" xfId="4" applyFont="1" applyBorder="1" applyAlignment="1">
      <alignment horizontal="center" wrapText="1"/>
    </xf>
    <xf numFmtId="0" fontId="4" fillId="0" borderId="32" xfId="4" applyFont="1" applyBorder="1" applyAlignment="1">
      <alignment horizontal="center" wrapText="1"/>
    </xf>
    <xf numFmtId="164" fontId="18" fillId="0" borderId="16" xfId="1" applyNumberFormat="1" applyFont="1" applyBorder="1" applyAlignment="1">
      <alignment horizontal="center"/>
    </xf>
    <xf numFmtId="0" fontId="4" fillId="0" borderId="11" xfId="4" applyFont="1" applyBorder="1"/>
    <xf numFmtId="167" fontId="0" fillId="0" borderId="0" xfId="0" applyNumberFormat="1" applyFill="1"/>
    <xf numFmtId="168" fontId="19" fillId="0" borderId="0" xfId="0" applyNumberFormat="1" applyFont="1" applyBorder="1" applyAlignment="1">
      <alignment horizontal="center"/>
    </xf>
    <xf numFmtId="0" fontId="20" fillId="0" borderId="1" xfId="0" applyFont="1" applyBorder="1"/>
    <xf numFmtId="0" fontId="6" fillId="0" borderId="5" xfId="0" applyFont="1" applyBorder="1"/>
    <xf numFmtId="175" fontId="0" fillId="0" borderId="0" xfId="0" applyNumberFormat="1" applyBorder="1" applyAlignment="1">
      <alignment horizontal="center"/>
    </xf>
    <xf numFmtId="176" fontId="0" fillId="0" borderId="0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74" fontId="0" fillId="0" borderId="0" xfId="1" applyNumberFormat="1" applyFont="1" applyFill="1" applyBorder="1" applyAlignment="1">
      <alignment horizontal="center"/>
    </xf>
    <xf numFmtId="174" fontId="0" fillId="0" borderId="4" xfId="1" applyNumberFormat="1" applyFont="1" applyFill="1" applyBorder="1" applyAlignment="1">
      <alignment horizontal="center"/>
    </xf>
    <xf numFmtId="9" fontId="0" fillId="0" borderId="0" xfId="6" applyFont="1" applyFill="1" applyBorder="1" applyAlignment="1">
      <alignment horizontal="center"/>
    </xf>
    <xf numFmtId="9" fontId="0" fillId="0" borderId="4" xfId="6" applyFont="1" applyFill="1" applyBorder="1" applyAlignment="1">
      <alignment horizontal="center"/>
    </xf>
    <xf numFmtId="5" fontId="0" fillId="0" borderId="0" xfId="1" applyNumberFormat="1" applyFont="1" applyFill="1" applyBorder="1" applyAlignment="1">
      <alignment horizontal="center"/>
    </xf>
    <xf numFmtId="5" fontId="0" fillId="0" borderId="4" xfId="1" applyNumberFormat="1" applyFont="1" applyFill="1" applyBorder="1" applyAlignment="1">
      <alignment horizontal="center"/>
    </xf>
    <xf numFmtId="0" fontId="0" fillId="0" borderId="4" xfId="0" applyFill="1" applyBorder="1"/>
    <xf numFmtId="165" fontId="0" fillId="0" borderId="0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0" fontId="0" fillId="0" borderId="7" xfId="0" applyFill="1" applyBorder="1"/>
    <xf numFmtId="164" fontId="21" fillId="0" borderId="0" xfId="1" applyNumberFormat="1" applyFont="1" applyBorder="1" applyAlignment="1">
      <alignment horizontal="center"/>
    </xf>
    <xf numFmtId="180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2" fillId="0" borderId="0" xfId="5" applyFill="1"/>
    <xf numFmtId="181" fontId="7" fillId="0" borderId="14" xfId="0" applyNumberFormat="1" applyFont="1" applyFill="1" applyBorder="1"/>
    <xf numFmtId="178" fontId="0" fillId="0" borderId="14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1" applyNumberFormat="1" applyFont="1" applyAlignment="1">
      <alignment horizontal="center"/>
    </xf>
    <xf numFmtId="8" fontId="0" fillId="0" borderId="0" xfId="0" applyNumberFormat="1"/>
    <xf numFmtId="0" fontId="0" fillId="0" borderId="0" xfId="0" applyFill="1" applyAlignment="1">
      <alignment horizontal="center"/>
    </xf>
    <xf numFmtId="167" fontId="0" fillId="0" borderId="14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5" fontId="0" fillId="0" borderId="14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17" xfId="1" applyNumberFormat="1" applyFont="1" applyFill="1" applyBorder="1" applyAlignment="1">
      <alignment horizontal="center"/>
    </xf>
    <xf numFmtId="165" fontId="0" fillId="0" borderId="11" xfId="1" applyNumberFormat="1" applyFont="1" applyFill="1" applyBorder="1" applyAlignment="1">
      <alignment horizontal="center"/>
    </xf>
    <xf numFmtId="165" fontId="0" fillId="0" borderId="12" xfId="1" applyNumberFormat="1" applyFont="1" applyFill="1" applyBorder="1" applyAlignment="1">
      <alignment horizontal="center"/>
    </xf>
    <xf numFmtId="165" fontId="0" fillId="0" borderId="13" xfId="1" applyNumberFormat="1" applyFont="1" applyFill="1" applyBorder="1" applyAlignment="1">
      <alignment horizontal="center"/>
    </xf>
    <xf numFmtId="167" fontId="2" fillId="0" borderId="14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7" fontId="2" fillId="0" borderId="17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/>
    </xf>
    <xf numFmtId="180" fontId="0" fillId="0" borderId="4" xfId="0" applyNumberFormat="1" applyFill="1" applyBorder="1" applyAlignment="1">
      <alignment horizontal="center"/>
    </xf>
    <xf numFmtId="180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80" fontId="4" fillId="0" borderId="4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80" fontId="2" fillId="0" borderId="39" xfId="0" applyNumberFormat="1" applyFont="1" applyFill="1" applyBorder="1" applyAlignment="1">
      <alignment horizontal="center"/>
    </xf>
    <xf numFmtId="180" fontId="2" fillId="0" borderId="40" xfId="0" applyNumberFormat="1" applyFont="1" applyFill="1" applyBorder="1" applyAlignment="1">
      <alignment horizontal="center"/>
    </xf>
    <xf numFmtId="180" fontId="2" fillId="0" borderId="41" xfId="0" applyNumberFormat="1" applyFont="1" applyFill="1" applyBorder="1" applyAlignment="1">
      <alignment horizontal="center"/>
    </xf>
    <xf numFmtId="0" fontId="2" fillId="0" borderId="3" xfId="0" applyFont="1" applyBorder="1"/>
    <xf numFmtId="0" fontId="22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180" fontId="2" fillId="0" borderId="0" xfId="0" applyNumberFormat="1" applyFont="1" applyFill="1" applyBorder="1" applyAlignment="1">
      <alignment horizontal="center"/>
    </xf>
    <xf numFmtId="180" fontId="2" fillId="0" borderId="17" xfId="0" applyNumberFormat="1" applyFont="1" applyFill="1" applyBorder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0" fillId="6" borderId="0" xfId="0" applyNumberFormat="1" applyFill="1" applyBorder="1" applyAlignment="1">
      <alignment horizontal="center"/>
    </xf>
    <xf numFmtId="180" fontId="0" fillId="0" borderId="0" xfId="0" applyNumberFormat="1" applyBorder="1"/>
    <xf numFmtId="0" fontId="2" fillId="0" borderId="0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184" fontId="0" fillId="0" borderId="0" xfId="0" applyNumberFormat="1" applyAlignment="1">
      <alignment horizontal="center"/>
    </xf>
    <xf numFmtId="0" fontId="2" fillId="0" borderId="0" xfId="0" applyFont="1" applyFill="1" applyBorder="1"/>
    <xf numFmtId="0" fontId="0" fillId="0" borderId="0" xfId="0" applyFill="1" applyBorder="1" applyAlignment="1">
      <alignment horizontal="left" indent="2"/>
    </xf>
    <xf numFmtId="0" fontId="2" fillId="0" borderId="9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0" borderId="6" xfId="0" applyFill="1" applyBorder="1"/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167" fontId="23" fillId="0" borderId="0" xfId="0" applyNumberFormat="1" applyFont="1" applyFill="1" applyBorder="1" applyAlignment="1">
      <alignment horizontal="center" wrapText="1"/>
    </xf>
    <xf numFmtId="0" fontId="10" fillId="6" borderId="0" xfId="0" applyFont="1" applyFill="1"/>
    <xf numFmtId="0" fontId="0" fillId="6" borderId="0" xfId="0" applyFill="1"/>
    <xf numFmtId="0" fontId="0" fillId="6" borderId="0" xfId="0" applyFill="1" applyBorder="1"/>
    <xf numFmtId="0" fontId="4" fillId="6" borderId="24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wrapText="1"/>
    </xf>
    <xf numFmtId="0" fontId="4" fillId="6" borderId="26" xfId="0" applyFont="1" applyFill="1" applyBorder="1" applyAlignment="1">
      <alignment horizontal="center" wrapText="1"/>
    </xf>
    <xf numFmtId="171" fontId="1" fillId="6" borderId="0" xfId="9" applyNumberFormat="1" applyFont="1" applyFill="1" applyBorder="1"/>
    <xf numFmtId="165" fontId="2" fillId="0" borderId="19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168" fontId="0" fillId="6" borderId="0" xfId="0" applyNumberFormat="1" applyFill="1" applyBorder="1" applyAlignment="1">
      <alignment horizontal="center"/>
    </xf>
    <xf numFmtId="3" fontId="12" fillId="0" borderId="1" xfId="1" applyNumberFormat="1" applyFont="1" applyFill="1" applyBorder="1" applyAlignment="1">
      <alignment horizontal="center"/>
    </xf>
    <xf numFmtId="169" fontId="12" fillId="0" borderId="8" xfId="6" applyNumberFormat="1" applyFont="1" applyFill="1" applyBorder="1" applyAlignment="1">
      <alignment horizontal="center"/>
    </xf>
    <xf numFmtId="3" fontId="12" fillId="0" borderId="2" xfId="1" applyNumberFormat="1" applyFont="1" applyFill="1" applyBorder="1" applyAlignment="1">
      <alignment horizontal="center"/>
    </xf>
    <xf numFmtId="3" fontId="12" fillId="0" borderId="8" xfId="1" applyNumberFormat="1" applyFont="1" applyFill="1" applyBorder="1" applyAlignment="1">
      <alignment horizontal="center"/>
    </xf>
    <xf numFmtId="3" fontId="12" fillId="0" borderId="3" xfId="1" applyNumberFormat="1" applyFont="1" applyFill="1" applyBorder="1" applyAlignment="1">
      <alignment horizontal="center"/>
    </xf>
    <xf numFmtId="169" fontId="12" fillId="0" borderId="4" xfId="6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/>
    </xf>
    <xf numFmtId="3" fontId="12" fillId="0" borderId="4" xfId="1" applyNumberFormat="1" applyFont="1" applyFill="1" applyBorder="1" applyAlignment="1">
      <alignment horizontal="center"/>
    </xf>
    <xf numFmtId="3" fontId="12" fillId="0" borderId="5" xfId="1" applyNumberFormat="1" applyFont="1" applyFill="1" applyBorder="1" applyAlignment="1">
      <alignment horizontal="center"/>
    </xf>
    <xf numFmtId="169" fontId="12" fillId="0" borderId="7" xfId="6" applyNumberFormat="1" applyFont="1" applyFill="1" applyBorder="1" applyAlignment="1">
      <alignment horizontal="center"/>
    </xf>
    <xf numFmtId="3" fontId="12" fillId="0" borderId="6" xfId="1" applyNumberFormat="1" applyFont="1" applyFill="1" applyBorder="1" applyAlignment="1">
      <alignment horizontal="center"/>
    </xf>
    <xf numFmtId="3" fontId="12" fillId="0" borderId="7" xfId="1" applyNumberFormat="1" applyFont="1" applyFill="1" applyBorder="1" applyAlignment="1">
      <alignment horizontal="center"/>
    </xf>
    <xf numFmtId="3" fontId="15" fillId="0" borderId="5" xfId="5" applyNumberFormat="1" applyFont="1" applyFill="1" applyBorder="1" applyAlignment="1">
      <alignment horizontal="center"/>
    </xf>
    <xf numFmtId="9" fontId="15" fillId="0" borderId="7" xfId="5" applyNumberFormat="1" applyFont="1" applyFill="1" applyBorder="1" applyAlignment="1">
      <alignment horizontal="center"/>
    </xf>
    <xf numFmtId="182" fontId="15" fillId="0" borderId="21" xfId="1" applyNumberFormat="1" applyFont="1" applyFill="1" applyBorder="1" applyAlignment="1">
      <alignment horizontal="center"/>
    </xf>
    <xf numFmtId="182" fontId="15" fillId="0" borderId="23" xfId="1" applyNumberFormat="1" applyFont="1" applyFill="1" applyBorder="1" applyAlignment="1">
      <alignment horizontal="center"/>
    </xf>
    <xf numFmtId="0" fontId="0" fillId="0" borderId="2" xfId="0" applyFill="1" applyBorder="1"/>
    <xf numFmtId="168" fontId="0" fillId="0" borderId="19" xfId="0" applyNumberForma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168" fontId="2" fillId="0" borderId="19" xfId="0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169" fontId="2" fillId="0" borderId="19" xfId="0" applyNumberFormat="1" applyFont="1" applyFill="1" applyBorder="1" applyAlignment="1">
      <alignment horizontal="center"/>
    </xf>
    <xf numFmtId="10" fontId="2" fillId="0" borderId="19" xfId="0" applyNumberFormat="1" applyFont="1" applyFill="1" applyBorder="1" applyAlignment="1">
      <alignment horizontal="center"/>
    </xf>
    <xf numFmtId="167" fontId="2" fillId="0" borderId="10" xfId="0" applyNumberFormat="1" applyFont="1" applyFill="1" applyBorder="1" applyAlignment="1">
      <alignment horizontal="center"/>
    </xf>
    <xf numFmtId="186" fontId="2" fillId="0" borderId="10" xfId="0" applyNumberFormat="1" applyFont="1" applyFill="1" applyBorder="1" applyAlignment="1">
      <alignment horizontal="center"/>
    </xf>
    <xf numFmtId="167" fontId="2" fillId="0" borderId="19" xfId="0" applyNumberFormat="1" applyFont="1" applyFill="1" applyBorder="1" applyAlignment="1">
      <alignment horizontal="center"/>
    </xf>
    <xf numFmtId="10" fontId="0" fillId="0" borderId="19" xfId="6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80" fontId="4" fillId="0" borderId="0" xfId="0" applyNumberFormat="1" applyFont="1" applyFill="1" applyBorder="1" applyAlignment="1">
      <alignment horizontal="center"/>
    </xf>
    <xf numFmtId="180" fontId="2" fillId="0" borderId="34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7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wrapText="1"/>
    </xf>
    <xf numFmtId="0" fontId="2" fillId="6" borderId="28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2" fillId="6" borderId="29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168" fontId="2" fillId="0" borderId="35" xfId="1" applyNumberFormat="1" applyFont="1" applyFill="1" applyBorder="1" applyAlignment="1">
      <alignment horizontal="center"/>
    </xf>
    <xf numFmtId="168" fontId="2" fillId="6" borderId="0" xfId="1" applyNumberFormat="1" applyFont="1" applyFill="1" applyBorder="1" applyAlignment="1">
      <alignment horizontal="center"/>
    </xf>
    <xf numFmtId="0" fontId="2" fillId="6" borderId="0" xfId="0" applyFont="1" applyFill="1"/>
    <xf numFmtId="0" fontId="2" fillId="6" borderId="3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168" fontId="2" fillId="0" borderId="36" xfId="1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168" fontId="2" fillId="0" borderId="37" xfId="0" applyNumberFormat="1" applyFont="1" applyFill="1" applyBorder="1" applyAlignment="1">
      <alignment horizontal="center"/>
    </xf>
    <xf numFmtId="168" fontId="2" fillId="0" borderId="6" xfId="0" applyNumberFormat="1" applyFont="1" applyFill="1" applyBorder="1" applyAlignment="1">
      <alignment horizontal="center"/>
    </xf>
    <xf numFmtId="168" fontId="2" fillId="0" borderId="38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2" fillId="0" borderId="0" xfId="6" applyNumberFormat="1" applyFont="1" applyFill="1" applyBorder="1"/>
    <xf numFmtId="9" fontId="2" fillId="0" borderId="0" xfId="0" applyNumberFormat="1" applyFont="1" applyFill="1" applyBorder="1"/>
    <xf numFmtId="0" fontId="4" fillId="0" borderId="3" xfId="0" applyFont="1" applyFill="1" applyBorder="1"/>
    <xf numFmtId="185" fontId="2" fillId="0" borderId="0" xfId="2" applyNumberFormat="1" applyFont="1" applyFill="1" applyBorder="1"/>
    <xf numFmtId="0" fontId="4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67" fontId="2" fillId="0" borderId="19" xfId="3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7" fontId="2" fillId="0" borderId="14" xfId="0" applyNumberFormat="1" applyFont="1" applyBorder="1" applyAlignment="1">
      <alignment horizontal="center"/>
    </xf>
    <xf numFmtId="37" fontId="2" fillId="0" borderId="14" xfId="1" applyNumberFormat="1" applyFont="1" applyBorder="1" applyAlignment="1">
      <alignment horizontal="center"/>
    </xf>
    <xf numFmtId="178" fontId="2" fillId="0" borderId="14" xfId="0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70" fontId="2" fillId="0" borderId="14" xfId="1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37" fontId="2" fillId="0" borderId="0" xfId="1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70" fontId="2" fillId="0" borderId="0" xfId="1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7" fontId="2" fillId="0" borderId="17" xfId="0" applyNumberFormat="1" applyFont="1" applyBorder="1" applyAlignment="1">
      <alignment horizontal="center"/>
    </xf>
    <xf numFmtId="37" fontId="2" fillId="0" borderId="17" xfId="1" applyNumberFormat="1" applyFont="1" applyBorder="1" applyAlignment="1">
      <alignment horizontal="center"/>
    </xf>
    <xf numFmtId="178" fontId="2" fillId="0" borderId="17" xfId="0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170" fontId="2" fillId="0" borderId="17" xfId="1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39" fontId="2" fillId="0" borderId="14" xfId="1" applyNumberFormat="1" applyFont="1" applyBorder="1" applyAlignment="1">
      <alignment horizontal="center"/>
    </xf>
    <xf numFmtId="181" fontId="2" fillId="0" borderId="14" xfId="0" applyNumberFormat="1" applyFont="1" applyBorder="1" applyAlignment="1">
      <alignment horizontal="center"/>
    </xf>
    <xf numFmtId="167" fontId="2" fillId="0" borderId="15" xfId="0" applyNumberFormat="1" applyFont="1" applyBorder="1" applyAlignment="1">
      <alignment horizontal="center"/>
    </xf>
    <xf numFmtId="172" fontId="2" fillId="0" borderId="0" xfId="1" applyNumberFormat="1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72" fontId="2" fillId="0" borderId="17" xfId="1" applyNumberFormat="1" applyFont="1" applyBorder="1" applyAlignment="1">
      <alignment horizontal="center"/>
    </xf>
    <xf numFmtId="181" fontId="2" fillId="0" borderId="17" xfId="0" applyNumberFormat="1" applyFont="1" applyBorder="1" applyAlignment="1">
      <alignment horizontal="center"/>
    </xf>
    <xf numFmtId="167" fontId="2" fillId="0" borderId="18" xfId="0" applyNumberFormat="1" applyFont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171" fontId="2" fillId="0" borderId="14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171" fontId="2" fillId="0" borderId="0" xfId="1" applyNumberFormat="1" applyFont="1" applyBorder="1" applyAlignment="1">
      <alignment horizontal="center"/>
    </xf>
    <xf numFmtId="3" fontId="2" fillId="0" borderId="17" xfId="1" applyNumberFormat="1" applyFont="1" applyBorder="1" applyAlignment="1">
      <alignment horizontal="center"/>
    </xf>
    <xf numFmtId="171" fontId="2" fillId="0" borderId="17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2" fillId="0" borderId="0" xfId="6" applyFont="1" applyAlignment="1">
      <alignment horizontal="center"/>
    </xf>
    <xf numFmtId="0" fontId="2" fillId="0" borderId="20" xfId="0" applyFont="1" applyBorder="1"/>
    <xf numFmtId="165" fontId="2" fillId="0" borderId="14" xfId="1" applyNumberFormat="1" applyFont="1" applyBorder="1" applyAlignment="1">
      <alignment horizontal="center"/>
    </xf>
    <xf numFmtId="170" fontId="2" fillId="0" borderId="14" xfId="1" applyNumberFormat="1" applyFont="1" applyBorder="1"/>
    <xf numFmtId="165" fontId="2" fillId="0" borderId="0" xfId="1" applyNumberFormat="1" applyFont="1" applyBorder="1" applyAlignment="1">
      <alignment horizontal="center"/>
    </xf>
    <xf numFmtId="170" fontId="2" fillId="0" borderId="0" xfId="1" applyNumberFormat="1" applyFont="1" applyBorder="1"/>
    <xf numFmtId="165" fontId="2" fillId="0" borderId="17" xfId="1" applyNumberFormat="1" applyFont="1" applyBorder="1" applyAlignment="1">
      <alignment horizontal="center"/>
    </xf>
    <xf numFmtId="170" fontId="2" fillId="0" borderId="17" xfId="1" applyNumberFormat="1" applyFont="1" applyBorder="1"/>
    <xf numFmtId="167" fontId="2" fillId="0" borderId="0" xfId="1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178" fontId="7" fillId="0" borderId="0" xfId="0" applyNumberFormat="1" applyFont="1" applyBorder="1"/>
    <xf numFmtId="0" fontId="2" fillId="0" borderId="21" xfId="0" applyFont="1" applyBorder="1"/>
    <xf numFmtId="0" fontId="2" fillId="0" borderId="22" xfId="0" applyFont="1" applyBorder="1"/>
    <xf numFmtId="165" fontId="2" fillId="0" borderId="22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0" fontId="3" fillId="0" borderId="0" xfId="4" applyFont="1"/>
    <xf numFmtId="0" fontId="3" fillId="0" borderId="0" xfId="4" applyFont="1" applyBorder="1" applyAlignment="1">
      <alignment horizontal="center"/>
    </xf>
    <xf numFmtId="0" fontId="2" fillId="0" borderId="15" xfId="4" applyFont="1" applyBorder="1"/>
    <xf numFmtId="0" fontId="2" fillId="0" borderId="0" xfId="4" applyFont="1"/>
    <xf numFmtId="0" fontId="3" fillId="0" borderId="0" xfId="4" applyFont="1" applyBorder="1" applyAlignment="1">
      <alignment horizontal="center" wrapText="1"/>
    </xf>
    <xf numFmtId="0" fontId="2" fillId="0" borderId="13" xfId="4" applyFont="1" applyBorder="1"/>
    <xf numFmtId="0" fontId="2" fillId="0" borderId="18" xfId="4" applyFont="1" applyBorder="1"/>
    <xf numFmtId="0" fontId="2" fillId="0" borderId="19" xfId="4" applyFont="1" applyBorder="1" applyAlignment="1">
      <alignment horizontal="center" wrapText="1"/>
    </xf>
    <xf numFmtId="0" fontId="2" fillId="0" borderId="33" xfId="4" applyFont="1" applyBorder="1" applyAlignment="1">
      <alignment horizontal="center" wrapText="1"/>
    </xf>
    <xf numFmtId="0" fontId="2" fillId="0" borderId="19" xfId="4" applyFont="1" applyFill="1" applyBorder="1" applyAlignment="1">
      <alignment horizontal="center" wrapText="1"/>
    </xf>
    <xf numFmtId="0" fontId="2" fillId="0" borderId="12" xfId="4" applyFont="1" applyBorder="1"/>
    <xf numFmtId="0" fontId="2" fillId="0" borderId="14" xfId="4" applyFont="1" applyBorder="1"/>
    <xf numFmtId="164" fontId="2" fillId="0" borderId="0" xfId="1" applyNumberFormat="1" applyFont="1" applyFill="1" applyBorder="1" applyAlignment="1">
      <alignment horizontal="center"/>
    </xf>
    <xf numFmtId="169" fontId="2" fillId="0" borderId="14" xfId="6" applyNumberFormat="1" applyFont="1" applyFill="1" applyBorder="1" applyAlignment="1">
      <alignment horizontal="center"/>
    </xf>
    <xf numFmtId="169" fontId="2" fillId="0" borderId="14" xfId="6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2" fillId="0" borderId="0" xfId="4" applyFont="1" applyBorder="1"/>
    <xf numFmtId="169" fontId="2" fillId="0" borderId="0" xfId="6" applyNumberFormat="1" applyFont="1" applyFill="1" applyBorder="1" applyAlignment="1">
      <alignment horizontal="center"/>
    </xf>
    <xf numFmtId="169" fontId="2" fillId="0" borderId="0" xfId="6" applyNumberFormat="1" applyFont="1" applyBorder="1" applyAlignment="1">
      <alignment horizontal="center"/>
    </xf>
    <xf numFmtId="9" fontId="3" fillId="0" borderId="0" xfId="6" applyFont="1" applyAlignment="1">
      <alignment horizontal="center"/>
    </xf>
    <xf numFmtId="164" fontId="3" fillId="0" borderId="0" xfId="1" applyNumberFormat="1" applyFont="1"/>
    <xf numFmtId="169" fontId="7" fillId="0" borderId="0" xfId="6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13" xfId="4" applyFont="1" applyBorder="1"/>
    <xf numFmtId="0" fontId="3" fillId="0" borderId="17" xfId="4" applyFont="1" applyBorder="1"/>
    <xf numFmtId="0" fontId="3" fillId="0" borderId="17" xfId="4" applyFont="1" applyBorder="1" applyAlignment="1">
      <alignment horizontal="center"/>
    </xf>
    <xf numFmtId="0" fontId="3" fillId="0" borderId="18" xfId="4" applyFont="1" applyBorder="1"/>
    <xf numFmtId="0" fontId="3" fillId="0" borderId="0" xfId="4" applyFont="1" applyBorder="1"/>
    <xf numFmtId="0" fontId="2" fillId="0" borderId="17" xfId="4" applyFont="1" applyBorder="1"/>
    <xf numFmtId="164" fontId="2" fillId="0" borderId="17" xfId="4" applyNumberFormat="1" applyFont="1" applyBorder="1"/>
    <xf numFmtId="164" fontId="2" fillId="0" borderId="0" xfId="4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19" xfId="0" applyFont="1" applyBorder="1"/>
    <xf numFmtId="165" fontId="2" fillId="0" borderId="14" xfId="1" applyNumberFormat="1" applyFont="1" applyFill="1" applyBorder="1" applyAlignment="1">
      <alignment horizontal="center"/>
    </xf>
    <xf numFmtId="168" fontId="2" fillId="0" borderId="11" xfId="1" applyNumberFormat="1" applyFont="1" applyBorder="1" applyAlignment="1">
      <alignment horizontal="center"/>
    </xf>
    <xf numFmtId="166" fontId="2" fillId="0" borderId="14" xfId="1" applyNumberFormat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183" fontId="2" fillId="0" borderId="11" xfId="0" applyNumberFormat="1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3" fontId="2" fillId="0" borderId="12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5" fontId="2" fillId="0" borderId="16" xfId="1" applyNumberFormat="1" applyFont="1" applyBorder="1" applyAlignment="1">
      <alignment horizontal="center"/>
    </xf>
    <xf numFmtId="183" fontId="2" fillId="0" borderId="12" xfId="0" applyNumberFormat="1" applyFont="1" applyBorder="1" applyAlignment="1">
      <alignment horizontal="center"/>
    </xf>
    <xf numFmtId="165" fontId="2" fillId="0" borderId="17" xfId="1" applyNumberFormat="1" applyFont="1" applyFill="1" applyBorder="1" applyAlignment="1">
      <alignment horizontal="center"/>
    </xf>
    <xf numFmtId="0" fontId="2" fillId="0" borderId="17" xfId="0" applyFont="1" applyBorder="1"/>
    <xf numFmtId="3" fontId="2" fillId="0" borderId="13" xfId="1" applyNumberFormat="1" applyFont="1" applyBorder="1" applyAlignment="1">
      <alignment horizontal="center"/>
    </xf>
    <xf numFmtId="166" fontId="2" fillId="0" borderId="17" xfId="1" applyNumberFormat="1" applyFont="1" applyBorder="1" applyAlignment="1">
      <alignment horizontal="center"/>
    </xf>
    <xf numFmtId="166" fontId="2" fillId="0" borderId="18" xfId="1" applyNumberFormat="1" applyFont="1" applyBorder="1" applyAlignment="1">
      <alignment horizontal="center"/>
    </xf>
    <xf numFmtId="0" fontId="2" fillId="0" borderId="13" xfId="0" applyFont="1" applyBorder="1"/>
    <xf numFmtId="181" fontId="2" fillId="0" borderId="17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165" fontId="2" fillId="0" borderId="0" xfId="1" applyNumberFormat="1" applyFont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165" fontId="2" fillId="0" borderId="22" xfId="0" applyNumberFormat="1" applyFont="1" applyBorder="1"/>
    <xf numFmtId="165" fontId="2" fillId="0" borderId="23" xfId="0" applyNumberFormat="1" applyFont="1" applyBorder="1"/>
    <xf numFmtId="0" fontId="2" fillId="0" borderId="19" xfId="0" applyFont="1" applyBorder="1" applyAlignment="1">
      <alignment horizontal="center" wrapText="1"/>
    </xf>
    <xf numFmtId="180" fontId="2" fillId="0" borderId="14" xfId="0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4" applyFont="1" applyBorder="1" applyAlignment="1">
      <alignment horizontal="center"/>
    </xf>
    <xf numFmtId="0" fontId="2" fillId="0" borderId="31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0" fillId="0" borderId="0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169" fontId="2" fillId="5" borderId="32" xfId="0" applyNumberFormat="1" applyFont="1" applyFill="1" applyBorder="1" applyAlignment="1">
      <alignment horizontal="center"/>
    </xf>
    <xf numFmtId="165" fontId="2" fillId="0" borderId="3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indent="2"/>
    </xf>
    <xf numFmtId="0" fontId="0" fillId="0" borderId="7" xfId="0" applyBorder="1" applyAlignment="1">
      <alignment horizontal="center"/>
    </xf>
  </cellXfs>
  <cellStyles count="12">
    <cellStyle name="Comma" xfId="1" builtinId="3"/>
    <cellStyle name="Comma 2" xfId="9" xr:uid="{00000000-0005-0000-0000-000001000000}"/>
    <cellStyle name="Currency" xfId="2" builtinId="4"/>
    <cellStyle name="Currency 2" xfId="10" xr:uid="{00000000-0005-0000-0000-000003000000}"/>
    <cellStyle name="Normal" xfId="0" builtinId="0"/>
    <cellStyle name="Normal 10 4" xfId="11" xr:uid="{00000000-0005-0000-0000-000005000000}"/>
    <cellStyle name="Normal 2" xfId="3" xr:uid="{00000000-0005-0000-0000-000006000000}"/>
    <cellStyle name="Normal 3" xfId="7" xr:uid="{00000000-0005-0000-0000-000007000000}"/>
    <cellStyle name="Normal_NSPM Electric Capacity Projects - 2002 - 2013" xfId="4" xr:uid="{00000000-0005-0000-0000-000008000000}"/>
    <cellStyle name="Normal_Table 6 - Azimuth and Tilt Angles" xfId="5" xr:uid="{00000000-0005-0000-0000-000009000000}"/>
    <cellStyle name="Percent" xfId="6" builtinId="5"/>
    <cellStyle name="Percent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'Table 3. Fixed Assumptions'!#REF!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'Table 3. Fixed Assumptions'!#REF!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'Table 3. Fixed Assumptions'!#REF!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8D3-48D7-9A3F-FE750D45060E}"/>
            </c:ext>
          </c:extLst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'Table 3. Fixed Assumptions'!$C$6:$C$17</c:f>
              <c:numCache>
                <c:formatCode>"$"#,##0.000</c:formatCode>
                <c:ptCount val="12"/>
                <c:pt idx="0">
                  <c:v>2.579359803921569</c:v>
                </c:pt>
                <c:pt idx="1">
                  <c:v>2.445879411764706</c:v>
                </c:pt>
                <c:pt idx="2">
                  <c:v>2.4135196078431376</c:v>
                </c:pt>
                <c:pt idx="3">
                  <c:v>2.4188911764705883</c:v>
                </c:pt>
                <c:pt idx="4">
                  <c:v>2.4316049019607844</c:v>
                </c:pt>
                <c:pt idx="5">
                  <c:v>2.4568392156862746</c:v>
                </c:pt>
                <c:pt idx="6">
                  <c:v>2.4823264705882351</c:v>
                </c:pt>
                <c:pt idx="7">
                  <c:v>2.5156598039215683</c:v>
                </c:pt>
                <c:pt idx="8">
                  <c:v>2.552198039215686</c:v>
                </c:pt>
                <c:pt idx="9">
                  <c:v>2.6144921568627448</c:v>
                </c:pt>
                <c:pt idx="10">
                  <c:v>2.7207539215686278</c:v>
                </c:pt>
                <c:pt idx="11">
                  <c:v>2.8258362745098045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'Table 3. Fixed Assumptions'!#REF!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'Table 3. Fixed Assumptions'!#REF!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8D3-48D7-9A3F-FE750D450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471232"/>
        <c:axId val="171472768"/>
      </c:lineChart>
      <c:catAx>
        <c:axId val="17147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en-US"/>
          </a:p>
        </c:txPr>
        <c:crossAx val="171472768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7147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.00_);_(\$* \(#,##0.00\);_(\$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en-US"/>
          </a:p>
        </c:txPr>
        <c:crossAx val="171471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Courier New"/>
              <a:ea typeface="Courier New"/>
              <a:cs typeface="Courier New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161925</xdr:rowOff>
    </xdr:from>
    <xdr:to>
      <xdr:col>12</xdr:col>
      <xdr:colOff>0</xdr:colOff>
      <xdr:row>17</xdr:row>
      <xdr:rowOff>38100</xdr:rowOff>
    </xdr:to>
    <xdr:graphicFrame macro="">
      <xdr:nvGraphicFramePr>
        <xdr:cNvPr id="3165" name="Chart 1">
          <a:extLst>
            <a:ext uri="{FF2B5EF4-FFF2-40B4-BE49-F238E27FC236}">
              <a16:creationId xmlns:a16="http://schemas.microsoft.com/office/drawing/2014/main" id="{00000000-0008-0000-0400-00005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4:K31"/>
  <sheetViews>
    <sheetView zoomScale="60" zoomScaleNormal="60" workbookViewId="0">
      <selection activeCell="G15" sqref="G15"/>
    </sheetView>
  </sheetViews>
  <sheetFormatPr defaultRowHeight="18.75" x14ac:dyDescent="0.3"/>
  <cols>
    <col min="2" max="2" width="12" customWidth="1"/>
    <col min="3" max="3" width="12.5546875" customWidth="1"/>
    <col min="4" max="4" width="11.44140625" customWidth="1"/>
  </cols>
  <sheetData>
    <row r="4" spans="1:11" x14ac:dyDescent="0.3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x14ac:dyDescent="0.3">
      <c r="A5">
        <v>1</v>
      </c>
      <c r="B5" s="212">
        <f>ROUND('Fig. ES-2 '!G5,4)</f>
        <v>9.11E-2</v>
      </c>
      <c r="C5" s="212" t="e">
        <f>ROUND(#REF!,4)</f>
        <v>#REF!</v>
      </c>
      <c r="D5" s="212" t="e">
        <f>ROUND(#REF!,4)</f>
        <v>#REF!</v>
      </c>
      <c r="E5" s="212" t="e">
        <f>ROUND(#REF!,4)</f>
        <v>#REF!</v>
      </c>
      <c r="F5" s="212" t="e">
        <f>ROUND(#REF!,4)</f>
        <v>#REF!</v>
      </c>
      <c r="G5" s="212" t="e">
        <f>ROUND(#REF!,4)</f>
        <v>#REF!</v>
      </c>
      <c r="H5" s="212" t="e">
        <f>ROUND(#REF!,4)</f>
        <v>#REF!</v>
      </c>
      <c r="I5" s="212" t="e">
        <f>ROUND(#REF!,4)</f>
        <v>#REF!</v>
      </c>
      <c r="J5" s="212" t="e">
        <f>ROUND(#REF!,4)</f>
        <v>#REF!</v>
      </c>
      <c r="K5" s="212" t="e">
        <f>ROUND(#REF!,4)</f>
        <v>#REF!</v>
      </c>
    </row>
    <row r="6" spans="1:11" x14ac:dyDescent="0.3">
      <c r="A6">
        <v>2</v>
      </c>
      <c r="B6" s="212">
        <f>ROUND('Fig. ES-2 '!G6,4)</f>
        <v>9.3100000000000002E-2</v>
      </c>
      <c r="C6" s="212" t="e">
        <f>ROUND(#REF!,4)</f>
        <v>#REF!</v>
      </c>
      <c r="D6" s="212" t="e">
        <f>ROUND(#REF!,4)</f>
        <v>#REF!</v>
      </c>
      <c r="E6" s="212" t="e">
        <f>ROUND(#REF!,4)</f>
        <v>#REF!</v>
      </c>
      <c r="F6" s="212" t="e">
        <f>ROUND(#REF!,4)</f>
        <v>#REF!</v>
      </c>
      <c r="G6" s="212" t="e">
        <f>ROUND(#REF!,4)</f>
        <v>#REF!</v>
      </c>
      <c r="H6" s="212" t="e">
        <f>ROUND(#REF!,4)</f>
        <v>#REF!</v>
      </c>
      <c r="I6" s="212" t="e">
        <f>ROUND(#REF!,4)</f>
        <v>#REF!</v>
      </c>
      <c r="J6" s="212" t="e">
        <f>ROUND(#REF!,4)</f>
        <v>#REF!</v>
      </c>
      <c r="K6" s="212" t="e">
        <f>ROUND(#REF!,4)</f>
        <v>#REF!</v>
      </c>
    </row>
    <row r="7" spans="1:11" x14ac:dyDescent="0.3">
      <c r="A7">
        <v>3</v>
      </c>
      <c r="B7" s="212">
        <f>ROUND('Fig. ES-2 '!G7,4)</f>
        <v>9.5000000000000001E-2</v>
      </c>
      <c r="C7" s="212" t="e">
        <f>ROUND(#REF!,4)</f>
        <v>#REF!</v>
      </c>
      <c r="D7" s="212" t="e">
        <f>ROUND(#REF!,4)</f>
        <v>#REF!</v>
      </c>
      <c r="E7" s="212" t="e">
        <f>ROUND(#REF!,4)</f>
        <v>#REF!</v>
      </c>
      <c r="F7" s="212" t="e">
        <f>ROUND(#REF!,4)</f>
        <v>#REF!</v>
      </c>
      <c r="G7" s="212" t="e">
        <f>ROUND(#REF!,4)</f>
        <v>#REF!</v>
      </c>
      <c r="H7" s="212" t="e">
        <f>ROUND(#REF!,4)</f>
        <v>#REF!</v>
      </c>
      <c r="I7" s="212" t="e">
        <f>ROUND(#REF!,4)</f>
        <v>#REF!</v>
      </c>
      <c r="J7" s="212" t="e">
        <f>ROUND(#REF!,4)</f>
        <v>#REF!</v>
      </c>
      <c r="K7" s="212" t="e">
        <f>ROUND(#REF!,4)</f>
        <v>#REF!</v>
      </c>
    </row>
    <row r="8" spans="1:11" x14ac:dyDescent="0.3">
      <c r="A8">
        <v>4</v>
      </c>
      <c r="B8" s="212">
        <f>ROUND('Fig. ES-2 '!G8,4)</f>
        <v>9.7000000000000003E-2</v>
      </c>
      <c r="C8" s="212" t="e">
        <f>ROUND(#REF!,4)</f>
        <v>#REF!</v>
      </c>
      <c r="D8" s="212" t="e">
        <f>ROUND(#REF!,4)</f>
        <v>#REF!</v>
      </c>
      <c r="E8" s="212" t="e">
        <f>ROUND(#REF!,4)</f>
        <v>#REF!</v>
      </c>
      <c r="F8" s="212" t="e">
        <f>ROUND(#REF!,4)</f>
        <v>#REF!</v>
      </c>
      <c r="G8" s="212" t="e">
        <f>ROUND(#REF!,4)</f>
        <v>#REF!</v>
      </c>
      <c r="H8" s="212" t="e">
        <f>ROUND(#REF!,4)</f>
        <v>#REF!</v>
      </c>
      <c r="I8" s="212" t="e">
        <f>ROUND(#REF!,4)</f>
        <v>#REF!</v>
      </c>
      <c r="J8" s="212" t="e">
        <f>ROUND(#REF!,4)</f>
        <v>#REF!</v>
      </c>
      <c r="K8" s="212" t="e">
        <f>ROUND(#REF!,4)</f>
        <v>#REF!</v>
      </c>
    </row>
    <row r="9" spans="1:11" x14ac:dyDescent="0.3">
      <c r="A9">
        <v>5</v>
      </c>
      <c r="B9" s="212">
        <f>ROUND('Fig. ES-2 '!G9,4)</f>
        <v>9.9099999999999994E-2</v>
      </c>
      <c r="C9" s="212" t="e">
        <f>ROUND(#REF!,4)</f>
        <v>#REF!</v>
      </c>
      <c r="D9" s="212" t="e">
        <f>ROUND(#REF!,4)</f>
        <v>#REF!</v>
      </c>
      <c r="E9" s="212" t="e">
        <f>ROUND(#REF!,4)</f>
        <v>#REF!</v>
      </c>
      <c r="F9" s="212" t="e">
        <f>ROUND(#REF!,4)</f>
        <v>#REF!</v>
      </c>
      <c r="G9" s="212" t="e">
        <f>ROUND(#REF!,4)</f>
        <v>#REF!</v>
      </c>
      <c r="H9" s="212" t="e">
        <f>ROUND(#REF!,4)</f>
        <v>#REF!</v>
      </c>
      <c r="I9" s="212" t="e">
        <f>ROUND(#REF!,4)</f>
        <v>#REF!</v>
      </c>
      <c r="J9" s="212" t="e">
        <f>ROUND(#REF!,4)</f>
        <v>#REF!</v>
      </c>
      <c r="K9" s="212" t="e">
        <f>ROUND(#REF!,4)</f>
        <v>#REF!</v>
      </c>
    </row>
    <row r="10" spans="1:11" x14ac:dyDescent="0.3">
      <c r="A10">
        <v>6</v>
      </c>
      <c r="B10" s="212">
        <f>ROUND('Fig. ES-2 '!G10,4)</f>
        <v>0.1012</v>
      </c>
      <c r="C10" s="212" t="e">
        <f>ROUND(#REF!,4)</f>
        <v>#REF!</v>
      </c>
      <c r="D10" s="212" t="e">
        <f>ROUND(#REF!,4)</f>
        <v>#REF!</v>
      </c>
      <c r="E10" s="212" t="e">
        <f>ROUND(#REF!,4)</f>
        <v>#REF!</v>
      </c>
      <c r="F10" s="212" t="e">
        <f>ROUND(#REF!,4)</f>
        <v>#REF!</v>
      </c>
      <c r="G10" s="212" t="e">
        <f>ROUND(#REF!,4)</f>
        <v>#REF!</v>
      </c>
      <c r="H10" s="212" t="e">
        <f>ROUND(#REF!,4)</f>
        <v>#REF!</v>
      </c>
      <c r="I10" s="212" t="e">
        <f>ROUND(#REF!,4)</f>
        <v>#REF!</v>
      </c>
      <c r="J10" s="212" t="e">
        <f>ROUND(#REF!,4)</f>
        <v>#REF!</v>
      </c>
      <c r="K10" s="212" t="e">
        <f>ROUND(#REF!,4)</f>
        <v>#REF!</v>
      </c>
    </row>
    <row r="11" spans="1:11" x14ac:dyDescent="0.3">
      <c r="A11">
        <v>7</v>
      </c>
      <c r="B11" s="212">
        <f>ROUND('Fig. ES-2 '!G11,4)</f>
        <v>0.1033</v>
      </c>
      <c r="C11" s="212" t="e">
        <f>ROUND(#REF!,4)</f>
        <v>#REF!</v>
      </c>
      <c r="D11" s="212" t="e">
        <f>ROUND(#REF!,4)</f>
        <v>#REF!</v>
      </c>
      <c r="E11" s="212" t="e">
        <f>ROUND(#REF!,4)</f>
        <v>#REF!</v>
      </c>
      <c r="F11" s="212" t="e">
        <f>ROUND(#REF!,4)</f>
        <v>#REF!</v>
      </c>
      <c r="G11" s="212" t="e">
        <f>ROUND(#REF!,4)</f>
        <v>#REF!</v>
      </c>
      <c r="H11" s="212" t="e">
        <f>ROUND(#REF!,4)</f>
        <v>#REF!</v>
      </c>
      <c r="I11" s="212" t="e">
        <f>ROUND(#REF!,4)</f>
        <v>#REF!</v>
      </c>
      <c r="J11" s="212" t="e">
        <f>ROUND(#REF!,4)</f>
        <v>#REF!</v>
      </c>
      <c r="K11" s="212" t="e">
        <f>ROUND(#REF!,4)</f>
        <v>#REF!</v>
      </c>
    </row>
    <row r="12" spans="1:11" x14ac:dyDescent="0.3">
      <c r="A12">
        <v>8</v>
      </c>
      <c r="B12" s="212">
        <f>ROUND('Fig. ES-2 '!G12,4)</f>
        <v>0.1055</v>
      </c>
      <c r="C12" s="212" t="e">
        <f>ROUND(#REF!,4)</f>
        <v>#REF!</v>
      </c>
      <c r="D12" s="212" t="e">
        <f>ROUND(#REF!,4)</f>
        <v>#REF!</v>
      </c>
      <c r="E12" s="212" t="e">
        <f>ROUND(#REF!,4)</f>
        <v>#REF!</v>
      </c>
      <c r="F12" s="212" t="e">
        <f>ROUND(#REF!,4)</f>
        <v>#REF!</v>
      </c>
      <c r="G12" s="212" t="e">
        <f>ROUND(#REF!,4)</f>
        <v>#REF!</v>
      </c>
      <c r="H12" s="212" t="e">
        <f>ROUND(#REF!,4)</f>
        <v>#REF!</v>
      </c>
      <c r="I12" s="212" t="e">
        <f>ROUND(#REF!,4)</f>
        <v>#REF!</v>
      </c>
      <c r="J12" s="212" t="e">
        <f>ROUND(#REF!,4)</f>
        <v>#REF!</v>
      </c>
      <c r="K12" s="212" t="e">
        <f>ROUND(#REF!,4)</f>
        <v>#REF!</v>
      </c>
    </row>
    <row r="13" spans="1:11" x14ac:dyDescent="0.3">
      <c r="A13">
        <v>9</v>
      </c>
      <c r="B13" s="212">
        <f>ROUND('Fig. ES-2 '!G13,4)</f>
        <v>0.1077</v>
      </c>
      <c r="C13" s="212" t="e">
        <f>ROUND(#REF!,4)</f>
        <v>#REF!</v>
      </c>
      <c r="D13" s="212" t="e">
        <f>ROUND(#REF!,4)</f>
        <v>#REF!</v>
      </c>
      <c r="E13" s="212" t="e">
        <f>ROUND(#REF!,4)</f>
        <v>#REF!</v>
      </c>
      <c r="F13" s="212" t="e">
        <f>ROUND(#REF!,4)</f>
        <v>#REF!</v>
      </c>
      <c r="G13" s="212" t="e">
        <f>ROUND(#REF!,4)</f>
        <v>#REF!</v>
      </c>
      <c r="H13" s="212" t="e">
        <f>ROUND(#REF!,4)</f>
        <v>#REF!</v>
      </c>
      <c r="I13" s="212" t="e">
        <f>ROUND(#REF!,4)</f>
        <v>#REF!</v>
      </c>
      <c r="J13" s="212" t="e">
        <f>ROUND(#REF!,4)</f>
        <v>#REF!</v>
      </c>
      <c r="K13" s="212" t="e">
        <f>ROUND(#REF!,4)</f>
        <v>#REF!</v>
      </c>
    </row>
    <row r="14" spans="1:11" x14ac:dyDescent="0.3">
      <c r="A14">
        <v>10</v>
      </c>
      <c r="B14" s="212">
        <f>ROUND('Fig. ES-2 '!G14,4)</f>
        <v>0.11</v>
      </c>
      <c r="C14" s="212" t="e">
        <f>ROUND(#REF!,4)</f>
        <v>#REF!</v>
      </c>
      <c r="D14" s="212" t="e">
        <f>ROUND(#REF!,4)</f>
        <v>#REF!</v>
      </c>
      <c r="E14" s="212" t="e">
        <f>ROUND(#REF!,4)</f>
        <v>#REF!</v>
      </c>
      <c r="F14" s="212" t="e">
        <f>ROUND(#REF!,4)</f>
        <v>#REF!</v>
      </c>
      <c r="G14" s="212" t="e">
        <f>ROUND(#REF!,4)</f>
        <v>#REF!</v>
      </c>
      <c r="H14" s="212" t="e">
        <f>ROUND(#REF!,4)</f>
        <v>#REF!</v>
      </c>
      <c r="I14" s="212" t="e">
        <f>ROUND(#REF!,4)</f>
        <v>#REF!</v>
      </c>
      <c r="J14" s="212" t="e">
        <f>ROUND(#REF!,4)</f>
        <v>#REF!</v>
      </c>
      <c r="K14" s="212" t="e">
        <f>ROUND(#REF!,4)</f>
        <v>#REF!</v>
      </c>
    </row>
    <row r="15" spans="1:11" x14ac:dyDescent="0.3">
      <c r="A15">
        <v>11</v>
      </c>
      <c r="B15" s="212">
        <f>ROUND('Fig. ES-2 '!G15,4)</f>
        <v>0.1123</v>
      </c>
      <c r="C15" s="212" t="e">
        <f>ROUND(#REF!,4)</f>
        <v>#REF!</v>
      </c>
      <c r="D15" s="212" t="e">
        <f>ROUND(#REF!,4)</f>
        <v>#REF!</v>
      </c>
      <c r="E15" s="212" t="e">
        <f>ROUND(#REF!,4)</f>
        <v>#REF!</v>
      </c>
      <c r="F15" s="212" t="e">
        <f>ROUND(#REF!,4)</f>
        <v>#REF!</v>
      </c>
      <c r="G15" s="212" t="e">
        <f>ROUND(#REF!,4)</f>
        <v>#REF!</v>
      </c>
      <c r="H15" s="212" t="e">
        <f>ROUND(#REF!,4)</f>
        <v>#REF!</v>
      </c>
      <c r="I15" s="212" t="e">
        <f>ROUND(#REF!,4)</f>
        <v>#REF!</v>
      </c>
      <c r="J15" s="212" t="e">
        <f>ROUND(#REF!,4)</f>
        <v>#REF!</v>
      </c>
      <c r="K15" s="212" t="e">
        <f>ROUND(#REF!,4)</f>
        <v>#REF!</v>
      </c>
    </row>
    <row r="16" spans="1:11" x14ac:dyDescent="0.3">
      <c r="A16">
        <v>12</v>
      </c>
      <c r="B16" s="212">
        <f>ROUND('Fig. ES-2 '!G16,4)</f>
        <v>0.1147</v>
      </c>
      <c r="C16" s="212" t="e">
        <f>ROUND(#REF!,4)</f>
        <v>#REF!</v>
      </c>
      <c r="D16" s="212" t="e">
        <f>ROUND(#REF!,4)</f>
        <v>#REF!</v>
      </c>
      <c r="E16" s="212" t="e">
        <f>ROUND(#REF!,4)</f>
        <v>#REF!</v>
      </c>
      <c r="F16" s="212" t="e">
        <f>ROUND(#REF!,4)</f>
        <v>#REF!</v>
      </c>
      <c r="G16" s="212" t="e">
        <f>ROUND(#REF!,4)</f>
        <v>#REF!</v>
      </c>
      <c r="H16" s="212" t="e">
        <f>ROUND(#REF!,4)</f>
        <v>#REF!</v>
      </c>
      <c r="I16" s="212" t="e">
        <f>ROUND(#REF!,4)</f>
        <v>#REF!</v>
      </c>
      <c r="J16" s="212" t="e">
        <f>ROUND(#REF!,4)</f>
        <v>#REF!</v>
      </c>
      <c r="K16" s="212" t="e">
        <f>ROUND(#REF!,4)</f>
        <v>#REF!</v>
      </c>
    </row>
    <row r="17" spans="1:11" x14ac:dyDescent="0.3">
      <c r="A17">
        <v>13</v>
      </c>
      <c r="B17" s="212">
        <f>ROUND('Fig. ES-2 '!G17,4)</f>
        <v>0.1171</v>
      </c>
      <c r="C17" s="212" t="e">
        <f>ROUND(#REF!,4)</f>
        <v>#REF!</v>
      </c>
      <c r="D17" s="212" t="e">
        <f>ROUND(#REF!,4)</f>
        <v>#REF!</v>
      </c>
      <c r="E17" s="212" t="e">
        <f>ROUND(#REF!,4)</f>
        <v>#REF!</v>
      </c>
      <c r="F17" s="212" t="e">
        <f>ROUND(#REF!,4)</f>
        <v>#REF!</v>
      </c>
      <c r="G17" s="212" t="e">
        <f>ROUND(#REF!,4)</f>
        <v>#REF!</v>
      </c>
      <c r="H17" s="212" t="e">
        <f>ROUND(#REF!,4)</f>
        <v>#REF!</v>
      </c>
      <c r="I17" s="212" t="e">
        <f>ROUND(#REF!,4)</f>
        <v>#REF!</v>
      </c>
      <c r="J17" s="212" t="e">
        <f>ROUND(#REF!,4)</f>
        <v>#REF!</v>
      </c>
      <c r="K17" s="212" t="e">
        <f>ROUND(#REF!,4)</f>
        <v>#REF!</v>
      </c>
    </row>
    <row r="18" spans="1:11" x14ac:dyDescent="0.3">
      <c r="A18">
        <v>14</v>
      </c>
      <c r="B18" s="212">
        <f>ROUND('Fig. ES-2 '!G18,4)</f>
        <v>0.1196</v>
      </c>
      <c r="C18" s="212" t="e">
        <f>ROUND(#REF!,4)</f>
        <v>#REF!</v>
      </c>
      <c r="D18" s="212" t="e">
        <f>ROUND(#REF!,4)</f>
        <v>#REF!</v>
      </c>
      <c r="E18" s="212" t="e">
        <f>ROUND(#REF!,4)</f>
        <v>#REF!</v>
      </c>
      <c r="F18" s="212" t="e">
        <f>ROUND(#REF!,4)</f>
        <v>#REF!</v>
      </c>
      <c r="G18" s="212" t="e">
        <f>ROUND(#REF!,4)</f>
        <v>#REF!</v>
      </c>
      <c r="H18" s="212" t="e">
        <f>ROUND(#REF!,4)</f>
        <v>#REF!</v>
      </c>
      <c r="I18" s="212" t="e">
        <f>ROUND(#REF!,4)</f>
        <v>#REF!</v>
      </c>
      <c r="J18" s="212" t="e">
        <f>ROUND(#REF!,4)</f>
        <v>#REF!</v>
      </c>
      <c r="K18" s="212" t="e">
        <f>ROUND(#REF!,4)</f>
        <v>#REF!</v>
      </c>
    </row>
    <row r="19" spans="1:11" x14ac:dyDescent="0.3">
      <c r="A19">
        <v>15</v>
      </c>
      <c r="B19" s="212">
        <f>ROUND('Fig. ES-2 '!G19,4)</f>
        <v>0.1221</v>
      </c>
      <c r="C19" s="212" t="e">
        <f>ROUND(#REF!,4)</f>
        <v>#REF!</v>
      </c>
      <c r="D19" s="212" t="e">
        <f>ROUND(#REF!,4)</f>
        <v>#REF!</v>
      </c>
      <c r="E19" s="212" t="e">
        <f>ROUND(#REF!,4)</f>
        <v>#REF!</v>
      </c>
      <c r="F19" s="212" t="e">
        <f>ROUND(#REF!,4)</f>
        <v>#REF!</v>
      </c>
      <c r="G19" s="212" t="e">
        <f>ROUND(#REF!,4)</f>
        <v>#REF!</v>
      </c>
      <c r="H19" s="212" t="e">
        <f>ROUND(#REF!,4)</f>
        <v>#REF!</v>
      </c>
      <c r="I19" s="212" t="e">
        <f>ROUND(#REF!,4)</f>
        <v>#REF!</v>
      </c>
      <c r="J19" s="212" t="e">
        <f>ROUND(#REF!,4)</f>
        <v>#REF!</v>
      </c>
      <c r="K19" s="212" t="e">
        <f>ROUND(#REF!,4)</f>
        <v>#REF!</v>
      </c>
    </row>
    <row r="20" spans="1:11" x14ac:dyDescent="0.3">
      <c r="A20">
        <v>16</v>
      </c>
      <c r="B20" s="212">
        <f>ROUND('Fig. ES-2 '!G20,4)</f>
        <v>0.12470000000000001</v>
      </c>
      <c r="C20" s="212" t="e">
        <f>ROUND(#REF!,4)</f>
        <v>#REF!</v>
      </c>
      <c r="D20" s="212" t="e">
        <f>ROUND(#REF!,4)</f>
        <v>#REF!</v>
      </c>
      <c r="E20" s="212" t="e">
        <f>ROUND(#REF!,4)</f>
        <v>#REF!</v>
      </c>
      <c r="F20" s="212" t="e">
        <f>ROUND(#REF!,4)</f>
        <v>#REF!</v>
      </c>
      <c r="G20" s="212" t="e">
        <f>ROUND(#REF!,4)</f>
        <v>#REF!</v>
      </c>
      <c r="H20" s="212" t="e">
        <f>ROUND(#REF!,4)</f>
        <v>#REF!</v>
      </c>
      <c r="I20" s="212" t="e">
        <f>ROUND(#REF!,4)</f>
        <v>#REF!</v>
      </c>
      <c r="J20" s="212" t="e">
        <f>ROUND(#REF!,4)</f>
        <v>#REF!</v>
      </c>
      <c r="K20" s="212" t="e">
        <f>ROUND(#REF!,4)</f>
        <v>#REF!</v>
      </c>
    </row>
    <row r="21" spans="1:11" x14ac:dyDescent="0.3">
      <c r="A21">
        <v>17</v>
      </c>
      <c r="B21" s="212">
        <f>ROUND('Fig. ES-2 '!G21,4)</f>
        <v>0.1273</v>
      </c>
      <c r="C21" s="212" t="e">
        <f>ROUND(#REF!,4)</f>
        <v>#REF!</v>
      </c>
      <c r="D21" s="212" t="e">
        <f>ROUND(#REF!,4)</f>
        <v>#REF!</v>
      </c>
      <c r="E21" s="212" t="e">
        <f>ROUND(#REF!,4)</f>
        <v>#REF!</v>
      </c>
      <c r="F21" s="212" t="e">
        <f>ROUND(#REF!,4)</f>
        <v>#REF!</v>
      </c>
      <c r="G21" s="212" t="e">
        <f>ROUND(#REF!,4)</f>
        <v>#REF!</v>
      </c>
      <c r="H21" s="212" t="e">
        <f>ROUND(#REF!,4)</f>
        <v>#REF!</v>
      </c>
      <c r="I21" s="212" t="e">
        <f>ROUND(#REF!,4)</f>
        <v>#REF!</v>
      </c>
      <c r="J21" s="212" t="e">
        <f>ROUND(#REF!,4)</f>
        <v>#REF!</v>
      </c>
      <c r="K21" s="212" t="e">
        <f>ROUND(#REF!,4)</f>
        <v>#REF!</v>
      </c>
    </row>
    <row r="22" spans="1:11" x14ac:dyDescent="0.3">
      <c r="A22">
        <v>18</v>
      </c>
      <c r="B22" s="212">
        <f>ROUND('Fig. ES-2 '!G22,4)</f>
        <v>0.13</v>
      </c>
      <c r="C22" s="212" t="e">
        <f>ROUND(#REF!,4)</f>
        <v>#REF!</v>
      </c>
      <c r="D22" s="212" t="e">
        <f>ROUND(#REF!,4)</f>
        <v>#REF!</v>
      </c>
      <c r="E22" s="212" t="e">
        <f>ROUND(#REF!,4)</f>
        <v>#REF!</v>
      </c>
      <c r="F22" s="212" t="e">
        <f>ROUND(#REF!,4)</f>
        <v>#REF!</v>
      </c>
      <c r="G22" s="212" t="e">
        <f>ROUND(#REF!,4)</f>
        <v>#REF!</v>
      </c>
      <c r="H22" s="212" t="e">
        <f>ROUND(#REF!,4)</f>
        <v>#REF!</v>
      </c>
      <c r="I22" s="212" t="e">
        <f>ROUND(#REF!,4)</f>
        <v>#REF!</v>
      </c>
      <c r="J22" s="212" t="e">
        <f>ROUND(#REF!,4)</f>
        <v>#REF!</v>
      </c>
      <c r="K22" s="212" t="e">
        <f>ROUND(#REF!,4)</f>
        <v>#REF!</v>
      </c>
    </row>
    <row r="23" spans="1:11" x14ac:dyDescent="0.3">
      <c r="A23">
        <v>19</v>
      </c>
      <c r="B23" s="212">
        <f>ROUND('Fig. ES-2 '!G23,4)</f>
        <v>0.13270000000000001</v>
      </c>
      <c r="C23" s="212" t="e">
        <f>ROUND(#REF!,4)</f>
        <v>#REF!</v>
      </c>
      <c r="D23" s="212" t="e">
        <f>ROUND(#REF!,4)</f>
        <v>#REF!</v>
      </c>
      <c r="E23" s="212" t="e">
        <f>ROUND(#REF!,4)</f>
        <v>#REF!</v>
      </c>
      <c r="F23" s="212" t="e">
        <f>ROUND(#REF!,4)</f>
        <v>#REF!</v>
      </c>
      <c r="G23" s="212" t="e">
        <f>ROUND(#REF!,4)</f>
        <v>#REF!</v>
      </c>
      <c r="H23" s="212" t="e">
        <f>ROUND(#REF!,4)</f>
        <v>#REF!</v>
      </c>
      <c r="I23" s="212" t="e">
        <f>ROUND(#REF!,4)</f>
        <v>#REF!</v>
      </c>
      <c r="J23" s="212" t="e">
        <f>ROUND(#REF!,4)</f>
        <v>#REF!</v>
      </c>
      <c r="K23" s="212" t="e">
        <f>ROUND(#REF!,4)</f>
        <v>#REF!</v>
      </c>
    </row>
    <row r="24" spans="1:11" x14ac:dyDescent="0.3">
      <c r="A24">
        <v>20</v>
      </c>
      <c r="B24" s="212">
        <f>ROUND('Fig. ES-2 '!G24,4)</f>
        <v>0.13550000000000001</v>
      </c>
      <c r="C24" s="212" t="e">
        <f>ROUND(#REF!,4)</f>
        <v>#REF!</v>
      </c>
      <c r="D24" s="212" t="e">
        <f>ROUND(#REF!,4)</f>
        <v>#REF!</v>
      </c>
      <c r="E24" s="212" t="e">
        <f>ROUND(#REF!,4)</f>
        <v>#REF!</v>
      </c>
      <c r="F24" s="212" t="e">
        <f>ROUND(#REF!,4)</f>
        <v>#REF!</v>
      </c>
      <c r="G24" s="212" t="e">
        <f>ROUND(#REF!,4)</f>
        <v>#REF!</v>
      </c>
      <c r="H24" s="212" t="e">
        <f>ROUND(#REF!,4)</f>
        <v>#REF!</v>
      </c>
      <c r="I24" s="212" t="e">
        <f>ROUND(#REF!,4)</f>
        <v>#REF!</v>
      </c>
      <c r="J24" s="212" t="e">
        <f>ROUND(#REF!,4)</f>
        <v>#REF!</v>
      </c>
      <c r="K24" s="212" t="e">
        <f>ROUND(#REF!,4)</f>
        <v>#REF!</v>
      </c>
    </row>
    <row r="25" spans="1:11" x14ac:dyDescent="0.3">
      <c r="A25">
        <v>21</v>
      </c>
      <c r="B25" s="212">
        <f>ROUND('Fig. ES-2 '!G25,4)</f>
        <v>0.1384</v>
      </c>
      <c r="C25" s="212" t="e">
        <f>ROUND(#REF!,4)</f>
        <v>#REF!</v>
      </c>
      <c r="D25" s="212" t="e">
        <f>ROUND(#REF!,4)</f>
        <v>#REF!</v>
      </c>
      <c r="E25" s="212" t="e">
        <f>ROUND(#REF!,4)</f>
        <v>#REF!</v>
      </c>
      <c r="F25" s="212" t="e">
        <f>ROUND(#REF!,4)</f>
        <v>#REF!</v>
      </c>
      <c r="G25" s="212" t="e">
        <f>ROUND(#REF!,4)</f>
        <v>#REF!</v>
      </c>
      <c r="H25" s="212" t="e">
        <f>ROUND(#REF!,4)</f>
        <v>#REF!</v>
      </c>
      <c r="I25" s="212" t="e">
        <f>ROUND(#REF!,4)</f>
        <v>#REF!</v>
      </c>
      <c r="J25" s="212" t="e">
        <f>ROUND(#REF!,4)</f>
        <v>#REF!</v>
      </c>
      <c r="K25" s="212" t="e">
        <f>ROUND(#REF!,4)</f>
        <v>#REF!</v>
      </c>
    </row>
    <row r="26" spans="1:11" x14ac:dyDescent="0.3">
      <c r="A26">
        <v>22</v>
      </c>
      <c r="B26" s="212">
        <f>ROUND('Fig. ES-2 '!G26,4)</f>
        <v>0.14130000000000001</v>
      </c>
      <c r="C26" s="212" t="e">
        <f>ROUND(#REF!,4)</f>
        <v>#REF!</v>
      </c>
      <c r="D26" s="212" t="e">
        <f>ROUND(#REF!,4)</f>
        <v>#REF!</v>
      </c>
      <c r="E26" s="212" t="e">
        <f>ROUND(#REF!,4)</f>
        <v>#REF!</v>
      </c>
      <c r="F26" s="212" t="e">
        <f>ROUND(#REF!,4)</f>
        <v>#REF!</v>
      </c>
      <c r="G26" s="212" t="e">
        <f>ROUND(#REF!,4)</f>
        <v>#REF!</v>
      </c>
      <c r="H26" s="212" t="e">
        <f>ROUND(#REF!,4)</f>
        <v>#REF!</v>
      </c>
      <c r="I26" s="212" t="e">
        <f>ROUND(#REF!,4)</f>
        <v>#REF!</v>
      </c>
      <c r="J26" s="212" t="e">
        <f>ROUND(#REF!,4)</f>
        <v>#REF!</v>
      </c>
      <c r="K26" s="212" t="e">
        <f>ROUND(#REF!,4)</f>
        <v>#REF!</v>
      </c>
    </row>
    <row r="27" spans="1:11" x14ac:dyDescent="0.3">
      <c r="A27">
        <v>23</v>
      </c>
      <c r="B27" s="212">
        <f>ROUND('Fig. ES-2 '!G27,4)</f>
        <v>0.14430000000000001</v>
      </c>
      <c r="C27" s="212" t="e">
        <f>ROUND(#REF!,4)</f>
        <v>#REF!</v>
      </c>
      <c r="D27" s="212" t="e">
        <f>ROUND(#REF!,4)</f>
        <v>#REF!</v>
      </c>
      <c r="E27" s="212" t="e">
        <f>ROUND(#REF!,4)</f>
        <v>#REF!</v>
      </c>
      <c r="F27" s="212" t="e">
        <f>ROUND(#REF!,4)</f>
        <v>#REF!</v>
      </c>
      <c r="G27" s="212" t="e">
        <f>ROUND(#REF!,4)</f>
        <v>#REF!</v>
      </c>
      <c r="H27" s="212" t="e">
        <f>ROUND(#REF!,4)</f>
        <v>#REF!</v>
      </c>
      <c r="I27" s="212" t="e">
        <f>ROUND(#REF!,4)</f>
        <v>#REF!</v>
      </c>
      <c r="J27" s="212" t="e">
        <f>ROUND(#REF!,4)</f>
        <v>#REF!</v>
      </c>
      <c r="K27" s="212" t="e">
        <f>ROUND(#REF!,4)</f>
        <v>#REF!</v>
      </c>
    </row>
    <row r="28" spans="1:11" x14ac:dyDescent="0.3">
      <c r="A28">
        <v>24</v>
      </c>
      <c r="B28" s="212">
        <f>ROUND('Fig. ES-2 '!G28,4)</f>
        <v>0.14729999999999999</v>
      </c>
      <c r="C28" s="212" t="e">
        <f>ROUND(#REF!,4)</f>
        <v>#REF!</v>
      </c>
      <c r="D28" s="212" t="e">
        <f>ROUND(#REF!,4)</f>
        <v>#REF!</v>
      </c>
      <c r="E28" s="212" t="e">
        <f>ROUND(#REF!,4)</f>
        <v>#REF!</v>
      </c>
      <c r="F28" s="212" t="e">
        <f>ROUND(#REF!,4)</f>
        <v>#REF!</v>
      </c>
      <c r="G28" s="212" t="e">
        <f>ROUND(#REF!,4)</f>
        <v>#REF!</v>
      </c>
      <c r="H28" s="212" t="e">
        <f>ROUND(#REF!,4)</f>
        <v>#REF!</v>
      </c>
      <c r="I28" s="212" t="e">
        <f>ROUND(#REF!,4)</f>
        <v>#REF!</v>
      </c>
      <c r="J28" s="212" t="e">
        <f>ROUND(#REF!,4)</f>
        <v>#REF!</v>
      </c>
      <c r="K28" s="212" t="e">
        <f>ROUND(#REF!,4)</f>
        <v>#REF!</v>
      </c>
    </row>
    <row r="29" spans="1:11" x14ac:dyDescent="0.3">
      <c r="A29">
        <v>25</v>
      </c>
      <c r="B29" s="212">
        <f>ROUND('Fig. ES-2 '!G29,4)</f>
        <v>0.15040000000000001</v>
      </c>
      <c r="C29" s="212" t="e">
        <f>ROUND(#REF!,4)</f>
        <v>#REF!</v>
      </c>
      <c r="D29" s="212" t="e">
        <f>ROUND(#REF!,4)</f>
        <v>#REF!</v>
      </c>
      <c r="E29" s="212" t="e">
        <f>ROUND(#REF!,4)</f>
        <v>#REF!</v>
      </c>
      <c r="F29" s="212" t="e">
        <f>ROUND(#REF!,4)</f>
        <v>#REF!</v>
      </c>
      <c r="G29" s="212" t="e">
        <f>ROUND(#REF!,4)</f>
        <v>#REF!</v>
      </c>
      <c r="H29" s="212" t="e">
        <f>ROUND(#REF!,4)</f>
        <v>#REF!</v>
      </c>
      <c r="I29" s="212" t="e">
        <f>ROUND(#REF!,4)</f>
        <v>#REF!</v>
      </c>
      <c r="J29" s="212" t="e">
        <f>ROUND(#REF!,4)</f>
        <v>#REF!</v>
      </c>
      <c r="K29" s="212" t="e">
        <f>ROUND(#REF!,4)</f>
        <v>#REF!</v>
      </c>
    </row>
    <row r="30" spans="1:11" x14ac:dyDescent="0.3">
      <c r="G30" s="2"/>
      <c r="H30" s="2"/>
    </row>
    <row r="31" spans="1:11" hidden="1" x14ac:dyDescent="0.3">
      <c r="B31" s="212">
        <f>'Fig. ES-1'!G16</f>
        <v>0.1104</v>
      </c>
      <c r="C31" s="212" t="e">
        <f>#REF!</f>
        <v>#REF!</v>
      </c>
      <c r="D31" s="212" t="e">
        <f>#REF!</f>
        <v>#REF!</v>
      </c>
      <c r="E31" s="212" t="e">
        <f>#REF!</f>
        <v>#REF!</v>
      </c>
      <c r="F31" s="212" t="e">
        <f>#REF!</f>
        <v>#REF!</v>
      </c>
      <c r="G31" s="212" t="e">
        <f>#REF!</f>
        <v>#REF!</v>
      </c>
      <c r="H31" s="212" t="e">
        <f>#REF!</f>
        <v>#REF!</v>
      </c>
      <c r="I31" s="212" t="e">
        <f>#REF!</f>
        <v>#REF!</v>
      </c>
      <c r="J31" s="212" t="e">
        <f>#REF!</f>
        <v>#REF!</v>
      </c>
      <c r="K31" s="212" t="e">
        <f>#REF!</f>
        <v>#REF!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5"/>
  </sheetPr>
  <dimension ref="A2:Q39"/>
  <sheetViews>
    <sheetView view="pageBreakPreview" zoomScale="60" zoomScaleNormal="55" workbookViewId="0">
      <selection activeCell="W34" sqref="W34"/>
    </sheetView>
  </sheetViews>
  <sheetFormatPr defaultRowHeight="18.75" x14ac:dyDescent="0.3"/>
  <cols>
    <col min="3" max="3" width="15.44140625" customWidth="1"/>
    <col min="4" max="5" width="13.88671875" customWidth="1"/>
    <col min="6" max="7" width="10.5546875" customWidth="1"/>
    <col min="8" max="8" width="15" customWidth="1"/>
    <col min="11" max="11" width="14.109375" customWidth="1"/>
  </cols>
  <sheetData>
    <row r="2" spans="1:17" ht="26.25" x14ac:dyDescent="0.4">
      <c r="B2" s="114" t="s">
        <v>19</v>
      </c>
      <c r="D2" s="2"/>
      <c r="E2" s="2"/>
    </row>
    <row r="3" spans="1:17" x14ac:dyDescent="0.3">
      <c r="B3" s="116"/>
      <c r="C3" s="117"/>
      <c r="D3" s="116"/>
      <c r="E3" s="116"/>
      <c r="F3" s="418" t="s">
        <v>157</v>
      </c>
      <c r="G3" s="419"/>
      <c r="H3" s="116"/>
      <c r="I3" s="418" t="s">
        <v>158</v>
      </c>
      <c r="J3" s="419"/>
      <c r="K3" s="117"/>
      <c r="L3" s="418" t="s">
        <v>159</v>
      </c>
      <c r="M3" s="419"/>
    </row>
    <row r="4" spans="1:17" ht="37.5" x14ac:dyDescent="0.3">
      <c r="B4" s="324" t="s">
        <v>31</v>
      </c>
      <c r="C4" s="325" t="s">
        <v>174</v>
      </c>
      <c r="D4" s="326" t="s">
        <v>175</v>
      </c>
      <c r="E4" s="326" t="s">
        <v>176</v>
      </c>
      <c r="F4" s="32" t="s">
        <v>162</v>
      </c>
      <c r="G4" s="32" t="s">
        <v>163</v>
      </c>
      <c r="H4" s="33" t="s">
        <v>164</v>
      </c>
      <c r="I4" s="32" t="s">
        <v>165</v>
      </c>
      <c r="J4" s="32" t="s">
        <v>163</v>
      </c>
      <c r="K4" s="21" t="s">
        <v>166</v>
      </c>
      <c r="L4" s="34" t="s">
        <v>162</v>
      </c>
      <c r="M4" s="35" t="s">
        <v>163</v>
      </c>
    </row>
    <row r="5" spans="1:17" x14ac:dyDescent="0.3">
      <c r="B5" s="308"/>
      <c r="C5" s="300" t="s">
        <v>140</v>
      </c>
      <c r="D5" s="327" t="s">
        <v>177</v>
      </c>
      <c r="E5" s="327"/>
      <c r="F5" s="215" t="s">
        <v>169</v>
      </c>
      <c r="G5" s="215" t="s">
        <v>169</v>
      </c>
      <c r="H5" s="215" t="s">
        <v>170</v>
      </c>
      <c r="I5" s="299" t="s">
        <v>171</v>
      </c>
      <c r="J5" s="299" t="s">
        <v>171</v>
      </c>
      <c r="K5" s="298"/>
      <c r="L5" s="299" t="s">
        <v>171</v>
      </c>
      <c r="M5" s="299" t="s">
        <v>171</v>
      </c>
      <c r="Q5" s="1"/>
    </row>
    <row r="6" spans="1:17" x14ac:dyDescent="0.3">
      <c r="A6" s="2">
        <v>1</v>
      </c>
      <c r="B6" s="300">
        <f>'Table 5. VOS Data Table'!$C$5</f>
        <v>2021</v>
      </c>
      <c r="C6" s="301">
        <f>IF(A6-1&lt;'Table 5. VOS Data Table'!$G$14,0,IF('Table 9. Avoided Fixed O&amp;M'!A6&gt;'Table 3. Fixed Assumptions'!$C$23,0,'Table 5. VOS Data Table'!$G$10*(1+'Table 5. VOS Data Table'!G12)^('Table 9. Avoided Fixed O&amp;M'!$A$6-1)))</f>
        <v>3.5538486929342779</v>
      </c>
      <c r="D6" s="328">
        <v>1</v>
      </c>
      <c r="E6" s="328">
        <v>1</v>
      </c>
      <c r="F6" s="329">
        <f>C6*D6/H6</f>
        <v>2.2928056083446956E-3</v>
      </c>
      <c r="G6" s="173">
        <f t="shared" ref="G6:G30" si="0">IF(F6=0,0,$G$31)</f>
        <v>2.7735856263190616E-3</v>
      </c>
      <c r="H6" s="304">
        <f>'Table 5. VOS Data Table'!C17</f>
        <v>1550</v>
      </c>
      <c r="I6" s="188">
        <f>C6*E6/D6</f>
        <v>3.5538486929342779</v>
      </c>
      <c r="J6" s="301">
        <f t="shared" ref="J6:J30" si="1">H6*G6</f>
        <v>4.2990577207945453</v>
      </c>
      <c r="K6" s="306">
        <f>IF(C6=0,0,1)</f>
        <v>1</v>
      </c>
      <c r="L6" s="301">
        <f>I6*K6</f>
        <v>3.5538486929342779</v>
      </c>
      <c r="M6" s="330">
        <f>K6*J6</f>
        <v>4.2990577207945453</v>
      </c>
      <c r="P6" s="2"/>
      <c r="Q6" s="3"/>
    </row>
    <row r="7" spans="1:17" x14ac:dyDescent="0.3">
      <c r="A7" s="116">
        <v>2</v>
      </c>
      <c r="B7" s="308">
        <f>B6+1</f>
        <v>2022</v>
      </c>
      <c r="C7" s="309">
        <f>IF(A7-1&lt;'Table 5. VOS Data Table'!$G$14,0,IF('Table 9. Avoided Fixed O&amp;M'!A7&gt;'Table 3. Fixed Assumptions'!$C$23,0,'Table 5. VOS Data Table'!$G$10*(1+'Table 5. VOS Data Table'!$G$12)^('Table 9. Avoided Fixed O&amp;M'!A7-1)))</f>
        <v>3.6249256667929637</v>
      </c>
      <c r="D7" s="331">
        <f>D6*(1-'Table 5. VOS Data Table'!$G$9)</f>
        <v>0.999</v>
      </c>
      <c r="E7" s="331">
        <f>E6*(1-'Table 3. Fixed Assumptions'!$C$22)</f>
        <v>0.995</v>
      </c>
      <c r="F7" s="332">
        <f t="shared" ref="F7:F30" si="2">C7*D7/H7</f>
        <v>2.3480633756694249E-3</v>
      </c>
      <c r="G7" s="125">
        <f t="shared" si="0"/>
        <v>2.7735856263190616E-3</v>
      </c>
      <c r="H7" s="312">
        <f>H6*(1-'Table 3. Fixed Assumptions'!$C$22)</f>
        <v>1542.25</v>
      </c>
      <c r="I7" s="189">
        <f>C7*E7/D7</f>
        <v>3.6104114499089079</v>
      </c>
      <c r="J7" s="309">
        <f t="shared" si="1"/>
        <v>4.2775624321905727</v>
      </c>
      <c r="K7" s="314">
        <f>IF(C7=0,0,1/(1+'Table 5. VOS Data Table'!$C$6)^A6)</f>
        <v>0.94020308386611495</v>
      </c>
      <c r="L7" s="309">
        <f t="shared" ref="L7:L29" si="3">I7*K7</f>
        <v>3.3945199792298868</v>
      </c>
      <c r="M7" s="333">
        <f t="shared" ref="M7:M30" si="4">K7*J7</f>
        <v>4.0217773901754157</v>
      </c>
      <c r="P7" s="2"/>
      <c r="Q7" s="3"/>
    </row>
    <row r="8" spans="1:17" x14ac:dyDescent="0.3">
      <c r="A8" s="116">
        <v>3</v>
      </c>
      <c r="B8" s="308">
        <f t="shared" ref="B8:B30" si="5">B7+1</f>
        <v>2023</v>
      </c>
      <c r="C8" s="309">
        <f>IF(A8-1&lt;'Table 5. VOS Data Table'!$G$14,0,IF('Table 9. Avoided Fixed O&amp;M'!A8&gt;'Table 3. Fixed Assumptions'!$C$23,0,'Table 5. VOS Data Table'!$G$10*(1+'Table 5. VOS Data Table'!$G$12)^('Table 9. Avoided Fixed O&amp;M'!A8-1)))</f>
        <v>3.6974241801288228</v>
      </c>
      <c r="D8" s="331">
        <f>D7*(1-'Table 5. VOS Data Table'!$G$9)</f>
        <v>0.99800100000000003</v>
      </c>
      <c r="E8" s="331">
        <f>E7*(1-'Table 3. Fixed Assumptions'!$C$22)</f>
        <v>0.99002500000000004</v>
      </c>
      <c r="F8" s="332">
        <f>C8*D8/H8</f>
        <v>2.4046528829544025E-3</v>
      </c>
      <c r="G8" s="125">
        <f t="shared" si="0"/>
        <v>2.7735856263190616E-3</v>
      </c>
      <c r="H8" s="312">
        <f>H7*(1-'Table 3. Fixed Assumptions'!$C$22)</f>
        <v>1534.5387499999999</v>
      </c>
      <c r="I8" s="189">
        <f t="shared" ref="I8:I30" si="6">C8*E8/D8</f>
        <v>3.6678744549675177</v>
      </c>
      <c r="J8" s="309">
        <f t="shared" si="1"/>
        <v>4.2561746200296193</v>
      </c>
      <c r="K8" s="314">
        <f>IF(C8=0,0,1/(1+'Table 5. VOS Data Table'!$C$6)^A7)</f>
        <v>0.88398183891135285</v>
      </c>
      <c r="L8" s="309">
        <f t="shared" si="3"/>
        <v>3.2423344055981622</v>
      </c>
      <c r="M8" s="333">
        <f t="shared" si="4"/>
        <v>3.7623810673416114</v>
      </c>
      <c r="P8" s="2"/>
      <c r="Q8" s="3"/>
    </row>
    <row r="9" spans="1:17" x14ac:dyDescent="0.3">
      <c r="A9" s="2">
        <v>4</v>
      </c>
      <c r="B9" s="308">
        <f t="shared" si="5"/>
        <v>2024</v>
      </c>
      <c r="C9" s="309">
        <f>IF(A9-1&lt;'Table 5. VOS Data Table'!$G$14,0,IF('Table 9. Avoided Fixed O&amp;M'!A9&gt;'Table 3. Fixed Assumptions'!$C$23,0,'Table 5. VOS Data Table'!$G$10*(1+'Table 5. VOS Data Table'!$G$12)^('Table 9. Avoided Fixed O&amp;M'!A9-1)))</f>
        <v>3.7713726637313987</v>
      </c>
      <c r="D9" s="331">
        <f>D8*(1-'Table 5. VOS Data Table'!$G$9)</f>
        <v>0.997002999</v>
      </c>
      <c r="E9" s="331">
        <f>E8*(1-'Table 3. Fixed Assumptions'!$C$22)</f>
        <v>0.98507487500000002</v>
      </c>
      <c r="F9" s="332">
        <f t="shared" si="2"/>
        <v>2.4626062258018863E-3</v>
      </c>
      <c r="G9" s="125">
        <f t="shared" si="0"/>
        <v>2.7735856263190616E-3</v>
      </c>
      <c r="H9" s="312">
        <f>H8*(1-'Table 3. Fixed Assumptions'!$C$22)</f>
        <v>1526.8660562499999</v>
      </c>
      <c r="I9" s="189">
        <f t="shared" si="6"/>
        <v>3.7262520363829164</v>
      </c>
      <c r="J9" s="309">
        <f t="shared" si="1"/>
        <v>4.2348937469294716</v>
      </c>
      <c r="K9" s="314">
        <f>IF(C9=0,0,1/(1+'Table 5. VOS Data Table'!$C$6)^A8)</f>
        <v>0.83112245102609328</v>
      </c>
      <c r="L9" s="309">
        <f t="shared" si="3"/>
        <v>3.0969717256195408</v>
      </c>
      <c r="M9" s="333">
        <f t="shared" si="4"/>
        <v>3.5197152707830983</v>
      </c>
      <c r="P9" s="2"/>
      <c r="Q9" s="3"/>
    </row>
    <row r="10" spans="1:17" x14ac:dyDescent="0.3">
      <c r="A10" s="2">
        <v>5</v>
      </c>
      <c r="B10" s="308">
        <f t="shared" si="5"/>
        <v>2025</v>
      </c>
      <c r="C10" s="309">
        <f>IF(A10-1&lt;'Table 5. VOS Data Table'!$G$14,0,IF('Table 9. Avoided Fixed O&amp;M'!A10&gt;'Table 3. Fixed Assumptions'!$C$23,0,'Table 5. VOS Data Table'!$G$10*(1+'Table 5. VOS Data Table'!$G$12)^('Table 9. Avoided Fixed O&amp;M'!A10-1)))</f>
        <v>3.8468001170060271</v>
      </c>
      <c r="D10" s="331">
        <f>D9*(1-'Table 5. VOS Data Table'!$G$9)</f>
        <v>0.99600599600100004</v>
      </c>
      <c r="E10" s="331">
        <f>E9*(1-'Table 3. Fixed Assumptions'!$C$22)</f>
        <v>0.98014950062500006</v>
      </c>
      <c r="F10" s="332">
        <f t="shared" si="2"/>
        <v>2.5219562733342781E-3</v>
      </c>
      <c r="G10" s="125">
        <f t="shared" si="0"/>
        <v>2.7735856263190616E-3</v>
      </c>
      <c r="H10" s="312">
        <f>H9*(1-'Table 3. Fixed Assumptions'!$C$22)</f>
        <v>1519.23172596875</v>
      </c>
      <c r="I10" s="189">
        <f t="shared" si="6"/>
        <v>3.7855587504754977</v>
      </c>
      <c r="J10" s="309">
        <f t="shared" si="1"/>
        <v>4.2137192781948247</v>
      </c>
      <c r="K10" s="314">
        <f>IF(C10=0,0,1/(1+'Table 5. VOS Data Table'!$C$6)^A9)</f>
        <v>0.78142389152509684</v>
      </c>
      <c r="L10" s="309">
        <f t="shared" si="3"/>
        <v>2.9581260503934463</v>
      </c>
      <c r="M10" s="333">
        <f t="shared" si="4"/>
        <v>3.2927009161613219</v>
      </c>
      <c r="P10" s="2"/>
      <c r="Q10" s="3"/>
    </row>
    <row r="11" spans="1:17" x14ac:dyDescent="0.3">
      <c r="A11" s="2">
        <v>6</v>
      </c>
      <c r="B11" s="308">
        <f t="shared" si="5"/>
        <v>2026</v>
      </c>
      <c r="C11" s="309">
        <f>IF(A11-1&lt;'Table 5. VOS Data Table'!$G$14,0,IF('Table 9. Avoided Fixed O&amp;M'!A11&gt;'Table 3. Fixed Assumptions'!$C$23,0,'Table 5. VOS Data Table'!$G$10*(1+'Table 5. VOS Data Table'!$G$12)^('Table 9. Avoided Fixed O&amp;M'!A11-1)))</f>
        <v>3.9237361193461475</v>
      </c>
      <c r="D11" s="331">
        <f>D10*(1-'Table 5. VOS Data Table'!$G$9)</f>
        <v>0.99500999000499901</v>
      </c>
      <c r="E11" s="331">
        <f>E10*(1-'Table 3. Fixed Assumptions'!$C$22)</f>
        <v>0.97524875312187509</v>
      </c>
      <c r="F11" s="332">
        <f t="shared" si="2"/>
        <v>2.5827366868363438E-3</v>
      </c>
      <c r="G11" s="125">
        <f t="shared" si="0"/>
        <v>2.7735856263190616E-3</v>
      </c>
      <c r="H11" s="312">
        <f>H10*(1-'Table 3. Fixed Assumptions'!$C$22)</f>
        <v>1511.6355673389062</v>
      </c>
      <c r="I11" s="189">
        <f t="shared" si="6"/>
        <v>3.8458093852428252</v>
      </c>
      <c r="J11" s="309">
        <f t="shared" si="1"/>
        <v>4.1926506818038503</v>
      </c>
      <c r="K11" s="314">
        <f>IF(C11=0,0,1/(1+'Table 5. VOS Data Table'!$C$6)^A10)</f>
        <v>0.7346971526185565</v>
      </c>
      <c r="L11" s="309">
        <f t="shared" si="3"/>
        <v>2.8255052048516252</v>
      </c>
      <c r="M11" s="333">
        <f t="shared" si="4"/>
        <v>3.0803285178455382</v>
      </c>
      <c r="P11" s="2"/>
      <c r="Q11" s="3"/>
    </row>
    <row r="12" spans="1:17" x14ac:dyDescent="0.3">
      <c r="A12" s="2">
        <v>7</v>
      </c>
      <c r="B12" s="308">
        <f t="shared" si="5"/>
        <v>2027</v>
      </c>
      <c r="C12" s="309">
        <f>IF(A12-1&lt;'Table 5. VOS Data Table'!$G$14,0,IF('Table 9. Avoided Fixed O&amp;M'!A12&gt;'Table 3. Fixed Assumptions'!$C$23,0,'Table 5. VOS Data Table'!$G$10*(1+'Table 5. VOS Data Table'!$G$12)^('Table 9. Avoided Fixed O&amp;M'!A12-1)))</f>
        <v>4.0022108417330706</v>
      </c>
      <c r="D12" s="331">
        <f>D11*(1-'Table 5. VOS Data Table'!$G$9)</f>
        <v>0.994014980014994</v>
      </c>
      <c r="E12" s="331">
        <f>E11*(1-'Table 3. Fixed Assumptions'!$C$22)</f>
        <v>0.97037250935626573</v>
      </c>
      <c r="F12" s="332">
        <f t="shared" si="2"/>
        <v>2.6449819388467319E-3</v>
      </c>
      <c r="G12" s="125">
        <f t="shared" si="0"/>
        <v>2.7735856263190616E-3</v>
      </c>
      <c r="H12" s="312">
        <f>H11*(1-'Table 3. Fixed Assumptions'!$C$22)</f>
        <v>1504.0773895022116</v>
      </c>
      <c r="I12" s="189">
        <f t="shared" si="6"/>
        <v>3.907018964046991</v>
      </c>
      <c r="J12" s="309">
        <f t="shared" si="1"/>
        <v>4.1716874283948311</v>
      </c>
      <c r="K12" s="314">
        <f>IF(C12=0,0,1/(1+'Table 5. VOS Data Table'!$C$6)^A11)</f>
        <v>0.69076452859962056</v>
      </c>
      <c r="L12" s="309">
        <f t="shared" si="3"/>
        <v>2.6988301129296977</v>
      </c>
      <c r="M12" s="333">
        <f t="shared" si="4"/>
        <v>2.8816536999401188</v>
      </c>
      <c r="P12" s="2"/>
      <c r="Q12" s="3"/>
    </row>
    <row r="13" spans="1:17" x14ac:dyDescent="0.3">
      <c r="A13" s="2">
        <v>8</v>
      </c>
      <c r="B13" s="308">
        <f t="shared" si="5"/>
        <v>2028</v>
      </c>
      <c r="C13" s="309">
        <f>IF(A13-1&lt;'Table 5. VOS Data Table'!$G$14,0,IF('Table 9. Avoided Fixed O&amp;M'!A13&gt;'Table 3. Fixed Assumptions'!$C$23,0,'Table 5. VOS Data Table'!$G$10*(1+'Table 5. VOS Data Table'!$G$12)^('Table 9. Avoided Fixed O&amp;M'!A13-1)))</f>
        <v>4.0822550585677311</v>
      </c>
      <c r="D13" s="331">
        <f>D12*(1-'Table 5. VOS Data Table'!$G$9)</f>
        <v>0.99302096503497905</v>
      </c>
      <c r="E13" s="331">
        <f>E12*(1-'Table 3. Fixed Assumptions'!$C$22)</f>
        <v>0.96552064680948435</v>
      </c>
      <c r="F13" s="332">
        <f t="shared" si="2"/>
        <v>2.7087273327095901E-3</v>
      </c>
      <c r="G13" s="125">
        <f t="shared" si="0"/>
        <v>2.7735856263190616E-3</v>
      </c>
      <c r="H13" s="312">
        <f>H12*(1-'Table 3. Fixed Assumptions'!$C$22)</f>
        <v>1496.5570025547006</v>
      </c>
      <c r="I13" s="189">
        <f t="shared" si="6"/>
        <v>3.9692027493606505</v>
      </c>
      <c r="J13" s="309">
        <f t="shared" si="1"/>
        <v>4.1508289912528564</v>
      </c>
      <c r="K13" s="314">
        <f>IF(C13=0,0,1/(1+'Table 5. VOS Data Table'!$C$6)^A12)</f>
        <v>0.64945894001468651</v>
      </c>
      <c r="L13" s="309">
        <f t="shared" si="3"/>
        <v>2.5778342103031475</v>
      </c>
      <c r="M13" s="333">
        <f t="shared" si="4"/>
        <v>2.6957929968413108</v>
      </c>
      <c r="P13" s="2"/>
      <c r="Q13" s="3"/>
    </row>
    <row r="14" spans="1:17" x14ac:dyDescent="0.3">
      <c r="A14" s="2">
        <v>9</v>
      </c>
      <c r="B14" s="308">
        <f t="shared" si="5"/>
        <v>2029</v>
      </c>
      <c r="C14" s="309">
        <f>IF(A14-1&lt;'Table 5. VOS Data Table'!$G$14,0,IF('Table 9. Avoided Fixed O&amp;M'!A14&gt;'Table 3. Fixed Assumptions'!$C$23,0,'Table 5. VOS Data Table'!$G$10*(1+'Table 5. VOS Data Table'!$G$12)^('Table 9. Avoided Fixed O&amp;M'!A14-1)))</f>
        <v>4.1639001597390868</v>
      </c>
      <c r="D14" s="331">
        <f>D13*(1-'Table 5. VOS Data Table'!$G$9)</f>
        <v>0.9920279440699441</v>
      </c>
      <c r="E14" s="331">
        <f>E13*(1-'Table 3. Fixed Assumptions'!$C$22)</f>
        <v>0.96069304357543694</v>
      </c>
      <c r="F14" s="332">
        <f t="shared" si="2"/>
        <v>2.7740090225974057E-3</v>
      </c>
      <c r="G14" s="125">
        <f t="shared" si="0"/>
        <v>2.7735856263190616E-3</v>
      </c>
      <c r="H14" s="312">
        <f>H13*(1-'Table 3. Fixed Assumptions'!$C$22)</f>
        <v>1489.0742175419271</v>
      </c>
      <c r="I14" s="189">
        <f t="shared" si="6"/>
        <v>4.0323762465726976</v>
      </c>
      <c r="J14" s="309">
        <f t="shared" si="1"/>
        <v>4.1300748462965924</v>
      </c>
      <c r="K14" s="314">
        <f>IF(C14=0,0,1/(1+'Table 5. VOS Data Table'!$C$6)^A13)</f>
        <v>0.6106232982462263</v>
      </c>
      <c r="L14" s="309">
        <f t="shared" si="3"/>
        <v>2.4622628834519587</v>
      </c>
      <c r="M14" s="333">
        <f t="shared" si="4"/>
        <v>2.5219199246494015</v>
      </c>
      <c r="P14" s="2"/>
      <c r="Q14" s="3"/>
    </row>
    <row r="15" spans="1:17" x14ac:dyDescent="0.3">
      <c r="A15" s="2">
        <v>10</v>
      </c>
      <c r="B15" s="308">
        <f t="shared" si="5"/>
        <v>2030</v>
      </c>
      <c r="C15" s="309">
        <f>IF(A15-1&lt;'Table 5. VOS Data Table'!$G$14,0,IF('Table 9. Avoided Fixed O&amp;M'!A15&gt;'Table 3. Fixed Assumptions'!$C$23,0,'Table 5. VOS Data Table'!$G$10*(1+'Table 5. VOS Data Table'!$G$12)^('Table 9. Avoided Fixed O&amp;M'!A15-1)))</f>
        <v>4.2471781629338681</v>
      </c>
      <c r="D15" s="331">
        <f>D14*(1-'Table 5. VOS Data Table'!$G$9)</f>
        <v>0.99103591612587416</v>
      </c>
      <c r="E15" s="331">
        <f>E14*(1-'Table 3. Fixed Assumptions'!$C$22)</f>
        <v>0.95588957835755972</v>
      </c>
      <c r="F15" s="332">
        <f t="shared" si="2"/>
        <v>2.8408640340163863E-3</v>
      </c>
      <c r="G15" s="125">
        <f t="shared" si="0"/>
        <v>2.7735856263190616E-3</v>
      </c>
      <c r="H15" s="312">
        <f>H14*(1-'Table 3. Fixed Assumptions'!$C$22)</f>
        <v>1481.6288464542174</v>
      </c>
      <c r="I15" s="189">
        <f t="shared" si="6"/>
        <v>4.0965552078544851</v>
      </c>
      <c r="J15" s="309">
        <f t="shared" si="1"/>
        <v>4.1094244720651094</v>
      </c>
      <c r="K15" s="314">
        <f>IF(C15=0,0,1/(1+'Table 5. VOS Data Table'!$C$6)^A14)</f>
        <v>0.57410990809160045</v>
      </c>
      <c r="L15" s="309">
        <f t="shared" si="3"/>
        <v>2.3518729338735058</v>
      </c>
      <c r="M15" s="333">
        <f t="shared" si="4"/>
        <v>2.3592613059666738</v>
      </c>
      <c r="P15" s="2"/>
      <c r="Q15" s="3"/>
    </row>
    <row r="16" spans="1:17" x14ac:dyDescent="0.3">
      <c r="A16" s="2">
        <v>11</v>
      </c>
      <c r="B16" s="308">
        <f t="shared" si="5"/>
        <v>2031</v>
      </c>
      <c r="C16" s="309">
        <f>IF(A16-1&lt;'Table 5. VOS Data Table'!$G$14,0,IF('Table 9. Avoided Fixed O&amp;M'!A16&gt;'Table 3. Fixed Assumptions'!$C$23,0,'Table 5. VOS Data Table'!$G$10*(1+'Table 5. VOS Data Table'!$G$12)^('Table 9. Avoided Fixed O&amp;M'!A16-1)))</f>
        <v>4.332121726192546</v>
      </c>
      <c r="D16" s="331">
        <f>D15*(1-'Table 5. VOS Data Table'!$G$9)</f>
        <v>0.99004488020974823</v>
      </c>
      <c r="E16" s="331">
        <f>E15*(1-'Table 3. Fixed Assumptions'!$C$22)</f>
        <v>0.95111013046577186</v>
      </c>
      <c r="F16" s="332">
        <f t="shared" si="2"/>
        <v>2.909330284806048E-3</v>
      </c>
      <c r="G16" s="125">
        <f t="shared" si="0"/>
        <v>2.7735856263190616E-3</v>
      </c>
      <c r="H16" s="312">
        <f>H15*(1-'Table 3. Fixed Assumptions'!$C$22)</f>
        <v>1474.2207022219463</v>
      </c>
      <c r="I16" s="189">
        <f t="shared" si="6"/>
        <v>4.1617556360876051</v>
      </c>
      <c r="J16" s="309">
        <f t="shared" si="1"/>
        <v>4.0888773497047834</v>
      </c>
      <c r="K16" s="314">
        <f>IF(C16=0,0,1/(1+'Table 5. VOS Data Table'!$C$6)^A15)</f>
        <v>0.5397799060658145</v>
      </c>
      <c r="L16" s="309">
        <f t="shared" si="3"/>
        <v>2.2464320663162414</v>
      </c>
      <c r="M16" s="333">
        <f t="shared" si="4"/>
        <v>2.2070938317382844</v>
      </c>
      <c r="P16" s="2"/>
      <c r="Q16" s="3"/>
    </row>
    <row r="17" spans="1:17" x14ac:dyDescent="0.3">
      <c r="A17" s="2">
        <v>12</v>
      </c>
      <c r="B17" s="308">
        <f t="shared" si="5"/>
        <v>2032</v>
      </c>
      <c r="C17" s="309">
        <f>IF(A17-1&lt;'Table 5. VOS Data Table'!$G$14,0,IF('Table 9. Avoided Fixed O&amp;M'!A17&gt;'Table 3. Fixed Assumptions'!$C$23,0,'Table 5. VOS Data Table'!$G$10*(1+'Table 5. VOS Data Table'!$G$12)^('Table 9. Avoided Fixed O&amp;M'!A17-1)))</f>
        <v>4.4187641607163961</v>
      </c>
      <c r="D17" s="331">
        <f>D16*(1-'Table 5. VOS Data Table'!$G$9)</f>
        <v>0.98905483532953853</v>
      </c>
      <c r="E17" s="331">
        <f>E16*(1-'Table 3. Fixed Assumptions'!$C$22)</f>
        <v>0.94635457981344295</v>
      </c>
      <c r="F17" s="332">
        <f t="shared" si="2"/>
        <v>2.9794466066448907E-3</v>
      </c>
      <c r="G17" s="125">
        <f t="shared" si="0"/>
        <v>2.7735856263190616E-3</v>
      </c>
      <c r="H17" s="312">
        <f>H16*(1-'Table 3. Fixed Assumptions'!$C$22)</f>
        <v>1466.8495987108365</v>
      </c>
      <c r="I17" s="189">
        <f t="shared" si="6"/>
        <v>4.2279937888541639</v>
      </c>
      <c r="J17" s="309">
        <f t="shared" si="1"/>
        <v>4.0684329629562592</v>
      </c>
      <c r="K17" s="314">
        <f>IF(C17=0,0,1/(1+'Table 5. VOS Data Table'!$C$6)^A16)</f>
        <v>0.50750273229204079</v>
      </c>
      <c r="L17" s="309">
        <f t="shared" si="3"/>
        <v>2.145718399957266</v>
      </c>
      <c r="M17" s="333">
        <f t="shared" si="4"/>
        <v>2.0647408448473046</v>
      </c>
      <c r="P17" s="2"/>
      <c r="Q17" s="3"/>
    </row>
    <row r="18" spans="1:17" x14ac:dyDescent="0.3">
      <c r="A18" s="2">
        <v>13</v>
      </c>
      <c r="B18" s="308">
        <f t="shared" si="5"/>
        <v>2033</v>
      </c>
      <c r="C18" s="309">
        <f>IF(A18-1&lt;'Table 5. VOS Data Table'!$G$14,0,IF('Table 9. Avoided Fixed O&amp;M'!A18&gt;'Table 3. Fixed Assumptions'!$C$23,0,'Table 5. VOS Data Table'!$G$10*(1+'Table 5. VOS Data Table'!$G$12)^('Table 9. Avoided Fixed O&amp;M'!A18-1)))</f>
        <v>4.5071394439307246</v>
      </c>
      <c r="D18" s="331">
        <f>D17*(1-'Table 5. VOS Data Table'!$G$9)</f>
        <v>0.98806578049420901</v>
      </c>
      <c r="E18" s="331">
        <f>E17*(1-'Table 3. Fixed Assumptions'!$C$22)</f>
        <v>0.94162280691437572</v>
      </c>
      <c r="F18" s="332">
        <f t="shared" si="2"/>
        <v>3.0512527670743836E-3</v>
      </c>
      <c r="G18" s="125">
        <f t="shared" si="0"/>
        <v>2.7735856263190616E-3</v>
      </c>
      <c r="H18" s="312">
        <f>H17*(1-'Table 3. Fixed Assumptions'!$C$22)</f>
        <v>1459.5153507172822</v>
      </c>
      <c r="I18" s="189">
        <f t="shared" si="6"/>
        <v>4.2952861824905817</v>
      </c>
      <c r="J18" s="309">
        <f t="shared" si="1"/>
        <v>4.0480907981414784</v>
      </c>
      <c r="K18" s="314">
        <f>IF(C18=0,0,1/(1+'Table 5. VOS Data Table'!$C$6)^A17)</f>
        <v>0.47715563397145594</v>
      </c>
      <c r="L18" s="309">
        <f t="shared" si="3"/>
        <v>2.0495200014951283</v>
      </c>
      <c r="M18" s="333">
        <f t="shared" si="4"/>
        <v>1.9315693311612143</v>
      </c>
      <c r="P18" s="2"/>
      <c r="Q18" s="3"/>
    </row>
    <row r="19" spans="1:17" x14ac:dyDescent="0.3">
      <c r="A19" s="2">
        <v>14</v>
      </c>
      <c r="B19" s="308">
        <f t="shared" si="5"/>
        <v>2034</v>
      </c>
      <c r="C19" s="309">
        <f>IF(A19-1&lt;'Table 5. VOS Data Table'!$G$14,0,IF('Table 9. Avoided Fixed O&amp;M'!A19&gt;'Table 3. Fixed Assumptions'!$C$23,0,'Table 5. VOS Data Table'!$G$10*(1+'Table 5. VOS Data Table'!$G$12)^('Table 9. Avoided Fixed O&amp;M'!A19-1)))</f>
        <v>4.5972822328093388</v>
      </c>
      <c r="D19" s="331">
        <f>D18*(1-'Table 5. VOS Data Table'!$G$9)</f>
        <v>0.98707771471371475</v>
      </c>
      <c r="E19" s="331">
        <f>E18*(1-'Table 3. Fixed Assumptions'!$C$22)</f>
        <v>0.93691469287980389</v>
      </c>
      <c r="F19" s="332">
        <f t="shared" si="2"/>
        <v>3.1247894920537235E-3</v>
      </c>
      <c r="G19" s="125">
        <f t="shared" si="0"/>
        <v>2.7735856263190616E-3</v>
      </c>
      <c r="H19" s="312">
        <f>H18*(1-'Table 3. Fixed Assumptions'!$C$22)</f>
        <v>1452.2177739636959</v>
      </c>
      <c r="I19" s="189">
        <f t="shared" si="6"/>
        <v>4.3636495962058968</v>
      </c>
      <c r="J19" s="309">
        <f t="shared" si="1"/>
        <v>4.0278503441507709</v>
      </c>
      <c r="K19" s="314">
        <f>IF(C19=0,0,1/(1+'Table 5. VOS Data Table'!$C$6)^A18)</f>
        <v>0.44862319854405402</v>
      </c>
      <c r="L19" s="309">
        <f t="shared" si="3"/>
        <v>1.9576344391753593</v>
      </c>
      <c r="M19" s="333">
        <f t="shared" si="4"/>
        <v>1.8069871046496877</v>
      </c>
      <c r="P19" s="2"/>
      <c r="Q19" s="3"/>
    </row>
    <row r="20" spans="1:17" x14ac:dyDescent="0.3">
      <c r="A20" s="2">
        <v>15</v>
      </c>
      <c r="B20" s="308">
        <f t="shared" si="5"/>
        <v>2035</v>
      </c>
      <c r="C20" s="309">
        <f>IF(A20-1&lt;'Table 5. VOS Data Table'!$G$14,0,IF('Table 9. Avoided Fixed O&amp;M'!A20&gt;'Table 3. Fixed Assumptions'!$C$23,0,'Table 5. VOS Data Table'!$G$10*(1+'Table 5. VOS Data Table'!$G$12)^('Table 9. Avoided Fixed O&amp;M'!A20-1)))</f>
        <v>4.6892278774655258</v>
      </c>
      <c r="D20" s="331">
        <f>D19*(1-'Table 5. VOS Data Table'!$G$9)</f>
        <v>0.98609063699900101</v>
      </c>
      <c r="E20" s="331">
        <f>E19*(1-'Table 3. Fixed Assumptions'!$C$22)</f>
        <v>0.9322301194154049</v>
      </c>
      <c r="F20" s="332">
        <f t="shared" si="2"/>
        <v>3.2000984890581939E-3</v>
      </c>
      <c r="G20" s="125">
        <f t="shared" si="0"/>
        <v>2.7735856263190616E-3</v>
      </c>
      <c r="H20" s="312">
        <f>H19*(1-'Table 3. Fixed Assumptions'!$C$22)</f>
        <v>1444.9566850938775</v>
      </c>
      <c r="I20" s="189">
        <f t="shared" si="6"/>
        <v>4.4331010762656309</v>
      </c>
      <c r="J20" s="309">
        <f t="shared" si="1"/>
        <v>4.007711092430017</v>
      </c>
      <c r="K20" s="314">
        <f>IF(C20=0,0,1/(1+'Table 5. VOS Data Table'!$C$6)^A19)</f>
        <v>0.42179691476499998</v>
      </c>
      <c r="L20" s="309">
        <f t="shared" si="3"/>
        <v>1.8698683568102439</v>
      </c>
      <c r="M20" s="333">
        <f t="shared" si="4"/>
        <v>1.6904401740564488</v>
      </c>
      <c r="P20" s="2"/>
      <c r="Q20" s="3"/>
    </row>
    <row r="21" spans="1:17" x14ac:dyDescent="0.3">
      <c r="A21" s="2">
        <v>15</v>
      </c>
      <c r="B21" s="308">
        <f t="shared" si="5"/>
        <v>2036</v>
      </c>
      <c r="C21" s="309">
        <f>IF(A21-1&lt;'Table 5. VOS Data Table'!$G$14,0,IF('Table 9. Avoided Fixed O&amp;M'!A21&gt;'Table 3. Fixed Assumptions'!$C$23,0,'Table 5. VOS Data Table'!$G$10*(1+'Table 5. VOS Data Table'!$G$12)^('Table 9. Avoided Fixed O&amp;M'!A21-1)))</f>
        <v>4.6892278774655258</v>
      </c>
      <c r="D21" s="331">
        <f>D20*(1-'Table 5. VOS Data Table'!$G$9)</f>
        <v>0.98510454636200206</v>
      </c>
      <c r="E21" s="331">
        <f>E20*(1-'Table 3. Fixed Assumptions'!$C$22)</f>
        <v>0.92756896881832784</v>
      </c>
      <c r="F21" s="332">
        <f t="shared" si="2"/>
        <v>3.212963206602147E-3</v>
      </c>
      <c r="G21" s="125">
        <f t="shared" si="0"/>
        <v>2.7735856263190616E-3</v>
      </c>
      <c r="H21" s="312">
        <f>H20*(1-'Table 3. Fixed Assumptions'!$C$22)</f>
        <v>1437.731901668408</v>
      </c>
      <c r="I21" s="189">
        <f t="shared" si="6"/>
        <v>4.415350921806108</v>
      </c>
      <c r="J21" s="309">
        <f t="shared" si="1"/>
        <v>3.9876725369678669</v>
      </c>
      <c r="K21" s="314">
        <f>IF(C21=0,0,1/(1+'Table 5. VOS Data Table'!$C$6)^A20)</f>
        <v>0.39657476002726588</v>
      </c>
      <c r="L21" s="309">
        <f t="shared" si="3"/>
        <v>1.7510167322514245</v>
      </c>
      <c r="M21" s="333">
        <f t="shared" si="4"/>
        <v>1.5814102794153504</v>
      </c>
      <c r="P21" s="2"/>
      <c r="Q21" s="3"/>
    </row>
    <row r="22" spans="1:17" x14ac:dyDescent="0.3">
      <c r="A22" s="2">
        <v>17</v>
      </c>
      <c r="B22" s="308">
        <f t="shared" si="5"/>
        <v>2037</v>
      </c>
      <c r="C22" s="309">
        <f>IF(A22-1&lt;'Table 5. VOS Data Table'!$G$14,0,IF('Table 9. Avoided Fixed O&amp;M'!A22&gt;'Table 3. Fixed Assumptions'!$C$23,0,'Table 5. VOS Data Table'!$G$10*(1+'Table 5. VOS Data Table'!$G$12)^('Table 9. Avoided Fixed O&amp;M'!A22-1)))</f>
        <v>4.8786726837151324</v>
      </c>
      <c r="D22" s="331">
        <f>D21*(1-'Table 5. VOS Data Table'!$G$9)</f>
        <v>0.98411944181564004</v>
      </c>
      <c r="E22" s="331">
        <f>E21*(1-'Table 3. Fixed Assumptions'!$C$22)</f>
        <v>0.92293112397423616</v>
      </c>
      <c r="F22" s="332">
        <f t="shared" si="2"/>
        <v>3.3562051791243461E-3</v>
      </c>
      <c r="G22" s="125">
        <f t="shared" si="0"/>
        <v>2.7735856263190616E-3</v>
      </c>
      <c r="H22" s="312">
        <f>H21*(1-'Table 3. Fixed Assumptions'!$C$22)</f>
        <v>1430.543242160066</v>
      </c>
      <c r="I22" s="189">
        <f t="shared" si="6"/>
        <v>4.5753377813331726</v>
      </c>
      <c r="J22" s="309">
        <f t="shared" si="1"/>
        <v>3.9677341742830277</v>
      </c>
      <c r="K22" s="314">
        <f>IF(C22=0,0,1/(1+'Table 5. VOS Data Table'!$C$6)^A21)</f>
        <v>0.39657476002726588</v>
      </c>
      <c r="L22" s="309">
        <f t="shared" si="3"/>
        <v>1.8144634826758861</v>
      </c>
      <c r="M22" s="333">
        <f t="shared" si="4"/>
        <v>1.5735032280182737</v>
      </c>
      <c r="P22" s="2"/>
      <c r="Q22" s="3"/>
    </row>
    <row r="23" spans="1:17" x14ac:dyDescent="0.3">
      <c r="A23" s="2">
        <v>18</v>
      </c>
      <c r="B23" s="308">
        <f t="shared" si="5"/>
        <v>2038</v>
      </c>
      <c r="C23" s="309">
        <f>IF(A23-1&lt;'Table 5. VOS Data Table'!$G$14,0,IF('Table 9. Avoided Fixed O&amp;M'!A23&gt;'Table 3. Fixed Assumptions'!$C$23,0,'Table 5. VOS Data Table'!$G$10*(1+'Table 5. VOS Data Table'!$G$12)^('Table 9. Avoided Fixed O&amp;M'!A23-1)))</f>
        <v>4.9762461373894356</v>
      </c>
      <c r="D23" s="331">
        <f>D22*(1-'Table 5. VOS Data Table'!$G$9)</f>
        <v>0.98313532237382439</v>
      </c>
      <c r="E23" s="331">
        <f>E22*(1-'Table 3. Fixed Assumptions'!$C$22)</f>
        <v>0.91831646835436498</v>
      </c>
      <c r="F23" s="332">
        <f t="shared" si="2"/>
        <v>3.437091410476508E-3</v>
      </c>
      <c r="G23" s="125">
        <f t="shared" si="0"/>
        <v>2.7735856263190616E-3</v>
      </c>
      <c r="H23" s="312">
        <f>H22*(1-'Table 3. Fixed Assumptions'!$C$22)</f>
        <v>1423.3905259492658</v>
      </c>
      <c r="I23" s="189">
        <f t="shared" si="6"/>
        <v>4.6481584727477845</v>
      </c>
      <c r="J23" s="309">
        <f t="shared" si="1"/>
        <v>3.9478955034116128</v>
      </c>
      <c r="K23" s="314">
        <f>IF(C23=0,0,1/(1+'Table 5. VOS Data Table'!$C$6)^A22)</f>
        <v>0.35056488563473087</v>
      </c>
      <c r="L23" s="309">
        <f t="shared" si="3"/>
        <v>1.6294811434109324</v>
      </c>
      <c r="M23" s="333">
        <f t="shared" si="4"/>
        <v>1.3839935356513602</v>
      </c>
      <c r="P23" s="2"/>
      <c r="Q23" s="3"/>
    </row>
    <row r="24" spans="1:17" x14ac:dyDescent="0.3">
      <c r="A24" s="2">
        <v>19</v>
      </c>
      <c r="B24" s="308">
        <f t="shared" si="5"/>
        <v>2039</v>
      </c>
      <c r="C24" s="309">
        <f>IF(A24-1&lt;'Table 5. VOS Data Table'!$G$14,0,IF('Table 9. Avoided Fixed O&amp;M'!A24&gt;'Table 3. Fixed Assumptions'!$C$23,0,'Table 5. VOS Data Table'!$G$10*(1+'Table 5. VOS Data Table'!$G$12)^('Table 9. Avoided Fixed O&amp;M'!A24-1)))</f>
        <v>5.0757710601372237</v>
      </c>
      <c r="D24" s="331">
        <f>D23*(1-'Table 5. VOS Data Table'!$G$9)</f>
        <v>0.98215218705145058</v>
      </c>
      <c r="E24" s="331">
        <f>E23*(1-'Table 3. Fixed Assumptions'!$C$22)</f>
        <v>0.91372488601259316</v>
      </c>
      <c r="F24" s="332">
        <f t="shared" si="2"/>
        <v>3.5199270406506048E-3</v>
      </c>
      <c r="G24" s="125">
        <f t="shared" si="0"/>
        <v>2.7735856263190616E-3</v>
      </c>
      <c r="H24" s="312">
        <f>H23*(1-'Table 3. Fixed Assumptions'!$C$22)</f>
        <v>1416.2735733195195</v>
      </c>
      <c r="I24" s="189">
        <f t="shared" si="6"/>
        <v>4.7221381721638895</v>
      </c>
      <c r="J24" s="309">
        <f t="shared" si="1"/>
        <v>3.9281560258945549</v>
      </c>
      <c r="K24" s="314">
        <f>IF(C24=0,0,1/(1+'Table 5. VOS Data Table'!$C$6)^A23)</f>
        <v>0.32960218656894585</v>
      </c>
      <c r="L24" s="309">
        <f t="shared" si="3"/>
        <v>1.5564270668259033</v>
      </c>
      <c r="M24" s="333">
        <f t="shared" si="4"/>
        <v>1.2947288153188259</v>
      </c>
      <c r="P24" s="2"/>
      <c r="Q24" s="3"/>
    </row>
    <row r="25" spans="1:17" x14ac:dyDescent="0.3">
      <c r="A25" s="2">
        <v>20</v>
      </c>
      <c r="B25" s="308">
        <f t="shared" si="5"/>
        <v>2040</v>
      </c>
      <c r="C25" s="309">
        <f>IF(A25-1&lt;'Table 5. VOS Data Table'!$G$14,0,IF('Table 9. Avoided Fixed O&amp;M'!A25&gt;'Table 3. Fixed Assumptions'!$C$23,0,'Table 5. VOS Data Table'!$G$10*(1+'Table 5. VOS Data Table'!$G$12)^('Table 9. Avoided Fixed O&amp;M'!A25-1)))</f>
        <v>5.1772864813399684</v>
      </c>
      <c r="D25" s="331">
        <f>D24*(1-'Table 5. VOS Data Table'!$G$9)</f>
        <v>0.98117003486439913</v>
      </c>
      <c r="E25" s="331">
        <f>E24*(1-'Table 3. Fixed Assumptions'!$C$22)</f>
        <v>0.90915626158253016</v>
      </c>
      <c r="F25" s="332">
        <f t="shared" si="2"/>
        <v>3.6047590511378434E-3</v>
      </c>
      <c r="G25" s="125">
        <f t="shared" si="0"/>
        <v>2.7735856263190616E-3</v>
      </c>
      <c r="H25" s="312">
        <f>H24*(1-'Table 3. Fixed Assumptions'!$C$22)</f>
        <v>1409.1922054529218</v>
      </c>
      <c r="I25" s="189">
        <f t="shared" si="6"/>
        <v>4.7972953262553881</v>
      </c>
      <c r="J25" s="309">
        <f t="shared" si="1"/>
        <v>3.908515245765082</v>
      </c>
      <c r="K25" s="314">
        <f>IF(C25=0,0,1/(1+'Table 5. VOS Data Table'!$C$6)^A24)</f>
        <v>0.30989299226113753</v>
      </c>
      <c r="L25" s="309">
        <f t="shared" si="3"/>
        <v>1.4866482034136523</v>
      </c>
      <c r="M25" s="333">
        <f t="shared" si="4"/>
        <v>1.2112214848084166</v>
      </c>
      <c r="P25" s="2"/>
      <c r="Q25" s="3"/>
    </row>
    <row r="26" spans="1:17" x14ac:dyDescent="0.3">
      <c r="A26" s="2">
        <v>21</v>
      </c>
      <c r="B26" s="308">
        <f t="shared" si="5"/>
        <v>2041</v>
      </c>
      <c r="C26" s="309">
        <f>IF(A26-1&lt;'Table 5. VOS Data Table'!$G$14,0,IF('Table 9. Avoided Fixed O&amp;M'!A26&gt;'Table 3. Fixed Assumptions'!$C$23,0,'Table 5. VOS Data Table'!$G$10*(1+'Table 5. VOS Data Table'!$G$12)^('Table 9. Avoided Fixed O&amp;M'!A26-1)))</f>
        <v>5.2808322109667678</v>
      </c>
      <c r="D26" s="331">
        <f>D25*(1-'Table 5. VOS Data Table'!$G$9)</f>
        <v>0.98018886482953471</v>
      </c>
      <c r="E26" s="331">
        <f>E25*(1-'Table 3. Fixed Assumptions'!$C$22)</f>
        <v>0.90461048027461755</v>
      </c>
      <c r="F26" s="332">
        <f t="shared" si="2"/>
        <v>3.6916355557069743E-3</v>
      </c>
      <c r="G26" s="125">
        <f t="shared" si="0"/>
        <v>2.7735856263190616E-3</v>
      </c>
      <c r="H26" s="312">
        <f>H25*(1-'Table 3. Fixed Assumptions'!$C$22)</f>
        <v>1402.1462444256572</v>
      </c>
      <c r="I26" s="189">
        <f t="shared" si="6"/>
        <v>4.8736486752918848</v>
      </c>
      <c r="J26" s="309">
        <f t="shared" si="1"/>
        <v>3.8889726695362565</v>
      </c>
      <c r="K26" s="314">
        <f>IF(C26=0,0,1/(1+'Table 5. VOS Data Table'!$C$6)^A25)</f>
        <v>0.29136234699241953</v>
      </c>
      <c r="L26" s="309">
        <f t="shared" si="3"/>
        <v>1.4199977164495399</v>
      </c>
      <c r="M26" s="333">
        <f t="shared" si="4"/>
        <v>1.1331002043854588</v>
      </c>
      <c r="P26" s="2"/>
      <c r="Q26" s="3"/>
    </row>
    <row r="27" spans="1:17" x14ac:dyDescent="0.3">
      <c r="A27" s="2">
        <v>22</v>
      </c>
      <c r="B27" s="308">
        <f t="shared" si="5"/>
        <v>2042</v>
      </c>
      <c r="C27" s="309">
        <f>IF(A27-1&lt;'Table 5. VOS Data Table'!$G$14,0,IF('Table 9. Avoided Fixed O&amp;M'!A27&gt;'Table 3. Fixed Assumptions'!$C$23,0,'Table 5. VOS Data Table'!$G$10*(1+'Table 5. VOS Data Table'!$G$12)^('Table 9. Avoided Fixed O&amp;M'!A27-1)))</f>
        <v>5.3864488551861029</v>
      </c>
      <c r="D27" s="331">
        <f>D26*(1-'Table 5. VOS Data Table'!$G$9)</f>
        <v>0.97920867596470518</v>
      </c>
      <c r="E27" s="331">
        <f>E26*(1-'Table 3. Fixed Assumptions'!$C$22)</f>
        <v>0.90008742787324447</v>
      </c>
      <c r="F27" s="332">
        <f t="shared" si="2"/>
        <v>3.7806058276927566E-3</v>
      </c>
      <c r="G27" s="125">
        <f t="shared" si="0"/>
        <v>2.7735856263190616E-3</v>
      </c>
      <c r="H27" s="312">
        <f>H26*(1-'Table 3. Fixed Assumptions'!$C$22)</f>
        <v>1395.1355132035289</v>
      </c>
      <c r="I27" s="189">
        <f t="shared" si="6"/>
        <v>4.9512172578115452</v>
      </c>
      <c r="J27" s="309">
        <f t="shared" si="1"/>
        <v>3.8695278061885752</v>
      </c>
      <c r="K27" s="314">
        <f>IF(C27=0,0,1/(1+'Table 5. VOS Data Table'!$C$6)^A26)</f>
        <v>0.27393977716474194</v>
      </c>
      <c r="L27" s="309">
        <f t="shared" si="3"/>
        <v>1.3563353522991193</v>
      </c>
      <c r="M27" s="333">
        <f t="shared" si="4"/>
        <v>1.060017584960071</v>
      </c>
      <c r="P27" s="2"/>
      <c r="Q27" s="3"/>
    </row>
    <row r="28" spans="1:17" x14ac:dyDescent="0.3">
      <c r="A28" s="2">
        <v>23</v>
      </c>
      <c r="B28" s="308">
        <f t="shared" si="5"/>
        <v>2043</v>
      </c>
      <c r="C28" s="309">
        <f>IF(A28-1&lt;'Table 5. VOS Data Table'!$G$14,0,IF('Table 9. Avoided Fixed O&amp;M'!A28&gt;'Table 3. Fixed Assumptions'!$C$23,0,'Table 5. VOS Data Table'!$G$10*(1+'Table 5. VOS Data Table'!$G$12)^('Table 9. Avoided Fixed O&amp;M'!A28-1)))</f>
        <v>5.4941778322898251</v>
      </c>
      <c r="D28" s="331">
        <f>D27*(1-'Table 5. VOS Data Table'!$G$9)</f>
        <v>0.9782294672887405</v>
      </c>
      <c r="E28" s="331">
        <f>E27*(1-'Table 3. Fixed Assumptions'!$C$22)</f>
        <v>0.89558699073387826</v>
      </c>
      <c r="F28" s="332">
        <f t="shared" si="2"/>
        <v>3.8717203279420753E-3</v>
      </c>
      <c r="G28" s="125">
        <f t="shared" si="0"/>
        <v>2.7735856263190616E-3</v>
      </c>
      <c r="H28" s="312">
        <f>H27*(1-'Table 3. Fixed Assumptions'!$C$22)</f>
        <v>1388.1598356375114</v>
      </c>
      <c r="I28" s="189">
        <f t="shared" si="6"/>
        <v>5.0300204153683055</v>
      </c>
      <c r="J28" s="309">
        <f t="shared" si="1"/>
        <v>3.8501801671576326</v>
      </c>
      <c r="K28" s="314">
        <f>IF(C28=0,0,1/(1+'Table 5. VOS Data Table'!$C$6)^A27)</f>
        <v>0.25755902328388669</v>
      </c>
      <c r="L28" s="309">
        <f t="shared" si="3"/>
        <v>1.2955271452802708</v>
      </c>
      <c r="M28" s="333">
        <f t="shared" si="4"/>
        <v>0.99164864332011138</v>
      </c>
      <c r="P28" s="2"/>
      <c r="Q28" s="3"/>
    </row>
    <row r="29" spans="1:17" x14ac:dyDescent="0.3">
      <c r="A29" s="2">
        <v>24</v>
      </c>
      <c r="B29" s="308">
        <f t="shared" si="5"/>
        <v>2044</v>
      </c>
      <c r="C29" s="309">
        <f>IF(A29-1&lt;'Table 5. VOS Data Table'!$G$14,0,IF('Table 9. Avoided Fixed O&amp;M'!A29&gt;'Table 3. Fixed Assumptions'!$C$23,0,'Table 5. VOS Data Table'!$G$10*(1+'Table 5. VOS Data Table'!$G$12)^('Table 9. Avoided Fixed O&amp;M'!A29-1)))</f>
        <v>5.6040613889356212</v>
      </c>
      <c r="D29" s="331">
        <f>D28*(1-'Table 5. VOS Data Table'!$G$9)</f>
        <v>0.97725123782145173</v>
      </c>
      <c r="E29" s="331">
        <f>E28*(1-'Table 3. Fixed Assumptions'!$C$22)</f>
        <v>0.89110905578020883</v>
      </c>
      <c r="F29" s="332">
        <f t="shared" si="2"/>
        <v>3.9650307334335834E-3</v>
      </c>
      <c r="G29" s="125">
        <f t="shared" si="0"/>
        <v>2.7735856263190616E-3</v>
      </c>
      <c r="H29" s="312">
        <f>H28*(1-'Table 3. Fixed Assumptions'!$C$22)</f>
        <v>1381.2190364593239</v>
      </c>
      <c r="I29" s="189">
        <f t="shared" si="6"/>
        <v>5.1100777973546476</v>
      </c>
      <c r="J29" s="309">
        <f t="shared" si="1"/>
        <v>3.8309292663218444</v>
      </c>
      <c r="K29" s="314">
        <f>IF(C29=0,0,1/(1+'Table 5. VOS Data Table'!$C$6)^A28)</f>
        <v>0.24215778796905479</v>
      </c>
      <c r="L29" s="309">
        <f t="shared" si="3"/>
        <v>1.2374451357571814</v>
      </c>
      <c r="M29" s="333">
        <f t="shared" si="4"/>
        <v>0.92768935699841182</v>
      </c>
      <c r="P29" s="2"/>
      <c r="Q29" s="3"/>
    </row>
    <row r="30" spans="1:17" x14ac:dyDescent="0.3">
      <c r="A30" s="2">
        <v>25</v>
      </c>
      <c r="B30" s="316">
        <f t="shared" si="5"/>
        <v>2045</v>
      </c>
      <c r="C30" s="317">
        <f>IF(A30-1&lt;'Table 5. VOS Data Table'!$G$14,0,IF('Table 9. Avoided Fixed O&amp;M'!A30&gt;'Table 3. Fixed Assumptions'!$C$23,0,'Table 5. VOS Data Table'!$G$10*(1+'Table 5. VOS Data Table'!$G$12)^('Table 9. Avoided Fixed O&amp;M'!A30-1)))</f>
        <v>5.7161426167143334</v>
      </c>
      <c r="D30" s="334">
        <f>D29*(1-'Table 5. VOS Data Table'!$G$9)</f>
        <v>0.97627398658363029</v>
      </c>
      <c r="E30" s="334">
        <f>E29*(1-'Table 3. Fixed Assumptions'!$C$22)</f>
        <v>0.88665351050130781</v>
      </c>
      <c r="F30" s="335">
        <f t="shared" si="2"/>
        <v>4.060589966587088E-3</v>
      </c>
      <c r="G30" s="137">
        <f t="shared" si="0"/>
        <v>2.7735856263190616E-3</v>
      </c>
      <c r="H30" s="320">
        <f>H29*(1-'Table 3. Fixed Assumptions'!$C$22)</f>
        <v>1374.3129412770272</v>
      </c>
      <c r="I30" s="190">
        <f t="shared" si="6"/>
        <v>5.1914093659011327</v>
      </c>
      <c r="J30" s="317">
        <f t="shared" si="1"/>
        <v>3.8117746199902354</v>
      </c>
      <c r="K30" s="322">
        <f>IF(C30=0,0,1/(1+'Table 5. VOS Data Table'!$C$6)^A29)</f>
        <v>0.22767749903070209</v>
      </c>
      <c r="L30" s="317">
        <f>I30*K30</f>
        <v>1.1819671008729329</v>
      </c>
      <c r="M30" s="336">
        <f t="shared" si="4"/>
        <v>0.86785531234808166</v>
      </c>
      <c r="P30" s="2"/>
      <c r="Q30" s="3"/>
    </row>
    <row r="31" spans="1:17" ht="19.5" thickBot="1" x14ac:dyDescent="0.35">
      <c r="B31" s="116"/>
      <c r="C31" s="117"/>
      <c r="D31" s="116"/>
      <c r="E31" s="116"/>
      <c r="F31" s="117"/>
      <c r="G31" s="125">
        <f>L32/(SUMPRODUCT(H6:H30,K6:K30))</f>
        <v>2.7735856263190616E-3</v>
      </c>
      <c r="H31" s="116"/>
      <c r="I31" s="117"/>
      <c r="J31" s="117"/>
      <c r="K31" s="117"/>
      <c r="L31" s="117"/>
      <c r="M31" s="117"/>
      <c r="P31" s="2"/>
      <c r="Q31" s="3"/>
    </row>
    <row r="32" spans="1:17" ht="19.5" thickBot="1" x14ac:dyDescent="0.35">
      <c r="B32" s="116"/>
      <c r="C32" s="117"/>
      <c r="D32" s="117"/>
      <c r="E32" s="117"/>
      <c r="F32" s="117"/>
      <c r="G32" s="117"/>
      <c r="H32" s="116"/>
      <c r="I32" s="56"/>
      <c r="J32" s="57"/>
      <c r="K32" s="58" t="s">
        <v>173</v>
      </c>
      <c r="L32" s="59">
        <f>SUM(L6:L30)</f>
        <v>54.16058854217632</v>
      </c>
      <c r="M32" s="60">
        <f>SUM(M6:M30)</f>
        <v>54.160588542176349</v>
      </c>
      <c r="P32" s="2"/>
      <c r="Q32" s="3"/>
    </row>
    <row r="33" spans="2:17" x14ac:dyDescent="0.3">
      <c r="B33" s="2"/>
      <c r="D33" s="2"/>
      <c r="E33" s="2"/>
      <c r="H33" s="31"/>
      <c r="M33" s="5"/>
      <c r="P33" s="2"/>
      <c r="Q33" s="3"/>
    </row>
    <row r="34" spans="2:17" x14ac:dyDescent="0.3">
      <c r="B34" s="2"/>
      <c r="D34" s="39"/>
      <c r="E34" s="39"/>
      <c r="H34" s="2"/>
      <c r="P34" s="2"/>
      <c r="Q34" s="3"/>
    </row>
    <row r="35" spans="2:17" x14ac:dyDescent="0.3">
      <c r="B35" s="2"/>
      <c r="D35" s="2"/>
      <c r="E35" s="2"/>
      <c r="H35" s="2"/>
      <c r="P35" s="2"/>
      <c r="Q35" s="3"/>
    </row>
    <row r="36" spans="2:17" x14ac:dyDescent="0.3">
      <c r="B36" s="2"/>
      <c r="D36" s="2"/>
      <c r="E36" s="2"/>
      <c r="H36" s="2"/>
    </row>
    <row r="37" spans="2:17" x14ac:dyDescent="0.3">
      <c r="B37" s="2"/>
      <c r="D37" s="2"/>
      <c r="E37" s="2"/>
      <c r="H37" s="2"/>
    </row>
    <row r="38" spans="2:17" x14ac:dyDescent="0.3">
      <c r="B38" s="2"/>
      <c r="D38" s="2"/>
      <c r="E38" s="2"/>
      <c r="H38" s="2"/>
    </row>
    <row r="39" spans="2:17" x14ac:dyDescent="0.3">
      <c r="B39" s="2"/>
      <c r="D39" s="2"/>
      <c r="E39" s="2"/>
      <c r="H39" s="2"/>
    </row>
  </sheetData>
  <mergeCells count="3">
    <mergeCell ref="F3:G3"/>
    <mergeCell ref="I3:J3"/>
    <mergeCell ref="L3:M3"/>
  </mergeCells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5"/>
  </sheetPr>
  <dimension ref="A2:N40"/>
  <sheetViews>
    <sheetView view="pageBreakPreview" zoomScale="60" zoomScaleNormal="70" workbookViewId="0">
      <selection activeCell="W34" sqref="W34"/>
    </sheetView>
  </sheetViews>
  <sheetFormatPr defaultRowHeight="18.75" x14ac:dyDescent="0.3"/>
  <cols>
    <col min="3" max="4" width="10.5546875" customWidth="1"/>
    <col min="5" max="5" width="15" customWidth="1"/>
    <col min="8" max="8" width="14.109375" style="2" customWidth="1"/>
    <col min="14" max="14" width="8.88671875" style="9"/>
  </cols>
  <sheetData>
    <row r="2" spans="1:14" ht="26.25" x14ac:dyDescent="0.4">
      <c r="B2" s="114" t="s">
        <v>20</v>
      </c>
    </row>
    <row r="3" spans="1:14" ht="26.25" x14ac:dyDescent="0.4">
      <c r="B3" s="114"/>
    </row>
    <row r="4" spans="1:14" x14ac:dyDescent="0.3">
      <c r="B4" s="116"/>
      <c r="C4" s="418" t="s">
        <v>157</v>
      </c>
      <c r="D4" s="419"/>
      <c r="E4" s="116"/>
      <c r="F4" s="418" t="s">
        <v>158</v>
      </c>
      <c r="G4" s="419"/>
      <c r="H4" s="116"/>
      <c r="I4" s="418" t="s">
        <v>159</v>
      </c>
      <c r="J4" s="419"/>
    </row>
    <row r="5" spans="1:14" ht="37.5" x14ac:dyDescent="0.3">
      <c r="B5" s="324" t="s">
        <v>31</v>
      </c>
      <c r="C5" s="32" t="s">
        <v>162</v>
      </c>
      <c r="D5" s="32" t="s">
        <v>163</v>
      </c>
      <c r="E5" s="33" t="s">
        <v>164</v>
      </c>
      <c r="F5" s="32" t="s">
        <v>165</v>
      </c>
      <c r="G5" s="32" t="s">
        <v>163</v>
      </c>
      <c r="H5" s="21" t="s">
        <v>166</v>
      </c>
      <c r="I5" s="34" t="s">
        <v>162</v>
      </c>
      <c r="J5" s="35" t="s">
        <v>163</v>
      </c>
    </row>
    <row r="6" spans="1:14" x14ac:dyDescent="0.3">
      <c r="B6" s="308"/>
      <c r="C6" s="215" t="s">
        <v>169</v>
      </c>
      <c r="D6" s="215" t="s">
        <v>169</v>
      </c>
      <c r="E6" s="215" t="s">
        <v>170</v>
      </c>
      <c r="F6" s="299" t="s">
        <v>171</v>
      </c>
      <c r="G6" s="299" t="s">
        <v>171</v>
      </c>
      <c r="H6" s="298" t="s">
        <v>172</v>
      </c>
      <c r="I6" s="299" t="s">
        <v>171</v>
      </c>
      <c r="J6" s="299" t="s">
        <v>171</v>
      </c>
    </row>
    <row r="7" spans="1:14" x14ac:dyDescent="0.3">
      <c r="A7" s="2">
        <v>1</v>
      </c>
      <c r="B7" s="300">
        <f>'Table 5. VOS Data Table'!$C$5</f>
        <v>2021</v>
      </c>
      <c r="C7" s="329">
        <f>'Table 5. VOS Data Table'!G11</f>
        <v>1.0479945225837638E-3</v>
      </c>
      <c r="D7" s="136">
        <f>I33/(SUMPRODUCT(E7:E31,H7:H31))</f>
        <v>1.2560579046396343E-3</v>
      </c>
      <c r="E7" s="337">
        <f>'Table 5. VOS Data Table'!C17</f>
        <v>1550</v>
      </c>
      <c r="F7" s="305">
        <f t="shared" ref="F7:F31" si="0">E7*C7</f>
        <v>1.6243915100048338</v>
      </c>
      <c r="G7" s="305">
        <f t="shared" ref="G7:G31" si="1">E7*D7</f>
        <v>1.9468897521914332</v>
      </c>
      <c r="H7" s="338">
        <v>1</v>
      </c>
      <c r="I7" s="305">
        <f>F7*H7</f>
        <v>1.6243915100048338</v>
      </c>
      <c r="J7" s="307">
        <f>H7*G7</f>
        <v>1.9468897521914332</v>
      </c>
      <c r="N7" s="10"/>
    </row>
    <row r="8" spans="1:14" x14ac:dyDescent="0.3">
      <c r="A8" s="2">
        <v>2</v>
      </c>
      <c r="B8" s="308">
        <f>B7+1</f>
        <v>2022</v>
      </c>
      <c r="C8" s="332">
        <f>IF(A8&lt;='Table 3. Fixed Assumptions'!$C$23,'Table 10. Avoided Variable O&amp;M'!C7*(1+'Table 5. VOS Data Table'!$G$12),0)</f>
        <v>1.0689544130354392E-3</v>
      </c>
      <c r="D8" s="125">
        <f>IF(C8=0,0,D7)</f>
        <v>1.2560579046396343E-3</v>
      </c>
      <c r="E8" s="339">
        <f>E7*(1-'Table 3. Fixed Assumptions'!$C$22)</f>
        <v>1542.25</v>
      </c>
      <c r="F8" s="313">
        <f t="shared" si="0"/>
        <v>1.648594943503906</v>
      </c>
      <c r="G8" s="313">
        <f t="shared" si="1"/>
        <v>1.937155303430476</v>
      </c>
      <c r="H8" s="340">
        <f>IF(C8=0,0,1/(1+'Table 5. VOS Data Table'!$C$6)^A7)</f>
        <v>0.94020308386611495</v>
      </c>
      <c r="I8" s="313">
        <f t="shared" ref="I8:I31" si="2">F8*H8</f>
        <v>1.550014049928456</v>
      </c>
      <c r="J8" s="315">
        <f t="shared" ref="J8:J31" si="3">H8*G8</f>
        <v>1.8213193902129332</v>
      </c>
      <c r="N8" s="10"/>
    </row>
    <row r="9" spans="1:14" x14ac:dyDescent="0.3">
      <c r="A9" s="2">
        <v>3</v>
      </c>
      <c r="B9" s="308">
        <f t="shared" ref="B9:B31" si="4">B8+1</f>
        <v>2023</v>
      </c>
      <c r="C9" s="332">
        <f>IF(A9&lt;='Table 3. Fixed Assumptions'!$C$23,'Table 10. Avoided Variable O&amp;M'!C8*(1+'Table 5. VOS Data Table'!$G$12),0)</f>
        <v>1.090333501296148E-3</v>
      </c>
      <c r="D9" s="125">
        <f t="shared" ref="D9:D31" si="5">IF(C9=0,0,D8)</f>
        <v>1.2560579046396343E-3</v>
      </c>
      <c r="E9" s="339">
        <f>E8*(1-'Table 3. Fixed Assumptions'!$C$22)</f>
        <v>1534.5387499999999</v>
      </c>
      <c r="F9" s="313">
        <f t="shared" si="0"/>
        <v>1.6731590081621144</v>
      </c>
      <c r="G9" s="313">
        <f t="shared" si="1"/>
        <v>1.9274695269133235</v>
      </c>
      <c r="H9" s="340">
        <f>IF(C9=0,0,1/(1+'Table 5. VOS Data Table'!$C$6)^A8)</f>
        <v>0.88398183891135285</v>
      </c>
      <c r="I9" s="313">
        <f t="shared" si="2"/>
        <v>1.4790421768262412</v>
      </c>
      <c r="J9" s="315">
        <f t="shared" si="3"/>
        <v>1.7038480568464349</v>
      </c>
      <c r="N9" s="10"/>
    </row>
    <row r="10" spans="1:14" x14ac:dyDescent="0.3">
      <c r="A10" s="2">
        <v>4</v>
      </c>
      <c r="B10" s="308">
        <f t="shared" si="4"/>
        <v>2024</v>
      </c>
      <c r="C10" s="332">
        <f>IF(A10&lt;='Table 3. Fixed Assumptions'!$C$23,'Table 10. Avoided Variable O&amp;M'!C9*(1+'Table 5. VOS Data Table'!$G$12),0)</f>
        <v>1.1121401713220711E-3</v>
      </c>
      <c r="D10" s="125">
        <f>IF(C10=0,0,D9)</f>
        <v>1.2560579046396343E-3</v>
      </c>
      <c r="E10" s="339">
        <f>E9*(1-'Table 3. Fixed Assumptions'!$C$22)</f>
        <v>1526.8660562499999</v>
      </c>
      <c r="F10" s="313">
        <f t="shared" si="0"/>
        <v>1.6980890773837298</v>
      </c>
      <c r="G10" s="313">
        <f t="shared" si="1"/>
        <v>1.9178321792787569</v>
      </c>
      <c r="H10" s="340">
        <f>IF(C10=0,0,1/(1+'Table 5. VOS Data Table'!$C$6)^A9)</f>
        <v>0.83112245102609328</v>
      </c>
      <c r="I10" s="313">
        <f t="shared" si="2"/>
        <v>1.411319956055803</v>
      </c>
      <c r="J10" s="315">
        <f t="shared" si="3"/>
        <v>1.5939533814988744</v>
      </c>
      <c r="N10" s="10"/>
    </row>
    <row r="11" spans="1:14" x14ac:dyDescent="0.3">
      <c r="A11" s="2">
        <v>5</v>
      </c>
      <c r="B11" s="308">
        <f t="shared" si="4"/>
        <v>2025</v>
      </c>
      <c r="C11" s="332">
        <f>IF(A11&lt;='Table 3. Fixed Assumptions'!$C$23,'Table 10. Avoided Variable O&amp;M'!C10*(1+'Table 5. VOS Data Table'!$G$12),0)</f>
        <v>1.1343829747485126E-3</v>
      </c>
      <c r="D11" s="125">
        <f t="shared" si="5"/>
        <v>1.2560579046396343E-3</v>
      </c>
      <c r="E11" s="339">
        <f>E10*(1-'Table 3. Fixed Assumptions'!$C$22)</f>
        <v>1519.23172596875</v>
      </c>
      <c r="F11" s="313">
        <f t="shared" si="0"/>
        <v>1.7233906046367478</v>
      </c>
      <c r="G11" s="313">
        <f t="shared" si="1"/>
        <v>1.9082430183823633</v>
      </c>
      <c r="H11" s="340">
        <f>IF(C11=0,0,1/(1+'Table 5. VOS Data Table'!$C$6)^A10)</f>
        <v>0.78142389152509684</v>
      </c>
      <c r="I11" s="313">
        <f t="shared" si="2"/>
        <v>1.3466985928930371</v>
      </c>
      <c r="J11" s="315">
        <f t="shared" si="3"/>
        <v>1.4911466853999433</v>
      </c>
      <c r="N11" s="10"/>
    </row>
    <row r="12" spans="1:14" x14ac:dyDescent="0.3">
      <c r="A12" s="2">
        <v>6</v>
      </c>
      <c r="B12" s="308">
        <f t="shared" si="4"/>
        <v>2026</v>
      </c>
      <c r="C12" s="332">
        <f>IF(A12&lt;='Table 3. Fixed Assumptions'!$C$23,'Table 10. Avoided Variable O&amp;M'!C11*(1+'Table 5. VOS Data Table'!$G$12),0)</f>
        <v>1.1570706342434829E-3</v>
      </c>
      <c r="D12" s="125">
        <f t="shared" si="5"/>
        <v>1.2560579046396343E-3</v>
      </c>
      <c r="E12" s="339">
        <f>E11*(1-'Table 3. Fixed Assumptions'!$C$22)</f>
        <v>1511.6355673389062</v>
      </c>
      <c r="F12" s="313">
        <f t="shared" si="0"/>
        <v>1.7490691246458352</v>
      </c>
      <c r="G12" s="313">
        <f t="shared" si="1"/>
        <v>1.8987018032904515</v>
      </c>
      <c r="H12" s="340">
        <f>IF(C12=0,0,1/(1+'Table 5. VOS Data Table'!$C$6)^A11)</f>
        <v>0.7346971526185565</v>
      </c>
      <c r="I12" s="313">
        <f t="shared" si="2"/>
        <v>1.2850361056103261</v>
      </c>
      <c r="J12" s="315">
        <f t="shared" si="3"/>
        <v>1.3949708085492132</v>
      </c>
      <c r="N12" s="10"/>
    </row>
    <row r="13" spans="1:14" x14ac:dyDescent="0.3">
      <c r="A13" s="2">
        <v>7</v>
      </c>
      <c r="B13" s="308">
        <f t="shared" si="4"/>
        <v>2027</v>
      </c>
      <c r="C13" s="332">
        <f>IF(A13&lt;='Table 3. Fixed Assumptions'!$C$23,'Table 10. Avoided Variable O&amp;M'!C12*(1+'Table 5. VOS Data Table'!$G$12),0)</f>
        <v>1.1802120469283526E-3</v>
      </c>
      <c r="D13" s="125">
        <f t="shared" si="5"/>
        <v>1.2560579046396343E-3</v>
      </c>
      <c r="E13" s="339">
        <f>E12*(1-'Table 3. Fixed Assumptions'!$C$22)</f>
        <v>1504.0773895022116</v>
      </c>
      <c r="F13" s="313">
        <f t="shared" si="0"/>
        <v>1.7751302546030583</v>
      </c>
      <c r="G13" s="313">
        <f t="shared" si="1"/>
        <v>1.8892082942739992</v>
      </c>
      <c r="H13" s="340">
        <f>IF(C13=0,0,1/(1+'Table 5. VOS Data Table'!$C$6)^A12)</f>
        <v>0.69076452859962056</v>
      </c>
      <c r="I13" s="313">
        <f t="shared" si="2"/>
        <v>1.2261970135238061</v>
      </c>
      <c r="J13" s="315">
        <f t="shared" si="3"/>
        <v>1.3049980768206724</v>
      </c>
      <c r="N13" s="10"/>
    </row>
    <row r="14" spans="1:14" x14ac:dyDescent="0.3">
      <c r="A14" s="2">
        <v>8</v>
      </c>
      <c r="B14" s="308">
        <f t="shared" si="4"/>
        <v>2028</v>
      </c>
      <c r="C14" s="332">
        <f>IF(A14&lt;='Table 3. Fixed Assumptions'!$C$23,'Table 10. Avoided Variable O&amp;M'!C13*(1+'Table 5. VOS Data Table'!$G$12),0)</f>
        <v>1.2038162878669197E-3</v>
      </c>
      <c r="D14" s="125">
        <f t="shared" si="5"/>
        <v>1.2560579046396343E-3</v>
      </c>
      <c r="E14" s="339">
        <f>E13*(1-'Table 3. Fixed Assumptions'!$C$22)</f>
        <v>1496.5570025547006</v>
      </c>
      <c r="F14" s="313">
        <f t="shared" si="0"/>
        <v>1.8015796953966439</v>
      </c>
      <c r="G14" s="313">
        <f t="shared" si="1"/>
        <v>1.8797622528026292</v>
      </c>
      <c r="H14" s="340">
        <f>IF(C14=0,0,1/(1+'Table 5. VOS Data Table'!$C$6)^A13)</f>
        <v>0.64945894001468651</v>
      </c>
      <c r="I14" s="313">
        <f t="shared" si="2"/>
        <v>1.1700520393242861</v>
      </c>
      <c r="J14" s="315">
        <f t="shared" si="3"/>
        <v>1.2208284001848146</v>
      </c>
      <c r="N14" s="10"/>
    </row>
    <row r="15" spans="1:14" x14ac:dyDescent="0.3">
      <c r="A15" s="2">
        <v>9</v>
      </c>
      <c r="B15" s="308">
        <f t="shared" si="4"/>
        <v>2029</v>
      </c>
      <c r="C15" s="332">
        <f>IF(A15&lt;='Table 3. Fixed Assumptions'!$C$23,'Table 10. Avoided Variable O&amp;M'!C14*(1+'Table 5. VOS Data Table'!$G$12),0)</f>
        <v>1.2278926136242581E-3</v>
      </c>
      <c r="D15" s="125">
        <f t="shared" si="5"/>
        <v>1.2560579046396343E-3</v>
      </c>
      <c r="E15" s="339">
        <f>E14*(1-'Table 3. Fixed Assumptions'!$C$22)</f>
        <v>1489.0742175419271</v>
      </c>
      <c r="F15" s="313">
        <f t="shared" si="0"/>
        <v>1.8284232328580539</v>
      </c>
      <c r="G15" s="313">
        <f t="shared" si="1"/>
        <v>1.8703634415386159</v>
      </c>
      <c r="H15" s="340">
        <f>IF(C15=0,0,1/(1+'Table 5. VOS Data Table'!$C$6)^A14)</f>
        <v>0.6106232982462263</v>
      </c>
      <c r="I15" s="313">
        <f t="shared" si="2"/>
        <v>1.1164778250378127</v>
      </c>
      <c r="J15" s="315">
        <f t="shared" si="3"/>
        <v>1.1420874935914724</v>
      </c>
      <c r="N15" s="10"/>
    </row>
    <row r="16" spans="1:14" x14ac:dyDescent="0.3">
      <c r="A16" s="2">
        <v>10</v>
      </c>
      <c r="B16" s="308">
        <f t="shared" si="4"/>
        <v>2030</v>
      </c>
      <c r="C16" s="332">
        <f>IF(A16&lt;='Table 3. Fixed Assumptions'!$C$23,'Table 10. Avoided Variable O&amp;M'!C15*(1+'Table 5. VOS Data Table'!$G$12),0)</f>
        <v>1.2524504658967433E-3</v>
      </c>
      <c r="D16" s="125">
        <f t="shared" si="5"/>
        <v>1.2560579046396343E-3</v>
      </c>
      <c r="E16" s="339">
        <f>E15*(1-'Table 3. Fixed Assumptions'!$C$22)</f>
        <v>1481.6288464542174</v>
      </c>
      <c r="F16" s="313">
        <f t="shared" si="0"/>
        <v>1.8556667390276389</v>
      </c>
      <c r="G16" s="313">
        <f t="shared" si="1"/>
        <v>1.8610116243309229</v>
      </c>
      <c r="H16" s="340">
        <f>IF(C16=0,0,1/(1+'Table 5. VOS Data Table'!$C$6)^A15)</f>
        <v>0.57410990809160045</v>
      </c>
      <c r="I16" s="313">
        <f t="shared" si="2"/>
        <v>1.0653566609917977</v>
      </c>
      <c r="J16" s="315">
        <f t="shared" si="3"/>
        <v>1.0684252126020262</v>
      </c>
      <c r="N16" s="10"/>
    </row>
    <row r="17" spans="1:14" x14ac:dyDescent="0.3">
      <c r="A17" s="2">
        <v>11</v>
      </c>
      <c r="B17" s="308">
        <f t="shared" si="4"/>
        <v>2031</v>
      </c>
      <c r="C17" s="332">
        <f>IF(A17&lt;='Table 3. Fixed Assumptions'!$C$23,'Table 10. Avoided Variable O&amp;M'!C16*(1+'Table 5. VOS Data Table'!$G$12),0)</f>
        <v>1.2774994752146782E-3</v>
      </c>
      <c r="D17" s="125">
        <f t="shared" si="5"/>
        <v>1.2560579046396343E-3</v>
      </c>
      <c r="E17" s="339">
        <f>E16*(1-'Table 3. Fixed Assumptions'!$C$22)</f>
        <v>1474.2207022219463</v>
      </c>
      <c r="F17" s="313">
        <f t="shared" si="0"/>
        <v>1.8833161734391508</v>
      </c>
      <c r="G17" s="313">
        <f t="shared" si="1"/>
        <v>1.8517065662092682</v>
      </c>
      <c r="H17" s="340">
        <f>IF(C17=0,0,1/(1+'Table 5. VOS Data Table'!$C$6)^A16)</f>
        <v>0.5397799060658145</v>
      </c>
      <c r="I17" s="313">
        <f t="shared" si="2"/>
        <v>1.016576227191214</v>
      </c>
      <c r="J17" s="315">
        <f t="shared" si="3"/>
        <v>0.99951399636989069</v>
      </c>
      <c r="N17" s="10"/>
    </row>
    <row r="18" spans="1:14" x14ac:dyDescent="0.3">
      <c r="A18" s="2">
        <v>12</v>
      </c>
      <c r="B18" s="308">
        <f t="shared" si="4"/>
        <v>2032</v>
      </c>
      <c r="C18" s="332">
        <f>IF(A18&lt;='Table 3. Fixed Assumptions'!$C$23,'Table 10. Avoided Variable O&amp;M'!C17*(1+'Table 5. VOS Data Table'!$G$12),0)</f>
        <v>1.3030494647189718E-3</v>
      </c>
      <c r="D18" s="125">
        <f t="shared" si="5"/>
        <v>1.2560579046396343E-3</v>
      </c>
      <c r="E18" s="339">
        <f>E17*(1-'Table 3. Fixed Assumptions'!$C$22)</f>
        <v>1466.8495987108365</v>
      </c>
      <c r="F18" s="313">
        <f t="shared" si="0"/>
        <v>1.911377584423394</v>
      </c>
      <c r="G18" s="313">
        <f t="shared" si="1"/>
        <v>1.8424480333782218</v>
      </c>
      <c r="H18" s="340">
        <f>IF(C18=0,0,1/(1+'Table 5. VOS Data Table'!$C$6)^A17)</f>
        <v>0.50750273229204079</v>
      </c>
      <c r="I18" s="313">
        <f t="shared" si="2"/>
        <v>0.97002934653663331</v>
      </c>
      <c r="J18" s="315">
        <f t="shared" si="3"/>
        <v>0.93504741104554479</v>
      </c>
      <c r="N18" s="10"/>
    </row>
    <row r="19" spans="1:14" x14ac:dyDescent="0.3">
      <c r="A19" s="2">
        <v>13</v>
      </c>
      <c r="B19" s="308">
        <f t="shared" si="4"/>
        <v>2033</v>
      </c>
      <c r="C19" s="332">
        <f>IF(A19&lt;='Table 3. Fixed Assumptions'!$C$23,'Table 10. Avoided Variable O&amp;M'!C18*(1+'Table 5. VOS Data Table'!$G$12),0)</f>
        <v>1.3291104540133513E-3</v>
      </c>
      <c r="D19" s="125">
        <f t="shared" si="5"/>
        <v>1.2560579046396343E-3</v>
      </c>
      <c r="E19" s="339">
        <f>E18*(1-'Table 3. Fixed Assumptions'!$C$22)</f>
        <v>1459.5153507172822</v>
      </c>
      <c r="F19" s="313">
        <f t="shared" si="0"/>
        <v>1.9398571104313027</v>
      </c>
      <c r="G19" s="313">
        <f t="shared" si="1"/>
        <v>1.8332357932113306</v>
      </c>
      <c r="H19" s="340">
        <f>IF(C19=0,0,1/(1+'Table 5. VOS Data Table'!$C$6)^A18)</f>
        <v>0.47715563397145594</v>
      </c>
      <c r="I19" s="313">
        <f t="shared" si="2"/>
        <v>0.92561374934188489</v>
      </c>
      <c r="J19" s="315">
        <f t="shared" si="3"/>
        <v>0.87473878712891728</v>
      </c>
      <c r="N19" s="10"/>
    </row>
    <row r="20" spans="1:14" x14ac:dyDescent="0.3">
      <c r="A20" s="2">
        <v>14</v>
      </c>
      <c r="B20" s="308">
        <f t="shared" si="4"/>
        <v>2034</v>
      </c>
      <c r="C20" s="332">
        <f>IF(A20&lt;='Table 3. Fixed Assumptions'!$C$23,'Table 10. Avoided Variable O&amp;M'!C19*(1+'Table 5. VOS Data Table'!$G$12),0)</f>
        <v>1.3556926630936183E-3</v>
      </c>
      <c r="D20" s="125">
        <f t="shared" si="5"/>
        <v>1.2560579046396343E-3</v>
      </c>
      <c r="E20" s="339">
        <f>E19*(1-'Table 3. Fixed Assumptions'!$C$22)</f>
        <v>1452.2177739636959</v>
      </c>
      <c r="F20" s="313">
        <f t="shared" si="0"/>
        <v>1.9687609813767293</v>
      </c>
      <c r="G20" s="313">
        <f t="shared" si="1"/>
        <v>1.8240696142452739</v>
      </c>
      <c r="H20" s="340">
        <f>IF(C20=0,0,1/(1+'Table 5. VOS Data Table'!$C$6)^A19)</f>
        <v>0.44862319854405402</v>
      </c>
      <c r="I20" s="313">
        <f t="shared" si="2"/>
        <v>0.88323184863395909</v>
      </c>
      <c r="J20" s="315">
        <f t="shared" si="3"/>
        <v>0.81831994470973357</v>
      </c>
      <c r="N20" s="10"/>
    </row>
    <row r="21" spans="1:14" x14ac:dyDescent="0.3">
      <c r="A21" s="2">
        <v>15</v>
      </c>
      <c r="B21" s="308">
        <f t="shared" si="4"/>
        <v>2035</v>
      </c>
      <c r="C21" s="332">
        <f>IF(A21&lt;='Table 3. Fixed Assumptions'!$C$23,'Table 10. Avoided Variable O&amp;M'!C20*(1+'Table 5. VOS Data Table'!$G$12),0)</f>
        <v>1.3828065163554908E-3</v>
      </c>
      <c r="D21" s="125">
        <f t="shared" si="5"/>
        <v>1.2560579046396343E-3</v>
      </c>
      <c r="E21" s="339">
        <f>E20*(1-'Table 3. Fixed Assumptions'!$C$22)</f>
        <v>1444.9566850938775</v>
      </c>
      <c r="F21" s="313">
        <f t="shared" si="0"/>
        <v>1.9980955199992427</v>
      </c>
      <c r="G21" s="313">
        <f t="shared" si="1"/>
        <v>1.8149492661740476</v>
      </c>
      <c r="H21" s="340">
        <f>IF(C21=0,0,1/(1+'Table 5. VOS Data Table'!$C$6)^A20)</f>
        <v>0.42179691476499998</v>
      </c>
      <c r="I21" s="313">
        <f t="shared" si="2"/>
        <v>0.84279052574144886</v>
      </c>
      <c r="J21" s="315">
        <f t="shared" si="3"/>
        <v>0.76554000092721397</v>
      </c>
      <c r="N21" s="10"/>
    </row>
    <row r="22" spans="1:14" x14ac:dyDescent="0.3">
      <c r="A22" s="2">
        <v>16</v>
      </c>
      <c r="B22" s="308">
        <f t="shared" si="4"/>
        <v>2036</v>
      </c>
      <c r="C22" s="332">
        <f>IF(A22&lt;='Table 3. Fixed Assumptions'!$C$23,'Table 10. Avoided Variable O&amp;M'!C21*(1+'Table 5. VOS Data Table'!$G$12),0)</f>
        <v>1.4104626466826006E-3</v>
      </c>
      <c r="D22" s="125">
        <f t="shared" si="5"/>
        <v>1.2560579046396343E-3</v>
      </c>
      <c r="E22" s="339">
        <f>E21*(1-'Table 3. Fixed Assumptions'!$C$22)</f>
        <v>1437.731901668408</v>
      </c>
      <c r="F22" s="313">
        <f t="shared" si="0"/>
        <v>2.0278671432472311</v>
      </c>
      <c r="G22" s="313">
        <f t="shared" si="1"/>
        <v>1.8058745198431774</v>
      </c>
      <c r="H22" s="340">
        <f>IF(C22=0,0,1/(1+'Table 5. VOS Data Table'!$C$6)^A21)</f>
        <v>0.39657476002726588</v>
      </c>
      <c r="I22" s="313">
        <f t="shared" si="2"/>
        <v>0.80420092570044788</v>
      </c>
      <c r="J22" s="315">
        <f t="shared" si="3"/>
        <v>0.71616425434616204</v>
      </c>
      <c r="N22" s="10"/>
    </row>
    <row r="23" spans="1:14" x14ac:dyDescent="0.3">
      <c r="A23" s="2">
        <v>17</v>
      </c>
      <c r="B23" s="308">
        <f t="shared" si="4"/>
        <v>2037</v>
      </c>
      <c r="C23" s="332">
        <f>IF(A23&lt;='Table 3. Fixed Assumptions'!$C$23,'Table 10. Avoided Variable O&amp;M'!C22*(1+'Table 5. VOS Data Table'!$G$12),0)</f>
        <v>1.4386718996162527E-3</v>
      </c>
      <c r="D23" s="125">
        <f t="shared" si="5"/>
        <v>1.2560579046396343E-3</v>
      </c>
      <c r="E23" s="339">
        <f>E22*(1-'Table 3. Fixed Assumptions'!$C$22)</f>
        <v>1430.543242160066</v>
      </c>
      <c r="F23" s="313">
        <f t="shared" si="0"/>
        <v>2.0580823636816152</v>
      </c>
      <c r="G23" s="313">
        <f t="shared" si="1"/>
        <v>1.7968451472439615</v>
      </c>
      <c r="H23" s="340">
        <f>IF(C23=0,0,1/(1+'Table 5. VOS Data Table'!$C$6)^A22)</f>
        <v>0.3728608123610998</v>
      </c>
      <c r="I23" s="313">
        <f t="shared" si="2"/>
        <v>0.76737826202837955</v>
      </c>
      <c r="J23" s="315">
        <f t="shared" si="3"/>
        <v>0.66997314128848351</v>
      </c>
      <c r="N23" s="10"/>
    </row>
    <row r="24" spans="1:14" x14ac:dyDescent="0.3">
      <c r="A24" s="2">
        <v>18</v>
      </c>
      <c r="B24" s="308">
        <f t="shared" si="4"/>
        <v>2038</v>
      </c>
      <c r="C24" s="332">
        <f>IF(A24&lt;='Table 3. Fixed Assumptions'!$C$23,'Table 10. Avoided Variable O&amp;M'!C23*(1+'Table 5. VOS Data Table'!$G$12),0)</f>
        <v>1.4674453376085778E-3</v>
      </c>
      <c r="D24" s="125">
        <f t="shared" si="5"/>
        <v>1.2560579046396343E-3</v>
      </c>
      <c r="E24" s="339">
        <f>E23*(1-'Table 3. Fixed Assumptions'!$C$22)</f>
        <v>1423.3905259492658</v>
      </c>
      <c r="F24" s="313">
        <f t="shared" si="0"/>
        <v>2.0887477909004715</v>
      </c>
      <c r="G24" s="313">
        <f t="shared" si="1"/>
        <v>1.7878609215077419</v>
      </c>
      <c r="H24" s="340">
        <f>IF(C24=0,0,1/(1+'Table 5. VOS Data Table'!$C$6)^A23)</f>
        <v>0.35056488563473087</v>
      </c>
      <c r="I24" s="313">
        <f t="shared" si="2"/>
        <v>0.73224163043682056</v>
      </c>
      <c r="J24" s="315">
        <f t="shared" si="3"/>
        <v>0.62676125947916606</v>
      </c>
      <c r="N24" s="10"/>
    </row>
    <row r="25" spans="1:14" x14ac:dyDescent="0.3">
      <c r="A25" s="2">
        <v>19</v>
      </c>
      <c r="B25" s="308">
        <f t="shared" si="4"/>
        <v>2039</v>
      </c>
      <c r="C25" s="332">
        <f>IF(A25&lt;='Table 3. Fixed Assumptions'!$C$23,'Table 10. Avoided Variable O&amp;M'!C24*(1+'Table 5. VOS Data Table'!$G$12),0)</f>
        <v>1.4967942443607494E-3</v>
      </c>
      <c r="D25" s="125">
        <f t="shared" si="5"/>
        <v>1.2560579046396343E-3</v>
      </c>
      <c r="E25" s="339">
        <f>E24*(1-'Table 3. Fixed Assumptions'!$C$22)</f>
        <v>1416.2735733195195</v>
      </c>
      <c r="F25" s="313">
        <f t="shared" si="0"/>
        <v>2.1198701329848886</v>
      </c>
      <c r="G25" s="313">
        <f t="shared" si="1"/>
        <v>1.7789216169002033</v>
      </c>
      <c r="H25" s="340">
        <f>IF(C25=0,0,1/(1+'Table 5. VOS Data Table'!$C$6)^A24)</f>
        <v>0.32960218656894585</v>
      </c>
      <c r="I25" s="313">
        <f t="shared" si="2"/>
        <v>0.6987138310740213</v>
      </c>
      <c r="J25" s="315">
        <f t="shared" si="3"/>
        <v>0.58633645466507167</v>
      </c>
      <c r="N25" s="10"/>
    </row>
    <row r="26" spans="1:14" x14ac:dyDescent="0.3">
      <c r="A26" s="2">
        <v>20</v>
      </c>
      <c r="B26" s="308">
        <f t="shared" si="4"/>
        <v>2040</v>
      </c>
      <c r="C26" s="332">
        <f>IF(A26&lt;='Table 3. Fixed Assumptions'!$C$23,'Table 10. Avoided Variable O&amp;M'!C25*(1+'Table 5. VOS Data Table'!$G$12),0)</f>
        <v>1.5267301292479643E-3</v>
      </c>
      <c r="D26" s="125">
        <f t="shared" si="5"/>
        <v>1.2560579046396343E-3</v>
      </c>
      <c r="E26" s="339">
        <f>E25*(1-'Table 3. Fixed Assumptions'!$C$22)</f>
        <v>1409.1922054529218</v>
      </c>
      <c r="F26" s="313">
        <f t="shared" si="0"/>
        <v>2.1514561979663633</v>
      </c>
      <c r="G26" s="313">
        <f t="shared" si="1"/>
        <v>1.7700270088157022</v>
      </c>
      <c r="H26" s="340">
        <f>IF(C26=0,0,1/(1+'Table 5. VOS Data Table'!$C$6)^A25)</f>
        <v>0.30989299226113753</v>
      </c>
      <c r="I26" s="313">
        <f t="shared" si="2"/>
        <v>0.66672119890656667</v>
      </c>
      <c r="J26" s="315">
        <f t="shared" si="3"/>
        <v>0.54851896614492879</v>
      </c>
      <c r="N26" s="10"/>
    </row>
    <row r="27" spans="1:14" x14ac:dyDescent="0.3">
      <c r="A27" s="2">
        <v>21</v>
      </c>
      <c r="B27" s="308">
        <f t="shared" si="4"/>
        <v>2041</v>
      </c>
      <c r="C27" s="332">
        <f>IF(A27&lt;='Table 3. Fixed Assumptions'!$C$23,'Table 10. Avoided Variable O&amp;M'!C26*(1+'Table 5. VOS Data Table'!$G$12),0)</f>
        <v>1.5572647318329237E-3</v>
      </c>
      <c r="D27" s="125">
        <f t="shared" si="5"/>
        <v>1.2560579046396343E-3</v>
      </c>
      <c r="E27" s="339">
        <f>E26*(1-'Table 3. Fixed Assumptions'!$C$22)</f>
        <v>1402.1462444256572</v>
      </c>
      <c r="F27" s="313">
        <f t="shared" si="0"/>
        <v>2.1835128953160621</v>
      </c>
      <c r="G27" s="313">
        <f t="shared" si="1"/>
        <v>1.7611768737716236</v>
      </c>
      <c r="H27" s="340">
        <f>IF(C27=0,0,1/(1+'Table 5. VOS Data Table'!$C$6)^A26)</f>
        <v>0.29136234699241953</v>
      </c>
      <c r="I27" s="313">
        <f t="shared" si="2"/>
        <v>0.63619344186750115</v>
      </c>
      <c r="J27" s="315">
        <f t="shared" si="3"/>
        <v>0.51314062741087241</v>
      </c>
      <c r="N27" s="10"/>
    </row>
    <row r="28" spans="1:14" x14ac:dyDescent="0.3">
      <c r="A28" s="2">
        <v>22</v>
      </c>
      <c r="B28" s="308">
        <f t="shared" si="4"/>
        <v>2042</v>
      </c>
      <c r="C28" s="332">
        <f>IF(A28&lt;='Table 3. Fixed Assumptions'!$C$23,'Table 10. Avoided Variable O&amp;M'!C27*(1+'Table 5. VOS Data Table'!$G$12),0)</f>
        <v>1.5884100264695823E-3</v>
      </c>
      <c r="D28" s="125">
        <f t="shared" si="5"/>
        <v>1.2560579046396343E-3</v>
      </c>
      <c r="E28" s="339">
        <f>E27*(1-'Table 3. Fixed Assumptions'!$C$22)</f>
        <v>1395.1355132035289</v>
      </c>
      <c r="F28" s="313">
        <f t="shared" si="0"/>
        <v>2.2160472374562716</v>
      </c>
      <c r="G28" s="313">
        <f t="shared" si="1"/>
        <v>1.7523709894027655</v>
      </c>
      <c r="H28" s="340">
        <f>IF(C28=0,0,1/(1+'Table 5. VOS Data Table'!$C$6)^A27)</f>
        <v>0.27393977716474194</v>
      </c>
      <c r="I28" s="313">
        <f t="shared" si="2"/>
        <v>0.60706348641531305</v>
      </c>
      <c r="J28" s="315">
        <f t="shared" si="3"/>
        <v>0.48004411834695193</v>
      </c>
      <c r="N28" s="10"/>
    </row>
    <row r="29" spans="1:14" x14ac:dyDescent="0.3">
      <c r="A29" s="2">
        <v>23</v>
      </c>
      <c r="B29" s="308">
        <f t="shared" si="4"/>
        <v>2043</v>
      </c>
      <c r="C29" s="332">
        <f>IF(A29&lt;='Table 3. Fixed Assumptions'!$C$23,'Table 10. Avoided Variable O&amp;M'!C28*(1+'Table 5. VOS Data Table'!$G$12),0)</f>
        <v>1.620178226998974E-3</v>
      </c>
      <c r="D29" s="125">
        <f t="shared" si="5"/>
        <v>1.2560579046396343E-3</v>
      </c>
      <c r="E29" s="339">
        <f>E28*(1-'Table 3. Fixed Assumptions'!$C$22)</f>
        <v>1388.1598356375114</v>
      </c>
      <c r="F29" s="313">
        <f t="shared" si="0"/>
        <v>2.2490663412943701</v>
      </c>
      <c r="G29" s="313">
        <f t="shared" si="1"/>
        <v>1.7436091344557518</v>
      </c>
      <c r="H29" s="340">
        <f>IF(C29=0,0,1/(1+'Table 5. VOS Data Table'!$C$6)^A28)</f>
        <v>0.25755902328388669</v>
      </c>
      <c r="I29" s="313">
        <f t="shared" si="2"/>
        <v>0.57926733016444254</v>
      </c>
      <c r="J29" s="315">
        <f t="shared" si="3"/>
        <v>0.44908226565928649</v>
      </c>
      <c r="N29" s="10"/>
    </row>
    <row r="30" spans="1:14" x14ac:dyDescent="0.3">
      <c r="A30" s="2">
        <v>24</v>
      </c>
      <c r="B30" s="308">
        <f t="shared" si="4"/>
        <v>2044</v>
      </c>
      <c r="C30" s="332">
        <f>IF(A30&lt;='Table 3. Fixed Assumptions'!$C$23,'Table 10. Avoided Variable O&amp;M'!C29*(1+'Table 5. VOS Data Table'!$G$12),0)</f>
        <v>1.6525817915389535E-3</v>
      </c>
      <c r="D30" s="125">
        <f t="shared" si="5"/>
        <v>1.2560579046396343E-3</v>
      </c>
      <c r="E30" s="339">
        <f>E29*(1-'Table 3. Fixed Assumptions'!$C$22)</f>
        <v>1381.2190364593239</v>
      </c>
      <c r="F30" s="313">
        <f t="shared" si="0"/>
        <v>2.2825774297796566</v>
      </c>
      <c r="G30" s="313">
        <f t="shared" si="1"/>
        <v>1.734891088783473</v>
      </c>
      <c r="H30" s="340">
        <f>IF(C30=0,0,1/(1+'Table 5. VOS Data Table'!$C$6)^A29)</f>
        <v>0.24215778796905479</v>
      </c>
      <c r="I30" s="313">
        <f t="shared" si="2"/>
        <v>0.55274390126353212</v>
      </c>
      <c r="J30" s="315">
        <f t="shared" si="3"/>
        <v>0.42011738842703089</v>
      </c>
      <c r="N30" s="10"/>
    </row>
    <row r="31" spans="1:14" x14ac:dyDescent="0.3">
      <c r="A31" s="2">
        <v>25</v>
      </c>
      <c r="B31" s="316">
        <f t="shared" si="4"/>
        <v>2045</v>
      </c>
      <c r="C31" s="335">
        <f>IF(A31&lt;='Table 3. Fixed Assumptions'!$C$23,'Table 10. Avoided Variable O&amp;M'!C30*(1+'Table 5. VOS Data Table'!$G$12),0)</f>
        <v>1.6856334273697327E-3</v>
      </c>
      <c r="D31" s="137">
        <f t="shared" si="5"/>
        <v>1.2560579046396343E-3</v>
      </c>
      <c r="E31" s="341">
        <f>E30*(1-'Table 3. Fixed Assumptions'!$C$22)</f>
        <v>1374.3129412770272</v>
      </c>
      <c r="F31" s="321">
        <f t="shared" si="0"/>
        <v>2.3165878334833736</v>
      </c>
      <c r="G31" s="321">
        <f t="shared" si="1"/>
        <v>1.7262166333395557</v>
      </c>
      <c r="H31" s="342">
        <f>IF(C31=0,0,1/(1+'Table 5. VOS Data Table'!$C$6)^A30)</f>
        <v>0.22767749903070209</v>
      </c>
      <c r="I31" s="321">
        <f t="shared" si="2"/>
        <v>0.52743492421244709</v>
      </c>
      <c r="J31" s="323">
        <f t="shared" si="3"/>
        <v>0.3930206858639485</v>
      </c>
      <c r="N31" s="10"/>
    </row>
    <row r="32" spans="1:14" ht="19.5" thickBot="1" x14ac:dyDescent="0.35">
      <c r="B32" s="116"/>
      <c r="C32" s="117"/>
      <c r="D32" s="117"/>
      <c r="E32" s="116"/>
      <c r="F32" s="117"/>
      <c r="G32" s="117"/>
      <c r="H32" s="116"/>
      <c r="I32" s="117"/>
      <c r="J32" s="117"/>
      <c r="N32" s="10"/>
    </row>
    <row r="33" spans="2:14" ht="19.5" thickBot="1" x14ac:dyDescent="0.35">
      <c r="B33" s="116"/>
      <c r="C33" s="117"/>
      <c r="D33" s="117"/>
      <c r="E33" s="116"/>
      <c r="F33" s="56"/>
      <c r="G33" s="57"/>
      <c r="H33" s="58" t="s">
        <v>173</v>
      </c>
      <c r="I33" s="59">
        <f>SUM(I7:I31)</f>
        <v>24.484786559711011</v>
      </c>
      <c r="J33" s="60">
        <f>SUM(J7:J31)</f>
        <v>24.484786559711019</v>
      </c>
      <c r="N33" s="10"/>
    </row>
    <row r="34" spans="2:14" x14ac:dyDescent="0.3">
      <c r="B34" s="2"/>
      <c r="J34" s="5"/>
      <c r="N34" s="10"/>
    </row>
    <row r="35" spans="2:14" x14ac:dyDescent="0.3">
      <c r="B35" s="2"/>
      <c r="E35" s="2"/>
      <c r="J35" s="31"/>
      <c r="N35" s="10"/>
    </row>
    <row r="36" spans="2:14" x14ac:dyDescent="0.3">
      <c r="B36" s="2"/>
      <c r="E36" s="2"/>
      <c r="N36" s="10"/>
    </row>
    <row r="37" spans="2:14" x14ac:dyDescent="0.3">
      <c r="B37" s="2"/>
      <c r="E37" s="2"/>
    </row>
    <row r="38" spans="2:14" x14ac:dyDescent="0.3">
      <c r="B38" s="2"/>
      <c r="E38" s="2"/>
    </row>
    <row r="39" spans="2:14" x14ac:dyDescent="0.3">
      <c r="B39" s="2"/>
      <c r="E39" s="2"/>
    </row>
    <row r="40" spans="2:14" x14ac:dyDescent="0.3">
      <c r="B40" s="2"/>
      <c r="E40" s="2"/>
    </row>
  </sheetData>
  <mergeCells count="3">
    <mergeCell ref="C4:D4"/>
    <mergeCell ref="F4:G4"/>
    <mergeCell ref="I4:J4"/>
  </mergeCells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</sheetPr>
  <dimension ref="A1:X36"/>
  <sheetViews>
    <sheetView view="pageBreakPreview" topLeftCell="A3" zoomScale="60" zoomScaleNormal="70" workbookViewId="0">
      <selection activeCell="W34" sqref="W34"/>
    </sheetView>
  </sheetViews>
  <sheetFormatPr defaultRowHeight="18.75" x14ac:dyDescent="0.3"/>
  <cols>
    <col min="1" max="1" width="3.5546875" customWidth="1"/>
    <col min="2" max="2" width="8.88671875" style="2"/>
    <col min="3" max="3" width="11.44140625" customWidth="1"/>
    <col min="4" max="4" width="14.5546875" style="2" customWidth="1"/>
    <col min="5" max="5" width="12.109375" style="2" customWidth="1"/>
    <col min="6" max="6" width="11.6640625" customWidth="1"/>
    <col min="7" max="7" width="9.44140625" bestFit="1" customWidth="1"/>
    <col min="8" max="8" width="13.33203125" style="2" customWidth="1"/>
    <col min="11" max="11" width="11.5546875" customWidth="1"/>
    <col min="14" max="15" width="2.77734375" customWidth="1"/>
    <col min="16" max="16" width="29.33203125" customWidth="1"/>
    <col min="17" max="17" width="14.109375" customWidth="1"/>
    <col min="18" max="18" width="11.77734375" customWidth="1"/>
    <col min="19" max="19" width="3.6640625" customWidth="1"/>
    <col min="20" max="20" width="11.77734375" customWidth="1"/>
    <col min="21" max="21" width="13.33203125" customWidth="1"/>
    <col min="23" max="23" width="7.44140625" customWidth="1"/>
    <col min="28" max="28" width="9" bestFit="1" customWidth="1"/>
  </cols>
  <sheetData>
    <row r="1" spans="1:24" ht="26.25" x14ac:dyDescent="0.4">
      <c r="B1" s="114" t="s">
        <v>21</v>
      </c>
      <c r="H1" s="31"/>
    </row>
    <row r="2" spans="1:24" ht="26.25" x14ac:dyDescent="0.4">
      <c r="B2" s="114"/>
      <c r="H2" s="31"/>
      <c r="Q2" s="87"/>
      <c r="R2" s="87"/>
    </row>
    <row r="3" spans="1:24" x14ac:dyDescent="0.3">
      <c r="F3" s="418" t="s">
        <v>157</v>
      </c>
      <c r="G3" s="419"/>
      <c r="I3" s="418" t="s">
        <v>158</v>
      </c>
      <c r="J3" s="419"/>
      <c r="L3" s="418" t="s">
        <v>159</v>
      </c>
      <c r="M3" s="419"/>
      <c r="Q3" s="87"/>
      <c r="R3" s="87"/>
    </row>
    <row r="4" spans="1:24" ht="56.25" customHeight="1" x14ac:dyDescent="0.3">
      <c r="B4" s="19" t="s">
        <v>31</v>
      </c>
      <c r="C4" s="33" t="s">
        <v>178</v>
      </c>
      <c r="D4" s="33" t="s">
        <v>179</v>
      </c>
      <c r="E4" s="33" t="s">
        <v>180</v>
      </c>
      <c r="F4" s="32" t="s">
        <v>162</v>
      </c>
      <c r="G4" s="32" t="s">
        <v>163</v>
      </c>
      <c r="H4" s="33" t="s">
        <v>181</v>
      </c>
      <c r="I4" s="32" t="s">
        <v>165</v>
      </c>
      <c r="J4" s="32" t="s">
        <v>163</v>
      </c>
      <c r="K4" s="33" t="s">
        <v>32</v>
      </c>
      <c r="L4" s="34" t="s">
        <v>162</v>
      </c>
      <c r="M4" s="35" t="s">
        <v>163</v>
      </c>
      <c r="Q4" s="87"/>
      <c r="R4" s="148"/>
    </row>
    <row r="5" spans="1:24" x14ac:dyDescent="0.3">
      <c r="B5" s="20"/>
      <c r="C5" s="47" t="s">
        <v>182</v>
      </c>
      <c r="D5" s="47" t="s">
        <v>183</v>
      </c>
      <c r="E5" s="47" t="s">
        <v>184</v>
      </c>
      <c r="F5" s="47" t="s">
        <v>169</v>
      </c>
      <c r="G5" s="47" t="s">
        <v>169</v>
      </c>
      <c r="H5" s="47" t="s">
        <v>170</v>
      </c>
      <c r="I5" s="48" t="s">
        <v>171</v>
      </c>
      <c r="J5" s="48" t="s">
        <v>171</v>
      </c>
      <c r="K5" s="86"/>
      <c r="L5" s="48" t="s">
        <v>171</v>
      </c>
      <c r="M5" s="48" t="s">
        <v>171</v>
      </c>
    </row>
    <row r="6" spans="1:24" ht="19.5" customHeight="1" thickBot="1" x14ac:dyDescent="0.35">
      <c r="A6">
        <v>1</v>
      </c>
      <c r="B6" s="300">
        <f>'Table 5. VOS Data Table'!$C$5</f>
        <v>2021</v>
      </c>
      <c r="C6" s="185">
        <f>Q18</f>
        <v>60.747293334964219</v>
      </c>
      <c r="D6" s="40">
        <v>1</v>
      </c>
      <c r="E6" s="40">
        <v>1</v>
      </c>
      <c r="F6" s="83">
        <f>C6*(E6/D6)/H6</f>
        <v>3.9191802151589822E-2</v>
      </c>
      <c r="G6" s="173">
        <f>IF(A6&gt;'Table 3. Fixed Assumptions'!$C$23,0,'Table 11. Avoided Gen. Cap.'!$G$31)</f>
        <v>3.9534695041892838E-2</v>
      </c>
      <c r="H6" s="53">
        <f>'Table 5. VOS Data Table'!C17</f>
        <v>1550</v>
      </c>
      <c r="I6" s="25">
        <f>H6*F6</f>
        <v>60.747293334964226</v>
      </c>
      <c r="J6" s="25">
        <f>H6*G6</f>
        <v>61.278777314933897</v>
      </c>
      <c r="K6" s="61">
        <f>1/(1+A5)^A5</f>
        <v>1</v>
      </c>
      <c r="L6" s="25">
        <f>I6*K6</f>
        <v>60.747293334964226</v>
      </c>
      <c r="M6" s="26">
        <f>K6*J6</f>
        <v>61.278777314933897</v>
      </c>
      <c r="P6" s="421" t="s">
        <v>185</v>
      </c>
      <c r="Q6" s="422"/>
      <c r="R6" s="422"/>
    </row>
    <row r="7" spans="1:24" x14ac:dyDescent="0.3">
      <c r="A7">
        <v>2</v>
      </c>
      <c r="B7" s="308">
        <f>B6+1</f>
        <v>2022</v>
      </c>
      <c r="C7" s="186">
        <f>$C$6</f>
        <v>60.747293334964219</v>
      </c>
      <c r="D7" s="64">
        <f>D6*(1-'Table 5. VOS Data Table'!$G$9)</f>
        <v>0.999</v>
      </c>
      <c r="E7" s="64">
        <f>E6*(1-'Table 3. Fixed Assumptions'!$C$22)</f>
        <v>0.995</v>
      </c>
      <c r="F7" s="84">
        <f t="shared" ref="F7:F30" si="0">C7*(E7/D7)/H7</f>
        <v>3.9231033184774597E-2</v>
      </c>
      <c r="G7" s="125">
        <f>IF(A7&gt;'Table 3. Fixed Assumptions'!$C$23,0,'Table 11. Avoided Gen. Cap.'!$G$31)</f>
        <v>3.9534695041892838E-2</v>
      </c>
      <c r="H7" s="51">
        <f>H6*(1-'Table 3. Fixed Assumptions'!$C$22)</f>
        <v>1542.25</v>
      </c>
      <c r="I7" s="27">
        <f t="shared" ref="I7:I30" si="1">H7*F7</f>
        <v>60.504060929218625</v>
      </c>
      <c r="J7" s="27">
        <f t="shared" ref="J7:J30" si="2">H7*G7</f>
        <v>60.97238342835923</v>
      </c>
      <c r="K7" s="62">
        <f>1/(1+'Table 5. VOS Data Table'!$C$6)^A6</f>
        <v>0.94020308386611495</v>
      </c>
      <c r="L7" s="27">
        <f t="shared" ref="L7:L30" si="3">I7*K7</f>
        <v>56.886104672074666</v>
      </c>
      <c r="M7" s="28">
        <f t="shared" ref="M7:M30" si="4">K7*J7</f>
        <v>57.326422930010551</v>
      </c>
      <c r="P7" s="6"/>
      <c r="Q7" s="7"/>
      <c r="R7" s="16"/>
      <c r="U7" s="94"/>
      <c r="V7" s="94"/>
    </row>
    <row r="8" spans="1:24" x14ac:dyDescent="0.3">
      <c r="A8">
        <v>3</v>
      </c>
      <c r="B8" s="308">
        <f t="shared" ref="B8:B30" si="5">B7+1</f>
        <v>2023</v>
      </c>
      <c r="C8" s="186">
        <f t="shared" ref="C8:C30" si="6">$C$6</f>
        <v>60.747293334964219</v>
      </c>
      <c r="D8" s="64">
        <f>D7*(1-'Table 5. VOS Data Table'!$G$9)</f>
        <v>0.99800100000000003</v>
      </c>
      <c r="E8" s="64">
        <f>E7*(1-'Table 3. Fixed Assumptions'!$C$22)</f>
        <v>0.99002500000000004</v>
      </c>
      <c r="F8" s="84">
        <f t="shared" si="0"/>
        <v>3.927030348826286E-2</v>
      </c>
      <c r="G8" s="125">
        <f>IF(A8&gt;'Table 3. Fixed Assumptions'!$C$23,0,'Table 11. Avoided Gen. Cap.'!$G$31)</f>
        <v>3.9534695041892838E-2</v>
      </c>
      <c r="H8" s="51">
        <f>H7*(1-'Table 3. Fixed Assumptions'!$C$22)</f>
        <v>1534.5387499999999</v>
      </c>
      <c r="I8" s="27">
        <f t="shared" si="1"/>
        <v>60.261802426999523</v>
      </c>
      <c r="J8" s="27">
        <f t="shared" si="2"/>
        <v>60.66752151121743</v>
      </c>
      <c r="K8" s="62">
        <f>1/(1+'Table 5. VOS Data Table'!$C$6)^A7</f>
        <v>0.88398183891135285</v>
      </c>
      <c r="L8" s="27">
        <f t="shared" si="3"/>
        <v>53.270338925531668</v>
      </c>
      <c r="M8" s="28">
        <f t="shared" si="4"/>
        <v>53.628987227680042</v>
      </c>
      <c r="P8" s="13"/>
      <c r="Q8" s="9"/>
      <c r="R8" s="17"/>
      <c r="U8" s="94"/>
      <c r="V8" s="94"/>
    </row>
    <row r="9" spans="1:24" x14ac:dyDescent="0.3">
      <c r="A9">
        <v>4</v>
      </c>
      <c r="B9" s="308">
        <f t="shared" si="5"/>
        <v>2024</v>
      </c>
      <c r="C9" s="186">
        <f t="shared" si="6"/>
        <v>60.747293334964219</v>
      </c>
      <c r="D9" s="64">
        <f>D8*(1-'Table 5. VOS Data Table'!$G$9)</f>
        <v>0.997002999</v>
      </c>
      <c r="E9" s="64">
        <f>E8*(1-'Table 3. Fixed Assumptions'!$C$22)</f>
        <v>0.98507487500000002</v>
      </c>
      <c r="F9" s="84">
        <f t="shared" si="0"/>
        <v>3.9309613101364223E-2</v>
      </c>
      <c r="G9" s="125">
        <f>IF(A9&gt;'Table 3. Fixed Assumptions'!$C$23,0,'Table 11. Avoided Gen. Cap.'!$G$31)</f>
        <v>3.9534695041892838E-2</v>
      </c>
      <c r="H9" s="51">
        <f>H8*(1-'Table 3. Fixed Assumptions'!$C$22)</f>
        <v>1526.8660562499999</v>
      </c>
      <c r="I9" s="27">
        <f t="shared" si="1"/>
        <v>60.020513928793321</v>
      </c>
      <c r="J9" s="27">
        <f t="shared" si="2"/>
        <v>60.364183903661342</v>
      </c>
      <c r="K9" s="62">
        <f>1/(1+'Table 5. VOS Data Table'!$C$6)^A8</f>
        <v>0.83112245102609328</v>
      </c>
      <c r="L9" s="27">
        <f t="shared" si="3"/>
        <v>49.884396648344477</v>
      </c>
      <c r="M9" s="28">
        <f t="shared" si="4"/>
        <v>50.170028480200862</v>
      </c>
      <c r="P9" s="13" t="s">
        <v>186</v>
      </c>
      <c r="Q9" s="72">
        <f>'Table 5. VOS Data Table'!G6</f>
        <v>7578.879381763064</v>
      </c>
      <c r="R9" s="17"/>
      <c r="V9" s="94"/>
    </row>
    <row r="10" spans="1:24" x14ac:dyDescent="0.3">
      <c r="A10">
        <v>5</v>
      </c>
      <c r="B10" s="308">
        <f t="shared" si="5"/>
        <v>2025</v>
      </c>
      <c r="C10" s="186">
        <f t="shared" si="6"/>
        <v>60.747293334964219</v>
      </c>
      <c r="D10" s="64">
        <f>D9*(1-'Table 5. VOS Data Table'!$G$9)</f>
        <v>0.99600599600100004</v>
      </c>
      <c r="E10" s="64">
        <f>E9*(1-'Table 3. Fixed Assumptions'!$C$22)</f>
        <v>0.98014950062500006</v>
      </c>
      <c r="F10" s="84">
        <f t="shared" si="0"/>
        <v>3.9348962063427646E-2</v>
      </c>
      <c r="G10" s="125">
        <f>IF(A10&gt;'Table 3. Fixed Assumptions'!$C$23,0,'Table 11. Avoided Gen. Cap.'!$G$31)</f>
        <v>3.9534695041892838E-2</v>
      </c>
      <c r="H10" s="51">
        <f>H9*(1-'Table 3. Fixed Assumptions'!$C$22)</f>
        <v>1519.23172596875</v>
      </c>
      <c r="I10" s="27">
        <f t="shared" si="1"/>
        <v>59.780191550700046</v>
      </c>
      <c r="J10" s="27">
        <f>H10*G10</f>
        <v>60.062362984143036</v>
      </c>
      <c r="K10" s="62">
        <f>1/(1+'Table 5. VOS Data Table'!$C$6)^A9</f>
        <v>0.78142389152509684</v>
      </c>
      <c r="L10" s="27">
        <f t="shared" si="3"/>
        <v>46.713669917663744</v>
      </c>
      <c r="M10" s="28">
        <f>K10*J10</f>
        <v>46.93416541726198</v>
      </c>
      <c r="P10" s="13"/>
      <c r="Q10" s="9"/>
      <c r="R10" s="17"/>
      <c r="U10" s="94"/>
      <c r="V10" s="94"/>
    </row>
    <row r="11" spans="1:24" x14ac:dyDescent="0.3">
      <c r="A11">
        <v>6</v>
      </c>
      <c r="B11" s="308">
        <f t="shared" si="5"/>
        <v>2026</v>
      </c>
      <c r="C11" s="186">
        <f t="shared" si="6"/>
        <v>60.747293334964219</v>
      </c>
      <c r="D11" s="64">
        <f>D10*(1-'Table 5. VOS Data Table'!$G$9)</f>
        <v>0.99500999000499901</v>
      </c>
      <c r="E11" s="64">
        <f>E10*(1-'Table 3. Fixed Assumptions'!$C$22)</f>
        <v>0.97524875312187509</v>
      </c>
      <c r="F11" s="84">
        <f t="shared" si="0"/>
        <v>3.9388350413841498E-2</v>
      </c>
      <c r="G11" s="125">
        <f>IF(A11&gt;'Table 3. Fixed Assumptions'!$C$23,0,'Table 11. Avoided Gen. Cap.'!$G$31)</f>
        <v>3.9534695041892838E-2</v>
      </c>
      <c r="H11" s="51">
        <f>H10*(1-'Table 3. Fixed Assumptions'!$C$22)</f>
        <v>1511.6355673389062</v>
      </c>
      <c r="I11" s="27">
        <f t="shared" si="1"/>
        <v>59.540831424370936</v>
      </c>
      <c r="J11" s="27">
        <f t="shared" si="2"/>
        <v>59.762051169222325</v>
      </c>
      <c r="K11" s="62">
        <f>1/(1+'Table 5. VOS Data Table'!$C$6)^A10</f>
        <v>0.7346971526185565</v>
      </c>
      <c r="L11" s="27">
        <f t="shared" si="3"/>
        <v>43.744479312026797</v>
      </c>
      <c r="M11" s="28">
        <f t="shared" si="4"/>
        <v>43.907008828672119</v>
      </c>
      <c r="P11" s="13"/>
      <c r="Q11" s="73" t="s">
        <v>187</v>
      </c>
      <c r="R11" s="74" t="s">
        <v>188</v>
      </c>
      <c r="U11" s="94"/>
      <c r="V11" s="94"/>
    </row>
    <row r="12" spans="1:24" x14ac:dyDescent="0.3">
      <c r="A12">
        <v>7</v>
      </c>
      <c r="B12" s="308">
        <f t="shared" si="5"/>
        <v>2027</v>
      </c>
      <c r="C12" s="186">
        <f t="shared" si="6"/>
        <v>60.747293334964219</v>
      </c>
      <c r="D12" s="64">
        <f>D11*(1-'Table 5. VOS Data Table'!$G$9)</f>
        <v>0.994014980014994</v>
      </c>
      <c r="E12" s="64">
        <f>E11*(1-'Table 3. Fixed Assumptions'!$C$22)</f>
        <v>0.97037250935626573</v>
      </c>
      <c r="F12" s="84">
        <f t="shared" si="0"/>
        <v>3.9427778192033532E-2</v>
      </c>
      <c r="G12" s="125">
        <f>IF(A12&gt;'Table 3. Fixed Assumptions'!$C$23,0,'Table 11. Avoided Gen. Cap.'!$G$31)</f>
        <v>3.9534695041892838E-2</v>
      </c>
      <c r="H12" s="51">
        <f>H11*(1-'Table 3. Fixed Assumptions'!$C$22)</f>
        <v>1504.0773895022116</v>
      </c>
      <c r="I12" s="27">
        <f t="shared" si="1"/>
        <v>59.302429696946021</v>
      </c>
      <c r="J12" s="27">
        <f t="shared" si="2"/>
        <v>59.463240913376211</v>
      </c>
      <c r="K12" s="62">
        <f>1/(1+'Table 5. VOS Data Table'!$C$6)^A11</f>
        <v>0.69076452859962056</v>
      </c>
      <c r="L12" s="27">
        <f t="shared" si="3"/>
        <v>40.964014894423059</v>
      </c>
      <c r="M12" s="28">
        <f t="shared" si="4"/>
        <v>41.075097578533992</v>
      </c>
      <c r="P12" s="13" t="s">
        <v>142</v>
      </c>
      <c r="Q12" s="158">
        <f>'Table 5. VOS Data Table'!C29</f>
        <v>6471.7466887167748</v>
      </c>
      <c r="R12" s="159">
        <f>'Table 5. VOS Data Table'!C26</f>
        <v>9746.1164758355426</v>
      </c>
      <c r="U12" s="94"/>
      <c r="V12" s="94"/>
      <c r="X12" s="93"/>
    </row>
    <row r="13" spans="1:24" x14ac:dyDescent="0.3">
      <c r="A13">
        <v>8</v>
      </c>
      <c r="B13" s="308">
        <f t="shared" si="5"/>
        <v>2028</v>
      </c>
      <c r="C13" s="186">
        <f t="shared" si="6"/>
        <v>60.747293334964219</v>
      </c>
      <c r="D13" s="64">
        <f>D12*(1-'Table 5. VOS Data Table'!$G$9)</f>
        <v>0.99302096503497905</v>
      </c>
      <c r="E13" s="64">
        <f>E12*(1-'Table 3. Fixed Assumptions'!$C$22)</f>
        <v>0.96552064680948435</v>
      </c>
      <c r="F13" s="84">
        <f t="shared" si="0"/>
        <v>3.9467245437470995E-2</v>
      </c>
      <c r="G13" s="125">
        <f>IF(A13&gt;'Table 3. Fixed Assumptions'!$C$23,0,'Table 11. Avoided Gen. Cap.'!$G$31)</f>
        <v>3.9534695041892838E-2</v>
      </c>
      <c r="H13" s="51">
        <f>H12*(1-'Table 3. Fixed Assumptions'!$C$22)</f>
        <v>1496.5570025547006</v>
      </c>
      <c r="I13" s="27">
        <f t="shared" si="1"/>
        <v>59.064982530992275</v>
      </c>
      <c r="J13" s="27">
        <f t="shared" si="2"/>
        <v>59.165924708809328</v>
      </c>
      <c r="K13" s="62">
        <f>1/(1+'Table 5. VOS Data Table'!$C$6)^A12</f>
        <v>0.64945894001468651</v>
      </c>
      <c r="L13" s="27">
        <f t="shared" si="3"/>
        <v>38.360280946564217</v>
      </c>
      <c r="M13" s="28">
        <f t="shared" si="4"/>
        <v>38.425838746372058</v>
      </c>
      <c r="P13" s="13" t="s">
        <v>189</v>
      </c>
      <c r="Q13" s="160">
        <f>1-R13</f>
        <v>0.6618791507905728</v>
      </c>
      <c r="R13" s="161">
        <f>(Q9-Q12)/(R12-Q12)</f>
        <v>0.3381208492094272</v>
      </c>
      <c r="U13" s="94"/>
      <c r="V13" s="94"/>
      <c r="X13" s="93"/>
    </row>
    <row r="14" spans="1:24" x14ac:dyDescent="0.3">
      <c r="A14">
        <v>9</v>
      </c>
      <c r="B14" s="308">
        <f t="shared" si="5"/>
        <v>2029</v>
      </c>
      <c r="C14" s="186">
        <f t="shared" si="6"/>
        <v>60.747293334964219</v>
      </c>
      <c r="D14" s="64">
        <f>D13*(1-'Table 5. VOS Data Table'!$G$9)</f>
        <v>0.9920279440699441</v>
      </c>
      <c r="E14" s="64">
        <f>E13*(1-'Table 3. Fixed Assumptions'!$C$22)</f>
        <v>0.96069304357543694</v>
      </c>
      <c r="F14" s="84">
        <f t="shared" si="0"/>
        <v>3.9506752189660661E-2</v>
      </c>
      <c r="G14" s="125">
        <f>IF(A14&gt;'Table 3. Fixed Assumptions'!$C$23,0,'Table 11. Avoided Gen. Cap.'!$G$31)</f>
        <v>3.9534695041892838E-2</v>
      </c>
      <c r="H14" s="51">
        <f>H13*(1-'Table 3. Fixed Assumptions'!$C$22)</f>
        <v>1489.0742175419271</v>
      </c>
      <c r="I14" s="27">
        <f t="shared" si="1"/>
        <v>58.828486104441765</v>
      </c>
      <c r="J14" s="27">
        <f t="shared" si="2"/>
        <v>58.870095085265284</v>
      </c>
      <c r="K14" s="62">
        <f>1/(1+'Table 5. VOS Data Table'!$C$6)^A13</f>
        <v>0.6106232982462263</v>
      </c>
      <c r="L14" s="27">
        <f t="shared" si="3"/>
        <v>35.922044215926526</v>
      </c>
      <c r="M14" s="28">
        <f t="shared" si="4"/>
        <v>35.947451629033644</v>
      </c>
      <c r="P14" s="13"/>
      <c r="Q14" s="158"/>
      <c r="R14" s="159"/>
      <c r="U14" s="94"/>
      <c r="V14" s="94"/>
      <c r="X14" s="93"/>
    </row>
    <row r="15" spans="1:24" x14ac:dyDescent="0.3">
      <c r="A15">
        <v>10</v>
      </c>
      <c r="B15" s="308">
        <f t="shared" si="5"/>
        <v>2030</v>
      </c>
      <c r="C15" s="186">
        <f t="shared" si="6"/>
        <v>60.747293334964219</v>
      </c>
      <c r="D15" s="64">
        <f>D14*(1-'Table 5. VOS Data Table'!$G$9)</f>
        <v>0.99103591612587416</v>
      </c>
      <c r="E15" s="64">
        <f>E14*(1-'Table 3. Fixed Assumptions'!$C$22)</f>
        <v>0.95588957835755972</v>
      </c>
      <c r="F15" s="84">
        <f t="shared" si="0"/>
        <v>3.9546298488148807E-2</v>
      </c>
      <c r="G15" s="125">
        <f>IF(A15&gt;'Table 3. Fixed Assumptions'!$C$23,0,'Table 11. Avoided Gen. Cap.'!$G$31)</f>
        <v>3.9534695041892838E-2</v>
      </c>
      <c r="H15" s="51">
        <f>H14*(1-'Table 3. Fixed Assumptions'!$C$22)</f>
        <v>1481.6288464542174</v>
      </c>
      <c r="I15" s="27">
        <f t="shared" si="1"/>
        <v>58.592936610530082</v>
      </c>
      <c r="J15" s="27">
        <f t="shared" si="2"/>
        <v>58.575744609838956</v>
      </c>
      <c r="K15" s="62">
        <f>1/(1+'Table 5. VOS Data Table'!$C$6)^A14</f>
        <v>0.57410990809160045</v>
      </c>
      <c r="L15" s="27">
        <f t="shared" si="3"/>
        <v>33.638785452288396</v>
      </c>
      <c r="M15" s="28">
        <f t="shared" si="4"/>
        <v>33.628915354351705</v>
      </c>
      <c r="P15" s="13" t="s">
        <v>139</v>
      </c>
      <c r="Q15" s="162">
        <f>'Table 5. VOS Data Table'!C28</f>
        <v>1067.3588153848809</v>
      </c>
      <c r="R15" s="163">
        <f>'Table 5. VOS Data Table'!C25</f>
        <v>495.6786742584016</v>
      </c>
      <c r="U15" s="94"/>
      <c r="V15" s="94"/>
      <c r="X15" s="93"/>
    </row>
    <row r="16" spans="1:24" x14ac:dyDescent="0.3">
      <c r="A16">
        <v>11</v>
      </c>
      <c r="B16" s="308">
        <f t="shared" si="5"/>
        <v>2031</v>
      </c>
      <c r="C16" s="186">
        <f t="shared" si="6"/>
        <v>60.747293334964219</v>
      </c>
      <c r="D16" s="64">
        <f>D15*(1-'Table 5. VOS Data Table'!$G$9)</f>
        <v>0.99004488020974823</v>
      </c>
      <c r="E16" s="64">
        <f>E15*(1-'Table 3. Fixed Assumptions'!$C$22)</f>
        <v>0.95111013046577186</v>
      </c>
      <c r="F16" s="84">
        <f t="shared" si="0"/>
        <v>3.9585884372521328E-2</v>
      </c>
      <c r="G16" s="125">
        <f>IF(A16&gt;'Table 3. Fixed Assumptions'!$C$23,0,'Table 11. Avoided Gen. Cap.'!$G$31)</f>
        <v>3.9534695041892838E-2</v>
      </c>
      <c r="H16" s="51">
        <f>H15*(1-'Table 3. Fixed Assumptions'!$C$22)</f>
        <v>1474.2207022219463</v>
      </c>
      <c r="I16" s="27">
        <f t="shared" si="1"/>
        <v>58.358330257735162</v>
      </c>
      <c r="J16" s="27">
        <f t="shared" si="2"/>
        <v>58.282865886789757</v>
      </c>
      <c r="K16" s="62">
        <f>1/(1+'Table 5. VOS Data Table'!$C$6)^A15</f>
        <v>0.5397799060658145</v>
      </c>
      <c r="L16" s="27">
        <f t="shared" si="3"/>
        <v>31.500654024678067</v>
      </c>
      <c r="M16" s="28">
        <f t="shared" si="4"/>
        <v>31.459919873617839</v>
      </c>
      <c r="P16" s="13"/>
      <c r="Q16" s="102"/>
      <c r="R16" s="164"/>
      <c r="U16" s="94"/>
      <c r="V16" s="94"/>
      <c r="X16" s="93"/>
    </row>
    <row r="17" spans="1:24" x14ac:dyDescent="0.3">
      <c r="A17">
        <v>12</v>
      </c>
      <c r="B17" s="308">
        <f t="shared" si="5"/>
        <v>2032</v>
      </c>
      <c r="C17" s="186">
        <f t="shared" si="6"/>
        <v>60.747293334964219</v>
      </c>
      <c r="D17" s="64">
        <f>D16*(1-'Table 5. VOS Data Table'!$G$9)</f>
        <v>0.98905483532953853</v>
      </c>
      <c r="E17" s="64">
        <f>E16*(1-'Table 3. Fixed Assumptions'!$C$22)</f>
        <v>0.94635457981344295</v>
      </c>
      <c r="F17" s="84">
        <f t="shared" si="0"/>
        <v>3.962550988240373E-2</v>
      </c>
      <c r="G17" s="125">
        <f>IF(A17&gt;'Table 3. Fixed Assumptions'!$C$23,0,'Table 11. Avoided Gen. Cap.'!$G$31)</f>
        <v>3.9534695041892838E-2</v>
      </c>
      <c r="H17" s="51">
        <f>H16*(1-'Table 3. Fixed Assumptions'!$C$22)</f>
        <v>1466.8495987108365</v>
      </c>
      <c r="I17" s="27">
        <f t="shared" si="1"/>
        <v>58.124663269716194</v>
      </c>
      <c r="J17" s="27">
        <f t="shared" si="2"/>
        <v>57.991451557355809</v>
      </c>
      <c r="K17" s="62">
        <f>1/(1+'Table 5. VOS Data Table'!$C$6)^A16</f>
        <v>0.50750273229204079</v>
      </c>
      <c r="L17" s="27">
        <f t="shared" si="3"/>
        <v>29.498425422935796</v>
      </c>
      <c r="M17" s="28">
        <f t="shared" si="4"/>
        <v>29.430820114939596</v>
      </c>
      <c r="P17" s="219" t="s">
        <v>190</v>
      </c>
      <c r="Q17" s="165">
        <f>+Q15+(Q9-Q12)*(R15-Q15)/(R12-Q12)</f>
        <v>874.06184059103055</v>
      </c>
      <c r="R17" s="164" t="s">
        <v>140</v>
      </c>
      <c r="U17" s="94"/>
      <c r="V17" s="94"/>
      <c r="X17" s="93"/>
    </row>
    <row r="18" spans="1:24" ht="19.5" thickBot="1" x14ac:dyDescent="0.35">
      <c r="A18">
        <v>13</v>
      </c>
      <c r="B18" s="308">
        <f t="shared" si="5"/>
        <v>2033</v>
      </c>
      <c r="C18" s="186">
        <f t="shared" si="6"/>
        <v>60.747293334964219</v>
      </c>
      <c r="D18" s="64">
        <f>D17*(1-'Table 5. VOS Data Table'!$G$9)</f>
        <v>0.98806578049420901</v>
      </c>
      <c r="E18" s="64">
        <f>E17*(1-'Table 3. Fixed Assumptions'!$C$22)</f>
        <v>0.94162280691437572</v>
      </c>
      <c r="F18" s="84">
        <f t="shared" si="0"/>
        <v>3.9665175057461192E-2</v>
      </c>
      <c r="G18" s="125">
        <f>IF(A18&gt;'Table 3. Fixed Assumptions'!$C$23,0,'Table 11. Avoided Gen. Cap.'!$G$31)</f>
        <v>3.9534695041892838E-2</v>
      </c>
      <c r="H18" s="51">
        <f>H17*(1-'Table 3. Fixed Assumptions'!$C$22)</f>
        <v>1459.5153507172822</v>
      </c>
      <c r="I18" s="27">
        <f t="shared" si="1"/>
        <v>57.891931885252866</v>
      </c>
      <c r="J18" s="27">
        <f t="shared" si="2"/>
        <v>57.701494299569021</v>
      </c>
      <c r="K18" s="62">
        <f>1/(1+'Table 5. VOS Data Table'!$C$6)^A17</f>
        <v>0.47715563397145594</v>
      </c>
      <c r="L18" s="27">
        <f t="shared" si="3"/>
        <v>27.623461460540177</v>
      </c>
      <c r="M18" s="28">
        <f t="shared" si="4"/>
        <v>27.532593093611208</v>
      </c>
      <c r="P18" s="14" t="s">
        <v>191</v>
      </c>
      <c r="Q18" s="166">
        <f>Q17*'Table 5. VOS Data Table'!C6*((1+'Table 5. VOS Data Table'!C6)^'Table 5. VOS Data Table'!G8)/((1+'Table 5. VOS Data Table'!C6)^'Table 5. VOS Data Table'!G8-1)</f>
        <v>60.747293334964219</v>
      </c>
      <c r="R18" s="167" t="s">
        <v>192</v>
      </c>
      <c r="U18" s="94"/>
      <c r="V18" s="94"/>
      <c r="X18" s="93"/>
    </row>
    <row r="19" spans="1:24" x14ac:dyDescent="0.3">
      <c r="A19">
        <v>14</v>
      </c>
      <c r="B19" s="308">
        <f t="shared" si="5"/>
        <v>2034</v>
      </c>
      <c r="C19" s="186">
        <f t="shared" si="6"/>
        <v>60.747293334964219</v>
      </c>
      <c r="D19" s="64">
        <f>D18*(1-'Table 5. VOS Data Table'!$G$9)</f>
        <v>0.98707771471371475</v>
      </c>
      <c r="E19" s="64">
        <f>E18*(1-'Table 3. Fixed Assumptions'!$C$22)</f>
        <v>0.93691469287980389</v>
      </c>
      <c r="F19" s="84">
        <f t="shared" si="0"/>
        <v>3.9704879937398588E-2</v>
      </c>
      <c r="G19" s="125">
        <f>IF(A19&gt;'Table 3. Fixed Assumptions'!$C$23,0,'Table 11. Avoided Gen. Cap.'!$G$31)</f>
        <v>3.9534695041892838E-2</v>
      </c>
      <c r="H19" s="51">
        <f>H18*(1-'Table 3. Fixed Assumptions'!$C$22)</f>
        <v>1452.2177739636959</v>
      </c>
      <c r="I19" s="27">
        <f t="shared" si="1"/>
        <v>57.660132358184789</v>
      </c>
      <c r="J19" s="27">
        <f t="shared" si="2"/>
        <v>57.412986828071183</v>
      </c>
      <c r="K19" s="62">
        <f>1/(1+'Table 5. VOS Data Table'!$C$6)^A18</f>
        <v>0.44862319854405402</v>
      </c>
      <c r="L19" s="27">
        <f t="shared" si="3"/>
        <v>25.86767300700237</v>
      </c>
      <c r="M19" s="28">
        <f t="shared" si="4"/>
        <v>25.756797788776936</v>
      </c>
      <c r="Q19" s="177"/>
      <c r="U19" s="94"/>
      <c r="V19" s="94"/>
      <c r="X19" s="93"/>
    </row>
    <row r="20" spans="1:24" x14ac:dyDescent="0.3">
      <c r="A20">
        <v>15</v>
      </c>
      <c r="B20" s="308">
        <f t="shared" si="5"/>
        <v>2035</v>
      </c>
      <c r="C20" s="186">
        <f t="shared" si="6"/>
        <v>60.747293334964219</v>
      </c>
      <c r="D20" s="64">
        <f>D19*(1-'Table 5. VOS Data Table'!$G$9)</f>
        <v>0.98609063699900101</v>
      </c>
      <c r="E20" s="64">
        <f>E19*(1-'Table 3. Fixed Assumptions'!$C$22)</f>
        <v>0.9322301194154049</v>
      </c>
      <c r="F20" s="84">
        <f t="shared" si="0"/>
        <v>3.9744624561960547E-2</v>
      </c>
      <c r="G20" s="125">
        <f>IF(A20&gt;'Table 3. Fixed Assumptions'!$C$23,0,'Table 11. Avoided Gen. Cap.'!$G$31)</f>
        <v>3.9534695041892838E-2</v>
      </c>
      <c r="H20" s="51">
        <f>H19*(1-'Table 3. Fixed Assumptions'!$C$22)</f>
        <v>1444.9566850938775</v>
      </c>
      <c r="I20" s="27">
        <f t="shared" si="1"/>
        <v>57.429260957351211</v>
      </c>
      <c r="J20" s="27">
        <f t="shared" si="2"/>
        <v>57.12592189393083</v>
      </c>
      <c r="K20" s="62">
        <f>1/(1+'Table 5. VOS Data Table'!$C$6)^A19</f>
        <v>0.42179691476499998</v>
      </c>
      <c r="L20" s="27">
        <f t="shared" si="3"/>
        <v>24.223485089044811</v>
      </c>
      <c r="M20" s="28">
        <f t="shared" si="4"/>
        <v>24.095537607966389</v>
      </c>
      <c r="P20" s="9"/>
      <c r="Q20" s="9"/>
      <c r="R20" s="9"/>
      <c r="U20" s="94"/>
      <c r="V20" s="94"/>
      <c r="X20" s="93"/>
    </row>
    <row r="21" spans="1:24" x14ac:dyDescent="0.3">
      <c r="A21">
        <v>16</v>
      </c>
      <c r="B21" s="308">
        <f t="shared" si="5"/>
        <v>2036</v>
      </c>
      <c r="C21" s="186">
        <f t="shared" si="6"/>
        <v>60.747293334964219</v>
      </c>
      <c r="D21" s="64">
        <f>D20*(1-'Table 5. VOS Data Table'!$G$9)</f>
        <v>0.98510454636200206</v>
      </c>
      <c r="E21" s="64">
        <f>E20*(1-'Table 3. Fixed Assumptions'!$C$22)</f>
        <v>0.92756896881832784</v>
      </c>
      <c r="F21" s="84">
        <f t="shared" si="0"/>
        <v>3.9784408970931481E-2</v>
      </c>
      <c r="G21" s="125">
        <f>IF(A21&gt;'Table 3. Fixed Assumptions'!$C$23,0,'Table 11. Avoided Gen. Cap.'!$G$31)</f>
        <v>3.9534695041892838E-2</v>
      </c>
      <c r="H21" s="51">
        <f>H20*(1-'Table 3. Fixed Assumptions'!$C$22)</f>
        <v>1437.731901668408</v>
      </c>
      <c r="I21" s="27">
        <f t="shared" si="1"/>
        <v>57.199313966530987</v>
      </c>
      <c r="J21" s="27">
        <f t="shared" si="2"/>
        <v>56.840292284461171</v>
      </c>
      <c r="K21" s="62">
        <f>1/(1+'Table 5. VOS Data Table'!$C$6)^A20</f>
        <v>0.39657476002726588</v>
      </c>
      <c r="L21" s="27">
        <f t="shared" si="3"/>
        <v>22.683804210001263</v>
      </c>
      <c r="M21" s="28">
        <f t="shared" si="4"/>
        <v>22.541425272589841</v>
      </c>
      <c r="P21" s="9"/>
      <c r="Q21" s="176"/>
      <c r="R21" s="9"/>
      <c r="U21" s="94"/>
      <c r="V21" s="94"/>
      <c r="X21" s="93"/>
    </row>
    <row r="22" spans="1:24" x14ac:dyDescent="0.3">
      <c r="A22">
        <v>17</v>
      </c>
      <c r="B22" s="308">
        <f t="shared" si="5"/>
        <v>2037</v>
      </c>
      <c r="C22" s="186">
        <f t="shared" si="6"/>
        <v>60.747293334964219</v>
      </c>
      <c r="D22" s="64">
        <f>D21*(1-'Table 5. VOS Data Table'!$G$9)</f>
        <v>0.98411944181564004</v>
      </c>
      <c r="E22" s="64">
        <f>E21*(1-'Table 3. Fixed Assumptions'!$C$22)</f>
        <v>0.92293112397423616</v>
      </c>
      <c r="F22" s="84">
        <f t="shared" si="0"/>
        <v>3.9824233204135619E-2</v>
      </c>
      <c r="G22" s="125">
        <f>IF(A22&gt;'Table 3. Fixed Assumptions'!$C$23,0,'Table 11. Avoided Gen. Cap.'!$G$31)</f>
        <v>3.9534695041892838E-2</v>
      </c>
      <c r="H22" s="51">
        <f>H21*(1-'Table 3. Fixed Assumptions'!$C$22)</f>
        <v>1430.543242160066</v>
      </c>
      <c r="I22" s="27">
        <f t="shared" si="1"/>
        <v>56.970287684382726</v>
      </c>
      <c r="J22" s="27">
        <f t="shared" si="2"/>
        <v>56.556090823038865</v>
      </c>
      <c r="K22" s="62">
        <f>1/(1+'Table 5. VOS Data Table'!$C$6)^A21</f>
        <v>0.3728608123610998</v>
      </c>
      <c r="L22" s="27">
        <f t="shared" si="3"/>
        <v>21.241987746444501</v>
      </c>
      <c r="M22" s="28">
        <f t="shared" si="4"/>
        <v>21.087549968246414</v>
      </c>
      <c r="P22" s="9"/>
      <c r="Q22" s="75"/>
      <c r="R22" s="75"/>
      <c r="U22" s="94"/>
      <c r="V22" s="94"/>
      <c r="X22" s="93"/>
    </row>
    <row r="23" spans="1:24" x14ac:dyDescent="0.3">
      <c r="A23">
        <v>18</v>
      </c>
      <c r="B23" s="308">
        <f t="shared" si="5"/>
        <v>2038</v>
      </c>
      <c r="C23" s="186">
        <f t="shared" si="6"/>
        <v>60.747293334964219</v>
      </c>
      <c r="D23" s="64">
        <f>D22*(1-'Table 5. VOS Data Table'!$G$9)</f>
        <v>0.98313532237382439</v>
      </c>
      <c r="E23" s="64">
        <f>E22*(1-'Table 3. Fixed Assumptions'!$C$22)</f>
        <v>0.91831646835436498</v>
      </c>
      <c r="F23" s="84">
        <f t="shared" si="0"/>
        <v>3.986409730143705E-2</v>
      </c>
      <c r="G23" s="125">
        <f>IF(A23&gt;'Table 3. Fixed Assumptions'!$C$23,0,'Table 11. Avoided Gen. Cap.'!$G$31)</f>
        <v>3.9534695041892838E-2</v>
      </c>
      <c r="H23" s="51">
        <f>H22*(1-'Table 3. Fixed Assumptions'!$C$22)</f>
        <v>1423.3905259492658</v>
      </c>
      <c r="I23" s="27">
        <f t="shared" si="1"/>
        <v>56.742178424385187</v>
      </c>
      <c r="J23" s="27">
        <f t="shared" si="2"/>
        <v>56.273310368923674</v>
      </c>
      <c r="K23" s="62">
        <f>1/(1+'Table 5. VOS Data Table'!$C$6)^A22</f>
        <v>0.35056488563473087</v>
      </c>
      <c r="L23" s="27">
        <f t="shared" si="3"/>
        <v>19.891815290010086</v>
      </c>
      <c r="M23" s="28">
        <f t="shared" si="4"/>
        <v>19.727446613769441</v>
      </c>
      <c r="P23" s="9"/>
      <c r="Q23" s="76"/>
      <c r="R23" s="76"/>
      <c r="U23" s="94"/>
      <c r="V23" s="94"/>
      <c r="X23" s="93"/>
    </row>
    <row r="24" spans="1:24" x14ac:dyDescent="0.3">
      <c r="A24">
        <v>19</v>
      </c>
      <c r="B24" s="308">
        <f t="shared" si="5"/>
        <v>2039</v>
      </c>
      <c r="C24" s="186">
        <f t="shared" si="6"/>
        <v>60.747293334964219</v>
      </c>
      <c r="D24" s="64">
        <f>D23*(1-'Table 5. VOS Data Table'!$G$9)</f>
        <v>0.98215218705145058</v>
      </c>
      <c r="E24" s="64">
        <f>E23*(1-'Table 3. Fixed Assumptions'!$C$22)</f>
        <v>0.91372488601259316</v>
      </c>
      <c r="F24" s="84">
        <f t="shared" si="0"/>
        <v>3.9904001302739786E-2</v>
      </c>
      <c r="G24" s="125">
        <f>IF(A24&gt;'Table 3. Fixed Assumptions'!$C$23,0,'Table 11. Avoided Gen. Cap.'!$G$31)</f>
        <v>3.9534695041892838E-2</v>
      </c>
      <c r="H24" s="51">
        <f>H23*(1-'Table 3. Fixed Assumptions'!$C$22)</f>
        <v>1416.2735733195195</v>
      </c>
      <c r="I24" s="27">
        <f t="shared" si="1"/>
        <v>56.51498251477804</v>
      </c>
      <c r="J24" s="27">
        <f t="shared" si="2"/>
        <v>55.991943817079061</v>
      </c>
      <c r="K24" s="62">
        <f>1/(1+'Table 5. VOS Data Table'!$C$6)^A23</f>
        <v>0.32960218656894585</v>
      </c>
      <c r="L24" s="27">
        <f t="shared" si="3"/>
        <v>18.627461810776584</v>
      </c>
      <c r="M24" s="28">
        <f t="shared" si="4"/>
        <v>18.455067112354826</v>
      </c>
      <c r="P24" s="9"/>
      <c r="Q24" s="152"/>
      <c r="R24" s="152"/>
      <c r="U24" s="94"/>
      <c r="V24" s="94"/>
      <c r="X24" s="93"/>
    </row>
    <row r="25" spans="1:24" x14ac:dyDescent="0.3">
      <c r="A25">
        <v>20</v>
      </c>
      <c r="B25" s="308">
        <f t="shared" si="5"/>
        <v>2040</v>
      </c>
      <c r="C25" s="186">
        <f t="shared" si="6"/>
        <v>60.747293334964219</v>
      </c>
      <c r="D25" s="64">
        <f>D24*(1-'Table 5. VOS Data Table'!$G$9)</f>
        <v>0.98117003486439913</v>
      </c>
      <c r="E25" s="64">
        <f>E24*(1-'Table 3. Fixed Assumptions'!$C$22)</f>
        <v>0.90915626158253016</v>
      </c>
      <c r="F25" s="84">
        <f t="shared" si="0"/>
        <v>3.9943945247987778E-2</v>
      </c>
      <c r="G25" s="125">
        <f>IF(A25&gt;'Table 3. Fixed Assumptions'!$C$23,0,'Table 11. Avoided Gen. Cap.'!$G$31)</f>
        <v>3.9534695041892838E-2</v>
      </c>
      <c r="H25" s="51">
        <f>H24*(1-'Table 3. Fixed Assumptions'!$C$22)</f>
        <v>1409.1922054529218</v>
      </c>
      <c r="I25" s="27">
        <f t="shared" si="1"/>
        <v>56.28869629850265</v>
      </c>
      <c r="J25" s="27">
        <f t="shared" si="2"/>
        <v>55.711984097993664</v>
      </c>
      <c r="K25" s="62">
        <f>1/(1+'Table 5. VOS Data Table'!$C$6)^A24</f>
        <v>0.30989299226113753</v>
      </c>
      <c r="L25" s="27">
        <f t="shared" si="3"/>
        <v>17.443472526421402</v>
      </c>
      <c r="M25" s="28">
        <f t="shared" si="4"/>
        <v>17.264753456932169</v>
      </c>
      <c r="P25" s="9"/>
      <c r="Q25" s="152"/>
      <c r="R25" s="9"/>
      <c r="U25" s="94"/>
      <c r="V25" s="94"/>
      <c r="X25" s="93"/>
    </row>
    <row r="26" spans="1:24" x14ac:dyDescent="0.3">
      <c r="A26">
        <v>21</v>
      </c>
      <c r="B26" s="308">
        <f t="shared" si="5"/>
        <v>2041</v>
      </c>
      <c r="C26" s="186">
        <f t="shared" si="6"/>
        <v>60.747293334964219</v>
      </c>
      <c r="D26" s="64">
        <f>D25*(1-'Table 5. VOS Data Table'!$G$9)</f>
        <v>0.98018886482953471</v>
      </c>
      <c r="E26" s="64">
        <f>E25*(1-'Table 3. Fixed Assumptions'!$C$22)</f>
        <v>0.90461048027461755</v>
      </c>
      <c r="F26" s="84">
        <f t="shared" si="0"/>
        <v>3.9983929177164944E-2</v>
      </c>
      <c r="G26" s="125">
        <f>IF(A26&gt;'Table 3. Fixed Assumptions'!$C$23,0,'Table 11. Avoided Gen. Cap.'!$G$31)</f>
        <v>3.9534695041892838E-2</v>
      </c>
      <c r="H26" s="51">
        <f>H25*(1-'Table 3. Fixed Assumptions'!$C$22)</f>
        <v>1402.1462444256572</v>
      </c>
      <c r="I26" s="27">
        <f t="shared" si="1"/>
        <v>56.063316133143282</v>
      </c>
      <c r="J26" s="27">
        <f t="shared" si="2"/>
        <v>55.433424177503696</v>
      </c>
      <c r="K26" s="62">
        <f>1/(1+'Table 5. VOS Data Table'!$C$6)^A25</f>
        <v>0.29136234699241953</v>
      </c>
      <c r="L26" s="27">
        <f t="shared" si="3"/>
        <v>16.334739368730606</v>
      </c>
      <c r="M26" s="28">
        <f t="shared" si="4"/>
        <v>16.151212570183809</v>
      </c>
      <c r="P26" s="9"/>
      <c r="Q26" s="9"/>
      <c r="R26" s="9"/>
      <c r="U26" s="94"/>
      <c r="V26" s="94"/>
      <c r="X26" s="93"/>
    </row>
    <row r="27" spans="1:24" x14ac:dyDescent="0.3">
      <c r="A27">
        <v>22</v>
      </c>
      <c r="B27" s="308">
        <f t="shared" si="5"/>
        <v>2042</v>
      </c>
      <c r="C27" s="186">
        <f t="shared" si="6"/>
        <v>60.747293334964219</v>
      </c>
      <c r="D27" s="64">
        <f>D26*(1-'Table 5. VOS Data Table'!$G$9)</f>
        <v>0.97920867596470518</v>
      </c>
      <c r="E27" s="64">
        <f>E26*(1-'Table 3. Fixed Assumptions'!$C$22)</f>
        <v>0.90008742787324447</v>
      </c>
      <c r="F27" s="84">
        <f t="shared" si="0"/>
        <v>4.0023953130295241E-2</v>
      </c>
      <c r="G27" s="125">
        <f>IF(A27&gt;'Table 3. Fixed Assumptions'!$C$23,0,'Table 11. Avoided Gen. Cap.'!$G$31)</f>
        <v>3.9534695041892838E-2</v>
      </c>
      <c r="H27" s="51">
        <f>H26*(1-'Table 3. Fixed Assumptions'!$C$22)</f>
        <v>1395.1355132035289</v>
      </c>
      <c r="I27" s="27">
        <f t="shared" si="1"/>
        <v>55.838838390868439</v>
      </c>
      <c r="J27" s="27">
        <f t="shared" si="2"/>
        <v>55.156257056616177</v>
      </c>
      <c r="K27" s="62">
        <f>1/(1+'Table 5. VOS Data Table'!$C$6)^A26</f>
        <v>0.27393977716474194</v>
      </c>
      <c r="L27" s="27">
        <f t="shared" si="3"/>
        <v>15.296478945932538</v>
      </c>
      <c r="M27" s="28">
        <f t="shared" si="4"/>
        <v>15.109492767330661</v>
      </c>
      <c r="P27" s="9"/>
      <c r="Q27" s="49"/>
      <c r="R27" s="49"/>
      <c r="U27" s="94"/>
      <c r="V27" s="94"/>
      <c r="X27" s="93"/>
    </row>
    <row r="28" spans="1:24" x14ac:dyDescent="0.3">
      <c r="A28">
        <v>23</v>
      </c>
      <c r="B28" s="308">
        <f t="shared" si="5"/>
        <v>2043</v>
      </c>
      <c r="C28" s="186">
        <f t="shared" si="6"/>
        <v>60.747293334964219</v>
      </c>
      <c r="D28" s="64">
        <f>D27*(1-'Table 5. VOS Data Table'!$G$9)</f>
        <v>0.9782294672887405</v>
      </c>
      <c r="E28" s="64">
        <f>E27*(1-'Table 3. Fixed Assumptions'!$C$22)</f>
        <v>0.89558699073387826</v>
      </c>
      <c r="F28" s="84">
        <f t="shared" si="0"/>
        <v>4.0064017147442683E-2</v>
      </c>
      <c r="G28" s="125">
        <f>IF(A28&gt;'Table 3. Fixed Assumptions'!$C$23,0,'Table 11. Avoided Gen. Cap.'!$G$31)</f>
        <v>3.9534695041892838E-2</v>
      </c>
      <c r="H28" s="51">
        <f>H27*(1-'Table 3. Fixed Assumptions'!$C$22)</f>
        <v>1388.1598356375114</v>
      </c>
      <c r="I28" s="27">
        <f t="shared" si="1"/>
        <v>55.615259458372471</v>
      </c>
      <c r="J28" s="27">
        <f t="shared" si="2"/>
        <v>54.880475771333096</v>
      </c>
      <c r="K28" s="62">
        <f>1/(1+'Table 5. VOS Data Table'!$C$6)^A27</f>
        <v>0.25755902328388669</v>
      </c>
      <c r="L28" s="27">
        <f t="shared" si="3"/>
        <v>14.324211905778355</v>
      </c>
      <c r="M28" s="28">
        <f t="shared" si="4"/>
        <v>14.134961737019561</v>
      </c>
      <c r="P28" s="9"/>
      <c r="Q28" s="153"/>
      <c r="R28" s="153"/>
      <c r="U28" s="94"/>
      <c r="V28" s="94"/>
      <c r="X28" s="93"/>
    </row>
    <row r="29" spans="1:24" x14ac:dyDescent="0.3">
      <c r="A29">
        <v>24</v>
      </c>
      <c r="B29" s="308">
        <f t="shared" si="5"/>
        <v>2044</v>
      </c>
      <c r="C29" s="186">
        <f t="shared" si="6"/>
        <v>60.747293334964219</v>
      </c>
      <c r="D29" s="64">
        <f>D28*(1-'Table 5. VOS Data Table'!$G$9)</f>
        <v>0.97725123782145173</v>
      </c>
      <c r="E29" s="64">
        <f>E28*(1-'Table 3. Fixed Assumptions'!$C$22)</f>
        <v>0.89110905578020883</v>
      </c>
      <c r="F29" s="84">
        <f t="shared" si="0"/>
        <v>4.0104121268711386E-2</v>
      </c>
      <c r="G29" s="125">
        <f>IF(A29&gt;'Table 3. Fixed Assumptions'!$C$23,0,'Table 11. Avoided Gen. Cap.'!$G$31)</f>
        <v>3.9534695041892838E-2</v>
      </c>
      <c r="H29" s="51">
        <f>H28*(1-'Table 3. Fixed Assumptions'!$C$22)</f>
        <v>1381.2190364593239</v>
      </c>
      <c r="I29" s="27">
        <f t="shared" si="1"/>
        <v>55.39257573681742</v>
      </c>
      <c r="J29" s="27">
        <f t="shared" si="2"/>
        <v>54.606073392476432</v>
      </c>
      <c r="K29" s="62">
        <f>1/(1+'Table 5. VOS Data Table'!$C$6)^A28</f>
        <v>0.24215778796905479</v>
      </c>
      <c r="L29" s="27">
        <f t="shared" si="3"/>
        <v>13.413743610336041</v>
      </c>
      <c r="M29" s="28">
        <f t="shared" si="4"/>
        <v>13.223285942397952</v>
      </c>
      <c r="P29" s="9"/>
      <c r="Q29" s="9"/>
      <c r="R29" s="9"/>
      <c r="U29" s="94"/>
      <c r="V29" s="94"/>
      <c r="X29" s="93"/>
    </row>
    <row r="30" spans="1:24" x14ac:dyDescent="0.3">
      <c r="A30">
        <v>25</v>
      </c>
      <c r="B30" s="343">
        <f t="shared" si="5"/>
        <v>2045</v>
      </c>
      <c r="C30" s="187">
        <f t="shared" si="6"/>
        <v>60.747293334964219</v>
      </c>
      <c r="D30" s="65">
        <f>D29*(1-'Table 5. VOS Data Table'!$G$9)</f>
        <v>0.97627398658363029</v>
      </c>
      <c r="E30" s="65">
        <f>E29*(1-'Table 3. Fixed Assumptions'!$C$22)</f>
        <v>0.88665351050130781</v>
      </c>
      <c r="F30" s="85">
        <f t="shared" si="0"/>
        <v>4.0144265534245632E-2</v>
      </c>
      <c r="G30" s="137">
        <f>IF(A30&gt;'Table 3. Fixed Assumptions'!$C$23,0,'Table 11. Avoided Gen. Cap.'!$G$31)</f>
        <v>3.9534695041892838E-2</v>
      </c>
      <c r="H30" s="55">
        <f>H29*(1-'Table 3. Fixed Assumptions'!$C$22)</f>
        <v>1374.3129412770272</v>
      </c>
      <c r="I30" s="29">
        <f t="shared" si="1"/>
        <v>55.170783641775103</v>
      </c>
      <c r="J30" s="29">
        <f t="shared" si="2"/>
        <v>54.333043025514051</v>
      </c>
      <c r="K30" s="63">
        <f>1/(1+'Table 5. VOS Data Table'!$C$6)^A29</f>
        <v>0.22767749903070209</v>
      </c>
      <c r="L30" s="29">
        <f t="shared" si="3"/>
        <v>12.561146039123326</v>
      </c>
      <c r="M30" s="30">
        <f t="shared" si="4"/>
        <v>12.370411350776569</v>
      </c>
      <c r="U30" s="94"/>
      <c r="V30" s="94"/>
      <c r="X30" s="93"/>
    </row>
    <row r="31" spans="1:24" ht="19.5" thickBot="1" x14ac:dyDescent="0.35">
      <c r="G31" s="125">
        <f>L32/(SUMPRODUCT(H6:H30,K6:K30))</f>
        <v>3.9534695041892838E-2</v>
      </c>
      <c r="U31" s="94"/>
      <c r="V31" s="94"/>
      <c r="X31" s="93"/>
    </row>
    <row r="32" spans="1:24" ht="19.5" thickBot="1" x14ac:dyDescent="0.35">
      <c r="C32" s="71"/>
      <c r="D32" s="39"/>
      <c r="E32" s="39"/>
      <c r="I32" s="79"/>
      <c r="J32" s="80"/>
      <c r="K32" s="58" t="s">
        <v>173</v>
      </c>
      <c r="L32" s="81">
        <f>SUM(L6:L30)</f>
        <v>770.66396877756381</v>
      </c>
      <c r="M32" s="82">
        <f>SUM(M6:M30)</f>
        <v>770.66396877756415</v>
      </c>
      <c r="U32" s="39"/>
      <c r="V32" s="2"/>
      <c r="W32" s="3"/>
    </row>
    <row r="33" spans="13:23" x14ac:dyDescent="0.3">
      <c r="M33" s="4"/>
      <c r="V33" s="2"/>
      <c r="W33" s="3"/>
    </row>
    <row r="34" spans="13:23" x14ac:dyDescent="0.3">
      <c r="V34" s="2"/>
      <c r="W34" s="3"/>
    </row>
    <row r="35" spans="13:23" x14ac:dyDescent="0.3">
      <c r="V35" s="2"/>
      <c r="W35" s="3"/>
    </row>
    <row r="36" spans="13:23" x14ac:dyDescent="0.3">
      <c r="V36" s="2"/>
      <c r="W36" s="3"/>
    </row>
  </sheetData>
  <mergeCells count="4">
    <mergeCell ref="P6:R6"/>
    <mergeCell ref="F3:G3"/>
    <mergeCell ref="I3:J3"/>
    <mergeCell ref="L3:M3"/>
  </mergeCells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</sheetPr>
  <dimension ref="A1:S36"/>
  <sheetViews>
    <sheetView view="pageBreakPreview" zoomScale="55" zoomScaleNormal="55" zoomScaleSheetLayoutView="55" workbookViewId="0">
      <selection activeCell="T29" sqref="T29"/>
    </sheetView>
  </sheetViews>
  <sheetFormatPr defaultRowHeight="18.75" x14ac:dyDescent="0.3"/>
  <cols>
    <col min="1" max="1" width="3.5546875" customWidth="1"/>
    <col min="2" max="2" width="8.88671875" style="2"/>
    <col min="3" max="3" width="11.44140625" customWidth="1"/>
    <col min="4" max="4" width="11" customWidth="1"/>
    <col min="5" max="5" width="13.109375" style="2" customWidth="1"/>
    <col min="6" max="6" width="12.5546875" style="2" customWidth="1"/>
    <col min="7" max="7" width="11.6640625" customWidth="1"/>
    <col min="8" max="8" width="9.44140625" bestFit="1" customWidth="1"/>
    <col min="9" max="9" width="13.88671875" style="2" customWidth="1"/>
    <col min="12" max="12" width="12.21875" customWidth="1"/>
    <col min="15" max="15" width="2.77734375" customWidth="1"/>
    <col min="19" max="19" width="7.44140625" customWidth="1"/>
  </cols>
  <sheetData>
    <row r="1" spans="1:19" ht="26.25" x14ac:dyDescent="0.4">
      <c r="B1" s="114" t="s">
        <v>22</v>
      </c>
      <c r="I1" s="31"/>
    </row>
    <row r="2" spans="1:19" ht="26.25" x14ac:dyDescent="0.4">
      <c r="B2" s="114"/>
      <c r="I2" s="31"/>
    </row>
    <row r="3" spans="1:19" x14ac:dyDescent="0.3">
      <c r="G3" s="418" t="s">
        <v>157</v>
      </c>
      <c r="H3" s="419"/>
      <c r="J3" s="418" t="s">
        <v>158</v>
      </c>
      <c r="K3" s="419"/>
      <c r="M3" s="418" t="s">
        <v>159</v>
      </c>
      <c r="N3" s="419"/>
    </row>
    <row r="4" spans="1:19" ht="56.25" customHeight="1" x14ac:dyDescent="0.3">
      <c r="B4" s="19" t="s">
        <v>31</v>
      </c>
      <c r="C4" s="33" t="s">
        <v>178</v>
      </c>
      <c r="D4" s="33" t="s">
        <v>193</v>
      </c>
      <c r="E4" s="33" t="s">
        <v>179</v>
      </c>
      <c r="F4" s="33" t="s">
        <v>180</v>
      </c>
      <c r="G4" s="32" t="s">
        <v>162</v>
      </c>
      <c r="H4" s="32" t="s">
        <v>163</v>
      </c>
      <c r="I4" s="33" t="s">
        <v>181</v>
      </c>
      <c r="J4" s="32" t="s">
        <v>165</v>
      </c>
      <c r="K4" s="32" t="s">
        <v>163</v>
      </c>
      <c r="L4" s="33" t="s">
        <v>32</v>
      </c>
      <c r="M4" s="34" t="s">
        <v>162</v>
      </c>
      <c r="N4" s="35" t="s">
        <v>163</v>
      </c>
    </row>
    <row r="5" spans="1:19" x14ac:dyDescent="0.3">
      <c r="B5" s="20"/>
      <c r="C5" s="36" t="s">
        <v>182</v>
      </c>
      <c r="D5" s="36" t="s">
        <v>194</v>
      </c>
      <c r="E5" s="36" t="s">
        <v>183</v>
      </c>
      <c r="F5" s="36" t="s">
        <v>184</v>
      </c>
      <c r="G5" s="36" t="s">
        <v>169</v>
      </c>
      <c r="H5" s="36" t="s">
        <v>169</v>
      </c>
      <c r="I5" s="36" t="s">
        <v>170</v>
      </c>
      <c r="J5" s="37" t="s">
        <v>171</v>
      </c>
      <c r="K5" s="37" t="s">
        <v>171</v>
      </c>
      <c r="L5" s="78"/>
      <c r="M5" s="37" t="s">
        <v>171</v>
      </c>
      <c r="N5" s="37" t="s">
        <v>171</v>
      </c>
    </row>
    <row r="6" spans="1:19" ht="19.5" customHeight="1" x14ac:dyDescent="0.3">
      <c r="A6">
        <v>1</v>
      </c>
      <c r="B6" s="300">
        <f>'Table 5. VOS Data Table'!$C$5</f>
        <v>2021</v>
      </c>
      <c r="C6" s="182">
        <f>'Table 11. Avoided Gen. Cap.'!C6</f>
        <v>60.747293334964219</v>
      </c>
      <c r="D6" s="89">
        <f>'Table 5. VOS Data Table'!G13</f>
        <v>8.8999999999999996E-2</v>
      </c>
      <c r="E6" s="40">
        <v>1</v>
      </c>
      <c r="F6" s="40">
        <v>1</v>
      </c>
      <c r="G6" s="174">
        <f>C6*(F6/E6)/I6*D6</f>
        <v>3.488070391491494E-3</v>
      </c>
      <c r="H6" s="136">
        <f t="shared" ref="H6:H30" si="0">IF(G6=0,0,$H$31)</f>
        <v>3.5185878587284639E-3</v>
      </c>
      <c r="I6" s="53">
        <f>'Table 5. VOS Data Table'!C17</f>
        <v>1550</v>
      </c>
      <c r="J6" s="25">
        <f>I6*G6</f>
        <v>5.4065091068118161</v>
      </c>
      <c r="K6" s="25">
        <f>I6*H6</f>
        <v>5.4538111810291188</v>
      </c>
      <c r="L6" s="61">
        <f>IF(C6=0,0,1)</f>
        <v>1</v>
      </c>
      <c r="M6" s="25">
        <f>J6*L6</f>
        <v>5.4065091068118161</v>
      </c>
      <c r="N6" s="26">
        <f>L6*K6</f>
        <v>5.4538111810291188</v>
      </c>
      <c r="Q6" s="38"/>
    </row>
    <row r="7" spans="1:19" x14ac:dyDescent="0.3">
      <c r="A7">
        <v>2</v>
      </c>
      <c r="B7" s="308">
        <f>B6+1</f>
        <v>2022</v>
      </c>
      <c r="C7" s="183">
        <f>'Table 11. Avoided Gen. Cap.'!C7</f>
        <v>60.747293334964219</v>
      </c>
      <c r="D7" s="75">
        <f>D6</f>
        <v>8.8999999999999996E-2</v>
      </c>
      <c r="E7" s="64">
        <f>E6*(1-'Table 5. VOS Data Table'!$G$9)</f>
        <v>0.999</v>
      </c>
      <c r="F7" s="64">
        <f>F6*(1-'Table 3. Fixed Assumptions'!$C$22)</f>
        <v>0.995</v>
      </c>
      <c r="G7" s="84">
        <f t="shared" ref="G7:G30" si="1">C7*(F7/E7)/I7*D7</f>
        <v>3.4915619534449391E-3</v>
      </c>
      <c r="H7" s="125">
        <f t="shared" si="0"/>
        <v>3.5185878587284639E-3</v>
      </c>
      <c r="I7" s="51">
        <f>I6*(1-'Table 3. Fixed Assumptions'!$C$22)</f>
        <v>1542.25</v>
      </c>
      <c r="J7" s="27">
        <f t="shared" ref="J7:J30" si="2">I7*G7</f>
        <v>5.3848614227004576</v>
      </c>
      <c r="K7" s="27">
        <f t="shared" ref="K7:K30" si="3">I7*H7</f>
        <v>5.4265421251239738</v>
      </c>
      <c r="L7" s="62">
        <f>IF(C7=0,0,1/(1+'Table 5. VOS Data Table'!$C$6)^A6)</f>
        <v>0.94020308386611495</v>
      </c>
      <c r="M7" s="27">
        <f t="shared" ref="M7:M30" si="4">J7*L7</f>
        <v>5.0628633158146457</v>
      </c>
      <c r="N7" s="28">
        <f t="shared" ref="N7:N30" si="5">L7*K7</f>
        <v>5.1020516407709415</v>
      </c>
      <c r="Q7" s="38"/>
      <c r="R7" s="2"/>
      <c r="S7" s="3"/>
    </row>
    <row r="8" spans="1:19" x14ac:dyDescent="0.3">
      <c r="A8">
        <v>3</v>
      </c>
      <c r="B8" s="308">
        <f t="shared" ref="B8:B30" si="6">B7+1</f>
        <v>2023</v>
      </c>
      <c r="C8" s="183">
        <f>'Table 11. Avoided Gen. Cap.'!C8</f>
        <v>60.747293334964219</v>
      </c>
      <c r="D8" s="75">
        <f t="shared" ref="D8:D30" si="7">D7</f>
        <v>8.8999999999999996E-2</v>
      </c>
      <c r="E8" s="64">
        <f>E7*(1-'Table 5. VOS Data Table'!$G$9)</f>
        <v>0.99800100000000003</v>
      </c>
      <c r="F8" s="64">
        <f>F7*(1-'Table 3. Fixed Assumptions'!$C$22)</f>
        <v>0.99002500000000004</v>
      </c>
      <c r="G8" s="84">
        <f t="shared" si="1"/>
        <v>3.4950570104553946E-3</v>
      </c>
      <c r="H8" s="125">
        <f t="shared" si="0"/>
        <v>3.5185878587284639E-3</v>
      </c>
      <c r="I8" s="51">
        <f>I7*(1-'Table 3. Fixed Assumptions'!$C$22)</f>
        <v>1534.5387499999999</v>
      </c>
      <c r="J8" s="27">
        <f t="shared" si="2"/>
        <v>5.363300416002958</v>
      </c>
      <c r="K8" s="27">
        <f t="shared" si="3"/>
        <v>5.3994094144983533</v>
      </c>
      <c r="L8" s="62">
        <f>IF(C8=0,0,1/(1+'Table 5. VOS Data Table'!$C$6)^A7)</f>
        <v>0.88398183891135285</v>
      </c>
      <c r="M8" s="27">
        <f t="shared" si="4"/>
        <v>4.7410601643723185</v>
      </c>
      <c r="N8" s="28">
        <f t="shared" si="5"/>
        <v>4.772979863263525</v>
      </c>
      <c r="Q8" s="38"/>
      <c r="R8" s="2"/>
      <c r="S8" s="3"/>
    </row>
    <row r="9" spans="1:19" x14ac:dyDescent="0.3">
      <c r="A9">
        <v>4</v>
      </c>
      <c r="B9" s="308">
        <f t="shared" si="6"/>
        <v>2024</v>
      </c>
      <c r="C9" s="183">
        <f>'Table 11. Avoided Gen. Cap.'!C9</f>
        <v>60.747293334964219</v>
      </c>
      <c r="D9" s="75">
        <f t="shared" si="7"/>
        <v>8.8999999999999996E-2</v>
      </c>
      <c r="E9" s="64">
        <f>E8*(1-'Table 5. VOS Data Table'!$G$9)</f>
        <v>0.997002999</v>
      </c>
      <c r="F9" s="64">
        <f>F8*(1-'Table 3. Fixed Assumptions'!$C$22)</f>
        <v>0.98507487500000002</v>
      </c>
      <c r="G9" s="84">
        <f t="shared" si="1"/>
        <v>3.4985555660214155E-3</v>
      </c>
      <c r="H9" s="125">
        <f t="shared" si="0"/>
        <v>3.5185878587284639E-3</v>
      </c>
      <c r="I9" s="51">
        <f>I8*(1-'Table 3. Fixed Assumptions'!$C$22)</f>
        <v>1526.8660562499999</v>
      </c>
      <c r="J9" s="27">
        <f t="shared" si="2"/>
        <v>5.341825739662605</v>
      </c>
      <c r="K9" s="27">
        <f t="shared" si="3"/>
        <v>5.3724123674258619</v>
      </c>
      <c r="L9" s="62">
        <f>IF(C9=0,0,1/(1+'Table 5. VOS Data Table'!$C$6)^A8)</f>
        <v>0.83112245102609328</v>
      </c>
      <c r="M9" s="27">
        <f t="shared" si="4"/>
        <v>4.4397113017026575</v>
      </c>
      <c r="N9" s="28">
        <f t="shared" si="5"/>
        <v>4.4651325347378785</v>
      </c>
      <c r="Q9" s="38"/>
      <c r="R9" s="2"/>
      <c r="S9" s="3"/>
    </row>
    <row r="10" spans="1:19" x14ac:dyDescent="0.3">
      <c r="A10">
        <v>5</v>
      </c>
      <c r="B10" s="308">
        <f t="shared" si="6"/>
        <v>2025</v>
      </c>
      <c r="C10" s="183">
        <f>'Table 11. Avoided Gen. Cap.'!C10</f>
        <v>60.747293334964219</v>
      </c>
      <c r="D10" s="75">
        <f t="shared" si="7"/>
        <v>8.8999999999999996E-2</v>
      </c>
      <c r="E10" s="64">
        <f>E9*(1-'Table 5. VOS Data Table'!$G$9)</f>
        <v>0.99600599600100004</v>
      </c>
      <c r="F10" s="64">
        <f>F9*(1-'Table 3. Fixed Assumptions'!$C$22)</f>
        <v>0.98014950062500006</v>
      </c>
      <c r="G10" s="84">
        <f t="shared" si="1"/>
        <v>3.5020576236450603E-3</v>
      </c>
      <c r="H10" s="125">
        <f t="shared" si="0"/>
        <v>3.5185878587284639E-3</v>
      </c>
      <c r="I10" s="51">
        <f>I9*(1-'Table 3. Fixed Assumptions'!$C$22)</f>
        <v>1519.23172596875</v>
      </c>
      <c r="J10" s="27">
        <f t="shared" si="2"/>
        <v>5.3204370480123044</v>
      </c>
      <c r="K10" s="27">
        <f t="shared" si="3"/>
        <v>5.3455503055887323</v>
      </c>
      <c r="L10" s="62">
        <f>IF(C10=0,0,1/(1+'Table 5. VOS Data Table'!$C$6)^A9)</f>
        <v>0.78142389152509684</v>
      </c>
      <c r="M10" s="27">
        <f t="shared" si="4"/>
        <v>4.1575166226720732</v>
      </c>
      <c r="N10" s="28">
        <f t="shared" si="5"/>
        <v>4.1771407221363175</v>
      </c>
      <c r="Q10" s="38"/>
      <c r="R10" s="2"/>
      <c r="S10" s="3"/>
    </row>
    <row r="11" spans="1:19" x14ac:dyDescent="0.3">
      <c r="A11">
        <v>6</v>
      </c>
      <c r="B11" s="308">
        <f t="shared" si="6"/>
        <v>2026</v>
      </c>
      <c r="C11" s="183">
        <f>'Table 11. Avoided Gen. Cap.'!C11</f>
        <v>60.747293334964219</v>
      </c>
      <c r="D11" s="75">
        <f t="shared" si="7"/>
        <v>8.8999999999999996E-2</v>
      </c>
      <c r="E11" s="64">
        <f>E10*(1-'Table 5. VOS Data Table'!$G$9)</f>
        <v>0.99500999000499901</v>
      </c>
      <c r="F11" s="64">
        <f>F10*(1-'Table 3. Fixed Assumptions'!$C$22)</f>
        <v>0.97524875312187509</v>
      </c>
      <c r="G11" s="84">
        <f t="shared" si="1"/>
        <v>3.505563186831893E-3</v>
      </c>
      <c r="H11" s="125">
        <f t="shared" si="0"/>
        <v>3.5185878587284639E-3</v>
      </c>
      <c r="I11" s="51">
        <f>I10*(1-'Table 3. Fixed Assumptions'!$C$22)</f>
        <v>1511.6355673389062</v>
      </c>
      <c r="J11" s="27">
        <f t="shared" si="2"/>
        <v>5.2991339967690125</v>
      </c>
      <c r="K11" s="27">
        <f t="shared" si="3"/>
        <v>5.3188225540607883</v>
      </c>
      <c r="L11" s="62">
        <f>IF(C11=0,0,1/(1+'Table 5. VOS Data Table'!$C$6)^A10)</f>
        <v>0.7346971526185565</v>
      </c>
      <c r="M11" s="27">
        <f t="shared" si="4"/>
        <v>3.8932586587703844</v>
      </c>
      <c r="N11" s="28">
        <f t="shared" si="5"/>
        <v>3.9077237857518194</v>
      </c>
      <c r="Q11" s="38"/>
      <c r="R11" s="2"/>
      <c r="S11" s="3"/>
    </row>
    <row r="12" spans="1:19" x14ac:dyDescent="0.3">
      <c r="A12">
        <v>7</v>
      </c>
      <c r="B12" s="308">
        <f t="shared" si="6"/>
        <v>2027</v>
      </c>
      <c r="C12" s="183">
        <f>'Table 11. Avoided Gen. Cap.'!C12</f>
        <v>60.747293334964219</v>
      </c>
      <c r="D12" s="75">
        <f t="shared" si="7"/>
        <v>8.8999999999999996E-2</v>
      </c>
      <c r="E12" s="64">
        <f>E11*(1-'Table 5. VOS Data Table'!$G$9)</f>
        <v>0.994014980014994</v>
      </c>
      <c r="F12" s="64">
        <f>F11*(1-'Table 3. Fixed Assumptions'!$C$22)</f>
        <v>0.97037250935626573</v>
      </c>
      <c r="G12" s="84">
        <f t="shared" si="1"/>
        <v>3.5090722590909841E-3</v>
      </c>
      <c r="H12" s="125">
        <f t="shared" si="0"/>
        <v>3.5185878587284639E-3</v>
      </c>
      <c r="I12" s="51">
        <f>I11*(1-'Table 3. Fixed Assumptions'!$C$22)</f>
        <v>1504.0773895022116</v>
      </c>
      <c r="J12" s="27">
        <f t="shared" si="2"/>
        <v>5.2779162430281961</v>
      </c>
      <c r="K12" s="27">
        <f t="shared" si="3"/>
        <v>5.2922284412904848</v>
      </c>
      <c r="L12" s="62">
        <f>IF(C12=0,0,1/(1+'Table 5. VOS Data Table'!$C$6)^A11)</f>
        <v>0.69076452859962056</v>
      </c>
      <c r="M12" s="27">
        <f t="shared" si="4"/>
        <v>3.6457973256036524</v>
      </c>
      <c r="N12" s="28">
        <f t="shared" si="5"/>
        <v>3.6556836844895266</v>
      </c>
      <c r="Q12" s="38"/>
      <c r="R12" s="2"/>
      <c r="S12" s="3"/>
    </row>
    <row r="13" spans="1:19" x14ac:dyDescent="0.3">
      <c r="A13">
        <v>8</v>
      </c>
      <c r="B13" s="308">
        <f t="shared" si="6"/>
        <v>2028</v>
      </c>
      <c r="C13" s="183">
        <f>'Table 11. Avoided Gen. Cap.'!C13</f>
        <v>60.747293334964219</v>
      </c>
      <c r="D13" s="75">
        <f t="shared" si="7"/>
        <v>8.8999999999999996E-2</v>
      </c>
      <c r="E13" s="64">
        <f>E12*(1-'Table 5. VOS Data Table'!$G$9)</f>
        <v>0.99302096503497905</v>
      </c>
      <c r="F13" s="64">
        <f>F12*(1-'Table 3. Fixed Assumptions'!$C$22)</f>
        <v>0.96552064680948435</v>
      </c>
      <c r="G13" s="84">
        <f t="shared" si="1"/>
        <v>3.5125848439349185E-3</v>
      </c>
      <c r="H13" s="125">
        <f t="shared" si="0"/>
        <v>3.5185878587284639E-3</v>
      </c>
      <c r="I13" s="51">
        <f>I12*(1-'Table 3. Fixed Assumptions'!$C$22)</f>
        <v>1496.5570025547006</v>
      </c>
      <c r="J13" s="27">
        <f t="shared" si="2"/>
        <v>5.2567834452583124</v>
      </c>
      <c r="K13" s="27">
        <f t="shared" si="3"/>
        <v>5.2657672990840325</v>
      </c>
      <c r="L13" s="62">
        <f>IF(C13=0,0,1/(1+'Table 5. VOS Data Table'!$C$6)^A12)</f>
        <v>0.64945894001468651</v>
      </c>
      <c r="M13" s="27">
        <f t="shared" si="4"/>
        <v>3.4140650042442156</v>
      </c>
      <c r="N13" s="28">
        <f t="shared" si="5"/>
        <v>3.4198996484271147</v>
      </c>
      <c r="Q13" s="38"/>
      <c r="R13" s="2"/>
      <c r="S13" s="3"/>
    </row>
    <row r="14" spans="1:19" x14ac:dyDescent="0.3">
      <c r="A14">
        <v>9</v>
      </c>
      <c r="B14" s="308">
        <f t="shared" si="6"/>
        <v>2029</v>
      </c>
      <c r="C14" s="183">
        <f>'Table 11. Avoided Gen. Cap.'!C14</f>
        <v>60.747293334964219</v>
      </c>
      <c r="D14" s="75">
        <f t="shared" si="7"/>
        <v>8.8999999999999996E-2</v>
      </c>
      <c r="E14" s="64">
        <f>E13*(1-'Table 5. VOS Data Table'!$G$9)</f>
        <v>0.9920279440699441</v>
      </c>
      <c r="F14" s="64">
        <f>F13*(1-'Table 3. Fixed Assumptions'!$C$22)</f>
        <v>0.96069304357543694</v>
      </c>
      <c r="G14" s="84">
        <f t="shared" si="1"/>
        <v>3.5161009448797988E-3</v>
      </c>
      <c r="H14" s="125">
        <f t="shared" si="0"/>
        <v>3.5185878587284639E-3</v>
      </c>
      <c r="I14" s="51">
        <f>I13*(1-'Table 3. Fixed Assumptions'!$C$22)</f>
        <v>1489.0742175419271</v>
      </c>
      <c r="J14" s="27">
        <f t="shared" si="2"/>
        <v>5.2357352632953171</v>
      </c>
      <c r="K14" s="27">
        <f t="shared" si="3"/>
        <v>5.2394384625886117</v>
      </c>
      <c r="L14" s="62">
        <f>IF(C14=0,0,1/(1+'Table 5. VOS Data Table'!$C$6)^A13)</f>
        <v>0.6106232982462263</v>
      </c>
      <c r="M14" s="27">
        <f t="shared" si="4"/>
        <v>3.1970619352174605</v>
      </c>
      <c r="N14" s="28">
        <f t="shared" si="5"/>
        <v>3.1993231949839953</v>
      </c>
      <c r="Q14" s="38"/>
      <c r="R14" s="2"/>
      <c r="S14" s="3"/>
    </row>
    <row r="15" spans="1:19" x14ac:dyDescent="0.3">
      <c r="A15">
        <v>10</v>
      </c>
      <c r="B15" s="308">
        <f t="shared" si="6"/>
        <v>2030</v>
      </c>
      <c r="C15" s="183">
        <f>'Table 11. Avoided Gen. Cap.'!C15</f>
        <v>60.747293334964219</v>
      </c>
      <c r="D15" s="75">
        <f t="shared" si="7"/>
        <v>8.8999999999999996E-2</v>
      </c>
      <c r="E15" s="64">
        <f>E14*(1-'Table 5. VOS Data Table'!$G$9)</f>
        <v>0.99103591612587416</v>
      </c>
      <c r="F15" s="64">
        <f>F14*(1-'Table 3. Fixed Assumptions'!$C$22)</f>
        <v>0.95588957835755972</v>
      </c>
      <c r="G15" s="84">
        <f t="shared" si="1"/>
        <v>3.5196205654452438E-3</v>
      </c>
      <c r="H15" s="125">
        <f t="shared" si="0"/>
        <v>3.5185878587284639E-3</v>
      </c>
      <c r="I15" s="51">
        <f>I14*(1-'Table 3. Fixed Assumptions'!$C$22)</f>
        <v>1481.6288464542174</v>
      </c>
      <c r="J15" s="27">
        <f t="shared" si="2"/>
        <v>5.2147713583371766</v>
      </c>
      <c r="K15" s="27">
        <f t="shared" si="3"/>
        <v>5.2132412702756685</v>
      </c>
      <c r="L15" s="62">
        <f>IF(C15=0,0,1/(1+'Table 5. VOS Data Table'!$C$6)^A14)</f>
        <v>0.57410990809160045</v>
      </c>
      <c r="M15" s="27">
        <f t="shared" si="4"/>
        <v>2.993851905253667</v>
      </c>
      <c r="N15" s="28">
        <f t="shared" si="5"/>
        <v>2.9929734665373022</v>
      </c>
      <c r="Q15" s="38"/>
      <c r="R15" s="2"/>
      <c r="S15" s="3"/>
    </row>
    <row r="16" spans="1:19" x14ac:dyDescent="0.3">
      <c r="A16">
        <v>11</v>
      </c>
      <c r="B16" s="308">
        <f t="shared" si="6"/>
        <v>2031</v>
      </c>
      <c r="C16" s="183">
        <f>'Table 11. Avoided Gen. Cap.'!C16</f>
        <v>60.747293334964219</v>
      </c>
      <c r="D16" s="75">
        <f t="shared" si="7"/>
        <v>8.8999999999999996E-2</v>
      </c>
      <c r="E16" s="64">
        <f>E15*(1-'Table 5. VOS Data Table'!$G$9)</f>
        <v>0.99004488020974823</v>
      </c>
      <c r="F16" s="64">
        <f>F15*(1-'Table 3. Fixed Assumptions'!$C$22)</f>
        <v>0.95111013046577186</v>
      </c>
      <c r="G16" s="84">
        <f t="shared" si="1"/>
        <v>3.5231437091543978E-3</v>
      </c>
      <c r="H16" s="125">
        <f t="shared" si="0"/>
        <v>3.5185878587284639E-3</v>
      </c>
      <c r="I16" s="51">
        <f>I15*(1-'Table 3. Fixed Assumptions'!$C$22)</f>
        <v>1474.2207022219463</v>
      </c>
      <c r="J16" s="27">
        <f t="shared" si="2"/>
        <v>5.1938913929384292</v>
      </c>
      <c r="K16" s="27">
        <f t="shared" si="3"/>
        <v>5.1871750639242906</v>
      </c>
      <c r="L16" s="62">
        <f>IF(C16=0,0,1/(1+'Table 5. VOS Data Table'!$C$6)^A15)</f>
        <v>0.5397799060658145</v>
      </c>
      <c r="M16" s="27">
        <f t="shared" si="4"/>
        <v>2.8035582081963475</v>
      </c>
      <c r="N16" s="28">
        <f t="shared" si="5"/>
        <v>2.7999328687519891</v>
      </c>
      <c r="Q16" s="38"/>
      <c r="R16" s="2"/>
      <c r="S16" s="3"/>
    </row>
    <row r="17" spans="1:19" x14ac:dyDescent="0.3">
      <c r="A17">
        <v>12</v>
      </c>
      <c r="B17" s="308">
        <f t="shared" si="6"/>
        <v>2032</v>
      </c>
      <c r="C17" s="183">
        <f>'Table 11. Avoided Gen. Cap.'!C17</f>
        <v>60.747293334964219</v>
      </c>
      <c r="D17" s="75">
        <f t="shared" si="7"/>
        <v>8.8999999999999996E-2</v>
      </c>
      <c r="E17" s="64">
        <f>E16*(1-'Table 5. VOS Data Table'!$G$9)</f>
        <v>0.98905483532953853</v>
      </c>
      <c r="F17" s="64">
        <f>F16*(1-'Table 3. Fixed Assumptions'!$C$22)</f>
        <v>0.94635457981344295</v>
      </c>
      <c r="G17" s="84">
        <f t="shared" si="1"/>
        <v>3.5266703795339316E-3</v>
      </c>
      <c r="H17" s="125">
        <f t="shared" si="0"/>
        <v>3.5185878587284639E-3</v>
      </c>
      <c r="I17" s="51">
        <f>I16*(1-'Table 3. Fixed Assumptions'!$C$22)</f>
        <v>1466.8495987108365</v>
      </c>
      <c r="J17" s="27">
        <f t="shared" si="2"/>
        <v>5.173095031004741</v>
      </c>
      <c r="K17" s="27">
        <f t="shared" si="3"/>
        <v>5.1612391886046689</v>
      </c>
      <c r="L17" s="62">
        <f>IF(C17=0,0,1/(1+'Table 5. VOS Data Table'!$C$6)^A16)</f>
        <v>0.50750273229204079</v>
      </c>
      <c r="M17" s="27">
        <f t="shared" si="4"/>
        <v>2.6253598626412855</v>
      </c>
      <c r="N17" s="28">
        <f t="shared" si="5"/>
        <v>2.619342990229625</v>
      </c>
      <c r="Q17" s="38"/>
      <c r="R17" s="2"/>
      <c r="S17" s="3"/>
    </row>
    <row r="18" spans="1:19" x14ac:dyDescent="0.3">
      <c r="A18">
        <v>13</v>
      </c>
      <c r="B18" s="308">
        <f t="shared" si="6"/>
        <v>2033</v>
      </c>
      <c r="C18" s="183">
        <f>'Table 11. Avoided Gen. Cap.'!C18</f>
        <v>60.747293334964219</v>
      </c>
      <c r="D18" s="75">
        <f t="shared" si="7"/>
        <v>8.8999999999999996E-2</v>
      </c>
      <c r="E18" s="64">
        <f>E17*(1-'Table 5. VOS Data Table'!$G$9)</f>
        <v>0.98806578049420901</v>
      </c>
      <c r="F18" s="64">
        <f>F17*(1-'Table 3. Fixed Assumptions'!$C$22)</f>
        <v>0.94162280691437572</v>
      </c>
      <c r="G18" s="84">
        <f t="shared" si="1"/>
        <v>3.530200580114046E-3</v>
      </c>
      <c r="H18" s="125">
        <f t="shared" si="0"/>
        <v>3.5185878587284639E-3</v>
      </c>
      <c r="I18" s="51">
        <f>I17*(1-'Table 3. Fixed Assumptions'!$C$22)</f>
        <v>1459.5153507172822</v>
      </c>
      <c r="J18" s="27">
        <f t="shared" si="2"/>
        <v>5.1523819377875046</v>
      </c>
      <c r="K18" s="27">
        <f t="shared" si="3"/>
        <v>5.1354329926616451</v>
      </c>
      <c r="L18" s="62">
        <f>IF(C18=0,0,1/(1+'Table 5. VOS Data Table'!$C$6)^A17)</f>
        <v>0.47715563397145594</v>
      </c>
      <c r="M18" s="27">
        <f t="shared" si="4"/>
        <v>2.4584880699880753</v>
      </c>
      <c r="N18" s="28">
        <f t="shared" si="5"/>
        <v>2.4504007853313987</v>
      </c>
      <c r="P18" s="77"/>
      <c r="Q18" s="38"/>
      <c r="R18" s="2"/>
      <c r="S18" s="3"/>
    </row>
    <row r="19" spans="1:19" x14ac:dyDescent="0.3">
      <c r="A19">
        <v>14</v>
      </c>
      <c r="B19" s="308">
        <f t="shared" si="6"/>
        <v>2034</v>
      </c>
      <c r="C19" s="183">
        <f>'Table 11. Avoided Gen. Cap.'!C19</f>
        <v>60.747293334964219</v>
      </c>
      <c r="D19" s="75">
        <f t="shared" si="7"/>
        <v>8.8999999999999996E-2</v>
      </c>
      <c r="E19" s="64">
        <f>E18*(1-'Table 5. VOS Data Table'!$G$9)</f>
        <v>0.98707771471371475</v>
      </c>
      <c r="F19" s="64">
        <f>F18*(1-'Table 3. Fixed Assumptions'!$C$22)</f>
        <v>0.93691469287980389</v>
      </c>
      <c r="G19" s="84">
        <f t="shared" si="1"/>
        <v>3.5337343144284743E-3</v>
      </c>
      <c r="H19" s="125">
        <f t="shared" si="0"/>
        <v>3.5185878587284639E-3</v>
      </c>
      <c r="I19" s="51">
        <f>I18*(1-'Table 3. Fixed Assumptions'!$C$22)</f>
        <v>1452.2177739636959</v>
      </c>
      <c r="J19" s="27">
        <f t="shared" si="2"/>
        <v>5.1317517798784458</v>
      </c>
      <c r="K19" s="27">
        <f t="shared" si="3"/>
        <v>5.1097558276983372</v>
      </c>
      <c r="L19" s="62">
        <f>IF(C19=0,0,1/(1+'Table 5. VOS Data Table'!$C$6)^A18)</f>
        <v>0.44862319854405402</v>
      </c>
      <c r="M19" s="27">
        <f t="shared" si="4"/>
        <v>2.3022228976232104</v>
      </c>
      <c r="N19" s="28">
        <f t="shared" si="5"/>
        <v>2.2923550032011484</v>
      </c>
      <c r="Q19" s="38"/>
      <c r="R19" s="2"/>
      <c r="S19" s="3"/>
    </row>
    <row r="20" spans="1:19" x14ac:dyDescent="0.3">
      <c r="A20">
        <v>15</v>
      </c>
      <c r="B20" s="308">
        <f t="shared" si="6"/>
        <v>2035</v>
      </c>
      <c r="C20" s="183">
        <f>'Table 11. Avoided Gen. Cap.'!C20</f>
        <v>60.747293334964219</v>
      </c>
      <c r="D20" s="75">
        <f t="shared" si="7"/>
        <v>8.8999999999999996E-2</v>
      </c>
      <c r="E20" s="64">
        <f>E19*(1-'Table 5. VOS Data Table'!$G$9)</f>
        <v>0.98609063699900101</v>
      </c>
      <c r="F20" s="64">
        <f>F19*(1-'Table 3. Fixed Assumptions'!$C$22)</f>
        <v>0.9322301194154049</v>
      </c>
      <c r="G20" s="84">
        <f t="shared" si="1"/>
        <v>3.5372715860144885E-3</v>
      </c>
      <c r="H20" s="125">
        <f t="shared" si="0"/>
        <v>3.5185878587284639E-3</v>
      </c>
      <c r="I20" s="51">
        <f>I19*(1-'Table 3. Fixed Assumptions'!$C$22)</f>
        <v>1444.9566850938775</v>
      </c>
      <c r="J20" s="27">
        <f t="shared" si="2"/>
        <v>5.1112042252042578</v>
      </c>
      <c r="K20" s="27">
        <f t="shared" si="3"/>
        <v>5.0842070485598452</v>
      </c>
      <c r="L20" s="62">
        <f>IF(C20=0,0,1/(1+'Table 5. VOS Data Table'!$C$6)^A19)</f>
        <v>0.42179691476499998</v>
      </c>
      <c r="M20" s="27">
        <f t="shared" si="4"/>
        <v>2.155890172924988</v>
      </c>
      <c r="N20" s="28">
        <f t="shared" si="5"/>
        <v>2.1445028471090093</v>
      </c>
      <c r="Q20" s="38"/>
      <c r="R20" s="2"/>
      <c r="S20" s="3"/>
    </row>
    <row r="21" spans="1:19" x14ac:dyDescent="0.3">
      <c r="A21">
        <v>16</v>
      </c>
      <c r="B21" s="308">
        <f t="shared" si="6"/>
        <v>2036</v>
      </c>
      <c r="C21" s="183">
        <f>'Table 11. Avoided Gen. Cap.'!C21</f>
        <v>60.747293334964219</v>
      </c>
      <c r="D21" s="75">
        <f t="shared" si="7"/>
        <v>8.8999999999999996E-2</v>
      </c>
      <c r="E21" s="64">
        <f>E20*(1-'Table 5. VOS Data Table'!$G$9)</f>
        <v>0.98510454636200206</v>
      </c>
      <c r="F21" s="64">
        <f>F20*(1-'Table 3. Fixed Assumptions'!$C$22)</f>
        <v>0.92756896881832784</v>
      </c>
      <c r="G21" s="84">
        <f t="shared" si="1"/>
        <v>3.5408123984129016E-3</v>
      </c>
      <c r="H21" s="125">
        <f t="shared" si="0"/>
        <v>3.5185878587284639E-3</v>
      </c>
      <c r="I21" s="51">
        <f>I20*(1-'Table 3. Fixed Assumptions'!$C$22)</f>
        <v>1437.731901668408</v>
      </c>
      <c r="J21" s="27">
        <f t="shared" si="2"/>
        <v>5.0907389430212575</v>
      </c>
      <c r="K21" s="27">
        <f t="shared" si="3"/>
        <v>5.0587860133170457</v>
      </c>
      <c r="L21" s="62">
        <f>IF(C21=0,0,1/(1+'Table 5. VOS Data Table'!$C$6)^A20)</f>
        <v>0.39657476002726588</v>
      </c>
      <c r="M21" s="27">
        <f t="shared" si="4"/>
        <v>2.0188585746901122</v>
      </c>
      <c r="N21" s="28">
        <f t="shared" si="5"/>
        <v>2.0061868492604966</v>
      </c>
      <c r="Q21" s="38"/>
      <c r="R21" s="2"/>
      <c r="S21" s="3"/>
    </row>
    <row r="22" spans="1:19" x14ac:dyDescent="0.3">
      <c r="A22">
        <v>17</v>
      </c>
      <c r="B22" s="308">
        <f t="shared" si="6"/>
        <v>2037</v>
      </c>
      <c r="C22" s="183">
        <f>'Table 11. Avoided Gen. Cap.'!C22</f>
        <v>60.747293334964219</v>
      </c>
      <c r="D22" s="75">
        <f t="shared" si="7"/>
        <v>8.8999999999999996E-2</v>
      </c>
      <c r="E22" s="64">
        <f>E21*(1-'Table 5. VOS Data Table'!$G$9)</f>
        <v>0.98411944181564004</v>
      </c>
      <c r="F22" s="64">
        <f>F21*(1-'Table 3. Fixed Assumptions'!$C$22)</f>
        <v>0.92293112397423616</v>
      </c>
      <c r="G22" s="84">
        <f t="shared" si="1"/>
        <v>3.5443567551680698E-3</v>
      </c>
      <c r="H22" s="125">
        <f t="shared" si="0"/>
        <v>3.5185878587284639E-3</v>
      </c>
      <c r="I22" s="51">
        <f>I21*(1-'Table 3. Fixed Assumptions'!$C$22)</f>
        <v>1430.543242160066</v>
      </c>
      <c r="J22" s="27">
        <f t="shared" si="2"/>
        <v>5.0703556039100617</v>
      </c>
      <c r="K22" s="27">
        <f t="shared" si="3"/>
        <v>5.0334920832504615</v>
      </c>
      <c r="L22" s="62">
        <f>IF(C22=0,0,1/(1+'Table 5. VOS Data Table'!$C$6)^A21)</f>
        <v>0.3728608123610998</v>
      </c>
      <c r="M22" s="27">
        <f t="shared" si="4"/>
        <v>1.8905369094335605</v>
      </c>
      <c r="N22" s="28">
        <f t="shared" si="5"/>
        <v>1.8767919471739316</v>
      </c>
      <c r="Q22" s="38"/>
      <c r="R22" s="2"/>
      <c r="S22" s="3"/>
    </row>
    <row r="23" spans="1:19" x14ac:dyDescent="0.3">
      <c r="A23">
        <v>18</v>
      </c>
      <c r="B23" s="308">
        <f t="shared" si="6"/>
        <v>2038</v>
      </c>
      <c r="C23" s="183">
        <f>'Table 11. Avoided Gen. Cap.'!C23</f>
        <v>60.747293334964219</v>
      </c>
      <c r="D23" s="75">
        <f t="shared" si="7"/>
        <v>8.8999999999999996E-2</v>
      </c>
      <c r="E23" s="64">
        <f>E22*(1-'Table 5. VOS Data Table'!$G$9)</f>
        <v>0.98313532237382439</v>
      </c>
      <c r="F23" s="64">
        <f>F22*(1-'Table 3. Fixed Assumptions'!$C$22)</f>
        <v>0.91831646835436498</v>
      </c>
      <c r="G23" s="84">
        <f t="shared" si="1"/>
        <v>3.5479046598278973E-3</v>
      </c>
      <c r="H23" s="125">
        <f t="shared" si="0"/>
        <v>3.5185878587284639E-3</v>
      </c>
      <c r="I23" s="51">
        <f>I22*(1-'Table 3. Fixed Assumptions'!$C$22)</f>
        <v>1423.3905259492658</v>
      </c>
      <c r="J23" s="27">
        <f t="shared" si="2"/>
        <v>5.0500538797702816</v>
      </c>
      <c r="K23" s="27">
        <f t="shared" si="3"/>
        <v>5.0083246228342091</v>
      </c>
      <c r="L23" s="62">
        <f>IF(C23=0,0,1/(1+'Table 5. VOS Data Table'!$C$6)^A22)</f>
        <v>0.35056488563473087</v>
      </c>
      <c r="M23" s="27">
        <f t="shared" si="4"/>
        <v>1.7703715608108976</v>
      </c>
      <c r="N23" s="28">
        <f t="shared" si="5"/>
        <v>1.7557427486254811</v>
      </c>
      <c r="Q23" s="38"/>
      <c r="R23" s="2"/>
      <c r="S23" s="3"/>
    </row>
    <row r="24" spans="1:19" x14ac:dyDescent="0.3">
      <c r="A24">
        <v>19</v>
      </c>
      <c r="B24" s="308">
        <f t="shared" si="6"/>
        <v>2039</v>
      </c>
      <c r="C24" s="183">
        <f>'Table 11. Avoided Gen. Cap.'!C24</f>
        <v>60.747293334964219</v>
      </c>
      <c r="D24" s="75">
        <f t="shared" si="7"/>
        <v>8.8999999999999996E-2</v>
      </c>
      <c r="E24" s="64">
        <f>E23*(1-'Table 5. VOS Data Table'!$G$9)</f>
        <v>0.98215218705145058</v>
      </c>
      <c r="F24" s="64">
        <f>F23*(1-'Table 3. Fixed Assumptions'!$C$22)</f>
        <v>0.91372488601259316</v>
      </c>
      <c r="G24" s="84">
        <f t="shared" si="1"/>
        <v>3.5514561159438406E-3</v>
      </c>
      <c r="H24" s="125">
        <f t="shared" si="0"/>
        <v>3.5185878587284639E-3</v>
      </c>
      <c r="I24" s="51">
        <f>I23*(1-'Table 3. Fixed Assumptions'!$C$22)</f>
        <v>1416.2735733195195</v>
      </c>
      <c r="J24" s="27">
        <f t="shared" si="2"/>
        <v>5.029833443815245</v>
      </c>
      <c r="K24" s="27">
        <f t="shared" si="3"/>
        <v>4.9832829997200383</v>
      </c>
      <c r="L24" s="62">
        <f>IF(C24=0,0,1/(1+'Table 5. VOS Data Table'!$C$6)^A23)</f>
        <v>0.32960218656894585</v>
      </c>
      <c r="M24" s="27">
        <f t="shared" si="4"/>
        <v>1.6578441011591158</v>
      </c>
      <c r="N24" s="28">
        <f t="shared" si="5"/>
        <v>1.6425009729995803</v>
      </c>
      <c r="Q24" s="38"/>
      <c r="R24" s="2"/>
      <c r="S24" s="3"/>
    </row>
    <row r="25" spans="1:19" x14ac:dyDescent="0.3">
      <c r="A25">
        <v>20</v>
      </c>
      <c r="B25" s="308">
        <f t="shared" si="6"/>
        <v>2040</v>
      </c>
      <c r="C25" s="183">
        <f>'Table 11. Avoided Gen. Cap.'!C25</f>
        <v>60.747293334964219</v>
      </c>
      <c r="D25" s="75">
        <f t="shared" si="7"/>
        <v>8.8999999999999996E-2</v>
      </c>
      <c r="E25" s="64">
        <f>E24*(1-'Table 5. VOS Data Table'!$G$9)</f>
        <v>0.98117003486439913</v>
      </c>
      <c r="F25" s="64">
        <f>F24*(1-'Table 3. Fixed Assumptions'!$C$22)</f>
        <v>0.90915626158253016</v>
      </c>
      <c r="G25" s="84">
        <f t="shared" si="1"/>
        <v>3.5550111270709122E-3</v>
      </c>
      <c r="H25" s="125">
        <f t="shared" si="0"/>
        <v>3.5185878587284639E-3</v>
      </c>
      <c r="I25" s="51">
        <f>I24*(1-'Table 3. Fixed Assumptions'!$C$22)</f>
        <v>1409.1922054529218</v>
      </c>
      <c r="J25" s="27">
        <f t="shared" si="2"/>
        <v>5.0096939705667358</v>
      </c>
      <c r="K25" s="27">
        <f t="shared" si="3"/>
        <v>4.9583665847214373</v>
      </c>
      <c r="L25" s="62">
        <f>IF(C25=0,0,1/(1+'Table 5. VOS Data Table'!$C$6)^A24)</f>
        <v>0.30989299226113753</v>
      </c>
      <c r="M25" s="27">
        <f t="shared" si="4"/>
        <v>1.5524690548515048</v>
      </c>
      <c r="N25" s="28">
        <f t="shared" si="5"/>
        <v>1.5365630576669633</v>
      </c>
      <c r="Q25" s="38"/>
      <c r="R25" s="2"/>
      <c r="S25" s="3"/>
    </row>
    <row r="26" spans="1:19" x14ac:dyDescent="0.3">
      <c r="A26">
        <v>21</v>
      </c>
      <c r="B26" s="308">
        <f t="shared" si="6"/>
        <v>2041</v>
      </c>
      <c r="C26" s="183">
        <f>'Table 11. Avoided Gen. Cap.'!C26</f>
        <v>60.747293334964219</v>
      </c>
      <c r="D26" s="75">
        <f t="shared" si="7"/>
        <v>8.8999999999999996E-2</v>
      </c>
      <c r="E26" s="64">
        <f>E25*(1-'Table 5. VOS Data Table'!$G$9)</f>
        <v>0.98018886482953471</v>
      </c>
      <c r="F26" s="64">
        <f>F25*(1-'Table 3. Fixed Assumptions'!$C$22)</f>
        <v>0.90461048027461755</v>
      </c>
      <c r="G26" s="84">
        <f t="shared" si="1"/>
        <v>3.5585696967676797E-3</v>
      </c>
      <c r="H26" s="125">
        <f t="shared" si="0"/>
        <v>3.5185878587284639E-3</v>
      </c>
      <c r="I26" s="51">
        <f>I25*(1-'Table 3. Fixed Assumptions'!$C$22)</f>
        <v>1402.1462444256572</v>
      </c>
      <c r="J26" s="27">
        <f t="shared" si="2"/>
        <v>4.9896351358497517</v>
      </c>
      <c r="K26" s="27">
        <f t="shared" si="3"/>
        <v>4.9335747517978303</v>
      </c>
      <c r="L26" s="62">
        <f>IF(C26=0,0,1/(1+'Table 5. VOS Data Table'!$C$6)^A25)</f>
        <v>0.29136234699241953</v>
      </c>
      <c r="M26" s="27">
        <f t="shared" si="4"/>
        <v>1.4537918038170237</v>
      </c>
      <c r="N26" s="28">
        <f t="shared" si="5"/>
        <v>1.4374579187463594</v>
      </c>
      <c r="Q26" s="38"/>
      <c r="R26" s="2"/>
      <c r="S26" s="3"/>
    </row>
    <row r="27" spans="1:19" x14ac:dyDescent="0.3">
      <c r="A27">
        <v>22</v>
      </c>
      <c r="B27" s="308">
        <f t="shared" si="6"/>
        <v>2042</v>
      </c>
      <c r="C27" s="183">
        <f>'Table 11. Avoided Gen. Cap.'!C27</f>
        <v>60.747293334964219</v>
      </c>
      <c r="D27" s="75">
        <f t="shared" si="7"/>
        <v>8.8999999999999996E-2</v>
      </c>
      <c r="E27" s="64">
        <f>E26*(1-'Table 5. VOS Data Table'!$G$9)</f>
        <v>0.97920867596470518</v>
      </c>
      <c r="F27" s="64">
        <f>F26*(1-'Table 3. Fixed Assumptions'!$C$22)</f>
        <v>0.90008742787324447</v>
      </c>
      <c r="G27" s="84">
        <f t="shared" si="1"/>
        <v>3.5621318285962763E-3</v>
      </c>
      <c r="H27" s="125">
        <f t="shared" si="0"/>
        <v>3.5185878587284639E-3</v>
      </c>
      <c r="I27" s="51">
        <f>I26*(1-'Table 3. Fixed Assumptions'!$C$22)</f>
        <v>1395.1355132035289</v>
      </c>
      <c r="J27" s="27">
        <f t="shared" si="2"/>
        <v>4.9696566167872911</v>
      </c>
      <c r="K27" s="27">
        <f t="shared" si="3"/>
        <v>4.9089068780388416</v>
      </c>
      <c r="L27" s="62">
        <f>IF(C27=0,0,1/(1+'Table 5. VOS Data Table'!$C$6)^A26)</f>
        <v>0.27393977716474194</v>
      </c>
      <c r="M27" s="27">
        <f t="shared" si="4"/>
        <v>1.3613866261879959</v>
      </c>
      <c r="N27" s="28">
        <f t="shared" si="5"/>
        <v>1.3447448562924293</v>
      </c>
      <c r="Q27" s="38"/>
      <c r="R27" s="2"/>
      <c r="S27" s="3"/>
    </row>
    <row r="28" spans="1:19" x14ac:dyDescent="0.3">
      <c r="A28">
        <v>23</v>
      </c>
      <c r="B28" s="308">
        <f t="shared" si="6"/>
        <v>2043</v>
      </c>
      <c r="C28" s="183">
        <f>'Table 11. Avoided Gen. Cap.'!C28</f>
        <v>60.747293334964219</v>
      </c>
      <c r="D28" s="75">
        <f t="shared" si="7"/>
        <v>8.8999999999999996E-2</v>
      </c>
      <c r="E28" s="64">
        <f>E27*(1-'Table 5. VOS Data Table'!$G$9)</f>
        <v>0.9782294672887405</v>
      </c>
      <c r="F28" s="64">
        <f>F27*(1-'Table 3. Fixed Assumptions'!$C$22)</f>
        <v>0.89558699073387826</v>
      </c>
      <c r="G28" s="84">
        <f t="shared" si="1"/>
        <v>3.5656975261223987E-3</v>
      </c>
      <c r="H28" s="125">
        <f t="shared" si="0"/>
        <v>3.5185878587284639E-3</v>
      </c>
      <c r="I28" s="51">
        <f>I27*(1-'Table 3. Fixed Assumptions'!$C$22)</f>
        <v>1388.1598356375114</v>
      </c>
      <c r="J28" s="27">
        <f t="shared" si="2"/>
        <v>4.9497580917951502</v>
      </c>
      <c r="K28" s="27">
        <f t="shared" si="3"/>
        <v>4.8843623436486476</v>
      </c>
      <c r="L28" s="62">
        <f>IF(C28=0,0,1/(1+'Table 5. VOS Data Table'!$C$6)^A27)</f>
        <v>0.25755902328388669</v>
      </c>
      <c r="M28" s="27">
        <f t="shared" si="4"/>
        <v>1.2748548596142737</v>
      </c>
      <c r="N28" s="28">
        <f t="shared" si="5"/>
        <v>1.2580115945947414</v>
      </c>
      <c r="Q28" s="38"/>
      <c r="R28" s="2"/>
      <c r="S28" s="3"/>
    </row>
    <row r="29" spans="1:19" x14ac:dyDescent="0.3">
      <c r="A29">
        <v>24</v>
      </c>
      <c r="B29" s="308">
        <f t="shared" si="6"/>
        <v>2044</v>
      </c>
      <c r="C29" s="183">
        <f>'Table 11. Avoided Gen. Cap.'!C29</f>
        <v>60.747293334964219</v>
      </c>
      <c r="D29" s="75">
        <f t="shared" si="7"/>
        <v>8.8999999999999996E-2</v>
      </c>
      <c r="E29" s="64">
        <f>E28*(1-'Table 5. VOS Data Table'!$G$9)</f>
        <v>0.97725123782145173</v>
      </c>
      <c r="F29" s="64">
        <f>F28*(1-'Table 3. Fixed Assumptions'!$C$22)</f>
        <v>0.89110905578020883</v>
      </c>
      <c r="G29" s="84">
        <f t="shared" si="1"/>
        <v>3.569266792915313E-3</v>
      </c>
      <c r="H29" s="125">
        <f t="shared" si="0"/>
        <v>3.5185878587284639E-3</v>
      </c>
      <c r="I29" s="51">
        <f>I28*(1-'Table 3. Fixed Assumptions'!$C$22)</f>
        <v>1381.2190364593239</v>
      </c>
      <c r="J29" s="27">
        <f t="shared" si="2"/>
        <v>4.9299392405767497</v>
      </c>
      <c r="K29" s="27">
        <f t="shared" si="3"/>
        <v>4.8599405319304045</v>
      </c>
      <c r="L29" s="62">
        <f>IF(C29=0,0,1/(1+'Table 5. VOS Data Table'!$C$6)^A28)</f>
        <v>0.24215778796905479</v>
      </c>
      <c r="M29" s="27">
        <f t="shared" si="4"/>
        <v>1.1938231813199076</v>
      </c>
      <c r="N29" s="28">
        <f t="shared" si="5"/>
        <v>1.1768724488734184</v>
      </c>
      <c r="Q29" s="38"/>
      <c r="R29" s="2"/>
      <c r="S29" s="3"/>
    </row>
    <row r="30" spans="1:19" x14ac:dyDescent="0.3">
      <c r="A30">
        <v>25</v>
      </c>
      <c r="B30" s="316">
        <f t="shared" si="6"/>
        <v>2045</v>
      </c>
      <c r="C30" s="184">
        <f>'Table 11. Avoided Gen. Cap.'!C30</f>
        <v>60.747293334964219</v>
      </c>
      <c r="D30" s="90">
        <f t="shared" si="7"/>
        <v>8.8999999999999996E-2</v>
      </c>
      <c r="E30" s="65">
        <f>E29*(1-'Table 5. VOS Data Table'!$G$9)</f>
        <v>0.97627398658363029</v>
      </c>
      <c r="F30" s="65">
        <f>F29*(1-'Table 3. Fixed Assumptions'!$C$22)</f>
        <v>0.88665351050130781</v>
      </c>
      <c r="G30" s="85">
        <f t="shared" si="1"/>
        <v>3.5728396325478613E-3</v>
      </c>
      <c r="H30" s="137">
        <f t="shared" si="0"/>
        <v>3.5185878587284639E-3</v>
      </c>
      <c r="I30" s="55">
        <f>I29*(1-'Table 3. Fixed Assumptions'!$C$22)</f>
        <v>1374.3129412770272</v>
      </c>
      <c r="J30" s="29">
        <f t="shared" si="2"/>
        <v>4.9101997441179845</v>
      </c>
      <c r="K30" s="29">
        <f t="shared" si="3"/>
        <v>4.8356408292707522</v>
      </c>
      <c r="L30" s="63">
        <f>IF(C30=0,0,1/(1+'Table 5. VOS Data Table'!$C$6)^A29)</f>
        <v>0.22767749903070209</v>
      </c>
      <c r="M30" s="29">
        <f t="shared" si="4"/>
        <v>1.117941997481976</v>
      </c>
      <c r="N30" s="30">
        <f t="shared" si="5"/>
        <v>1.1009666102191151</v>
      </c>
      <c r="Q30" s="38"/>
      <c r="R30" s="2"/>
      <c r="S30" s="3"/>
    </row>
    <row r="31" spans="1:19" ht="19.5" thickBot="1" x14ac:dyDescent="0.35">
      <c r="H31" s="125">
        <f>M32/(SUMPRODUCT(I6:I30,L6:L30))</f>
        <v>3.5185878587284639E-3</v>
      </c>
      <c r="R31" s="2"/>
      <c r="S31" s="3"/>
    </row>
    <row r="32" spans="1:19" ht="19.5" thickBot="1" x14ac:dyDescent="0.35">
      <c r="C32" s="71"/>
      <c r="D32" s="71"/>
      <c r="E32" s="39"/>
      <c r="F32" s="39"/>
      <c r="J32" s="79"/>
      <c r="K32" s="80"/>
      <c r="L32" s="58" t="s">
        <v>173</v>
      </c>
      <c r="M32" s="81">
        <f>SUM(M6:M30)</f>
        <v>68.5890932212032</v>
      </c>
      <c r="N32" s="82">
        <f>SUM(N6:N30)</f>
        <v>68.589093221203242</v>
      </c>
      <c r="Q32" s="39"/>
      <c r="R32" s="2"/>
      <c r="S32" s="3"/>
    </row>
    <row r="33" spans="14:19" x14ac:dyDescent="0.3">
      <c r="N33" s="4"/>
      <c r="R33" s="2"/>
      <c r="S33" s="3"/>
    </row>
    <row r="34" spans="14:19" x14ac:dyDescent="0.3">
      <c r="R34" s="2"/>
      <c r="S34" s="3"/>
    </row>
    <row r="35" spans="14:19" x14ac:dyDescent="0.3">
      <c r="R35" s="2"/>
      <c r="S35" s="3"/>
    </row>
    <row r="36" spans="14:19" x14ac:dyDescent="0.3">
      <c r="R36" s="2"/>
      <c r="S36" s="3"/>
    </row>
  </sheetData>
  <mergeCells count="3">
    <mergeCell ref="G3:H3"/>
    <mergeCell ref="J3:K3"/>
    <mergeCell ref="M3:N3"/>
  </mergeCells>
  <phoneticPr fontId="3" type="noConversion"/>
  <pageMargins left="0.75" right="0.75" top="1" bottom="1" header="0.5" footer="0.5"/>
  <pageSetup scale="72" orientation="landscape" r:id="rId1"/>
  <headerFooter alignWithMargins="0">
    <oddHeader>&amp;LNorthern States Power Company&amp;RDocket No. E002/M-13-867
Attachment A - 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5"/>
  </sheetPr>
  <dimension ref="A1:O35"/>
  <sheetViews>
    <sheetView view="pageBreakPreview" zoomScale="60" zoomScaleNormal="55" workbookViewId="0">
      <selection activeCell="W34" sqref="W34"/>
    </sheetView>
  </sheetViews>
  <sheetFormatPr defaultRowHeight="18.75" x14ac:dyDescent="0.3"/>
  <cols>
    <col min="1" max="1" width="3.5546875" customWidth="1"/>
    <col min="2" max="2" width="8.88671875" style="2"/>
    <col min="3" max="3" width="11.44140625" customWidth="1"/>
    <col min="4" max="5" width="14.5546875" style="2" customWidth="1"/>
    <col min="6" max="6" width="11.6640625" customWidth="1"/>
    <col min="7" max="7" width="9.44140625" bestFit="1" customWidth="1"/>
    <col min="8" max="8" width="11.5546875" style="2" customWidth="1"/>
    <col min="11" max="11" width="10.33203125" customWidth="1"/>
    <col min="14" max="14" width="20.33203125" customWidth="1"/>
  </cols>
  <sheetData>
    <row r="1" spans="1:15" ht="26.25" x14ac:dyDescent="0.4">
      <c r="B1" s="114" t="s">
        <v>23</v>
      </c>
      <c r="H1" s="31"/>
    </row>
    <row r="2" spans="1:15" x14ac:dyDescent="0.3">
      <c r="B2" s="1"/>
      <c r="C2" s="117"/>
      <c r="D2" s="116"/>
      <c r="E2" s="116"/>
      <c r="F2" s="117"/>
      <c r="G2" s="117"/>
      <c r="H2" s="344"/>
      <c r="I2" s="117"/>
      <c r="J2" s="117"/>
      <c r="K2" s="117"/>
      <c r="L2" s="117"/>
      <c r="M2" s="117"/>
    </row>
    <row r="3" spans="1:15" x14ac:dyDescent="0.3">
      <c r="B3" s="116"/>
      <c r="C3" s="117"/>
      <c r="D3" s="116"/>
      <c r="E3" s="116"/>
      <c r="F3" s="418" t="s">
        <v>157</v>
      </c>
      <c r="G3" s="419"/>
      <c r="H3" s="116"/>
      <c r="I3" s="418" t="s">
        <v>158</v>
      </c>
      <c r="J3" s="419"/>
      <c r="K3" s="117"/>
      <c r="L3" s="418" t="s">
        <v>159</v>
      </c>
      <c r="M3" s="419"/>
    </row>
    <row r="4" spans="1:15" ht="56.25" customHeight="1" x14ac:dyDescent="0.3">
      <c r="B4" s="19" t="s">
        <v>31</v>
      </c>
      <c r="C4" s="33" t="s">
        <v>178</v>
      </c>
      <c r="D4" s="33" t="s">
        <v>179</v>
      </c>
      <c r="E4" s="33" t="s">
        <v>180</v>
      </c>
      <c r="F4" s="32" t="s">
        <v>162</v>
      </c>
      <c r="G4" s="32" t="s">
        <v>163</v>
      </c>
      <c r="H4" s="33" t="s">
        <v>181</v>
      </c>
      <c r="I4" s="32" t="s">
        <v>165</v>
      </c>
      <c r="J4" s="32" t="s">
        <v>163</v>
      </c>
      <c r="K4" s="33" t="s">
        <v>32</v>
      </c>
      <c r="L4" s="34" t="s">
        <v>162</v>
      </c>
      <c r="M4" s="35" t="s">
        <v>163</v>
      </c>
    </row>
    <row r="5" spans="1:15" x14ac:dyDescent="0.3">
      <c r="B5" s="298"/>
      <c r="C5" s="215" t="s">
        <v>182</v>
      </c>
      <c r="D5" s="215" t="s">
        <v>183</v>
      </c>
      <c r="E5" s="215" t="s">
        <v>184</v>
      </c>
      <c r="F5" s="215" t="s">
        <v>169</v>
      </c>
      <c r="G5" s="215" t="s">
        <v>169</v>
      </c>
      <c r="H5" s="215" t="s">
        <v>170</v>
      </c>
      <c r="I5" s="299" t="s">
        <v>171</v>
      </c>
      <c r="J5" s="299" t="s">
        <v>171</v>
      </c>
      <c r="K5" s="345"/>
      <c r="L5" s="299" t="s">
        <v>171</v>
      </c>
      <c r="M5" s="299" t="s">
        <v>171</v>
      </c>
    </row>
    <row r="6" spans="1:15" ht="19.5" customHeight="1" x14ac:dyDescent="0.3">
      <c r="A6">
        <v>1</v>
      </c>
      <c r="B6" s="300">
        <f>'Table 5. VOS Data Table'!$C$5</f>
        <v>2021</v>
      </c>
      <c r="C6" s="346">
        <f>'Table 5. VOS Data Table'!C21</f>
        <v>49.978618920000002</v>
      </c>
      <c r="D6" s="328">
        <v>1</v>
      </c>
      <c r="E6" s="328">
        <v>1</v>
      </c>
      <c r="F6" s="303">
        <f>C6*(E6/D6)/H6</f>
        <v>3.2244270270967747E-2</v>
      </c>
      <c r="G6" s="173">
        <f t="shared" ref="G6:G30" si="0">IF(C6=0,0,$G$31)</f>
        <v>3.252637852886716E-2</v>
      </c>
      <c r="H6" s="304">
        <f>'Table 5. VOS Data Table'!C17</f>
        <v>1550</v>
      </c>
      <c r="I6" s="305">
        <f>H6*F6</f>
        <v>49.978618920000009</v>
      </c>
      <c r="J6" s="305">
        <f>H6*G6</f>
        <v>50.415886719744101</v>
      </c>
      <c r="K6" s="347">
        <f>IF(C6=0,0,1)</f>
        <v>1</v>
      </c>
      <c r="L6" s="305">
        <f>I6*K6</f>
        <v>49.978618920000009</v>
      </c>
      <c r="M6" s="307">
        <f>K6*J6</f>
        <v>50.415886719744101</v>
      </c>
      <c r="O6" s="38"/>
    </row>
    <row r="7" spans="1:15" x14ac:dyDescent="0.3">
      <c r="A7">
        <v>2</v>
      </c>
      <c r="B7" s="308">
        <f>B6+1</f>
        <v>2022</v>
      </c>
      <c r="C7" s="348">
        <f>C6</f>
        <v>49.978618920000002</v>
      </c>
      <c r="D7" s="331">
        <f>D6*(1-'Table 5. VOS Data Table'!$G$9)</f>
        <v>0.999</v>
      </c>
      <c r="E7" s="331">
        <f>E6*(1-'Table 3. Fixed Assumptions'!$C$22)</f>
        <v>0.995</v>
      </c>
      <c r="F7" s="311">
        <f t="shared" ref="F7:F30" si="1">C7*(E7/D7)/H7</f>
        <v>3.2276546817785523E-2</v>
      </c>
      <c r="G7" s="125">
        <f t="shared" si="0"/>
        <v>3.252637852886716E-2</v>
      </c>
      <c r="H7" s="312">
        <f>H6*(1-'Table 3. Fixed Assumptions'!$C$22)</f>
        <v>1542.25</v>
      </c>
      <c r="I7" s="313">
        <f t="shared" ref="I7:I30" si="2">H7*F7</f>
        <v>49.778504329729721</v>
      </c>
      <c r="J7" s="313">
        <f t="shared" ref="J7:J30" si="3">H7*G7</f>
        <v>50.163807286145378</v>
      </c>
      <c r="K7" s="349">
        <f>IF(C7=0,0,1/(1+'Table 5. VOS Data Table'!$C$6)^A6)</f>
        <v>0.94020308386611495</v>
      </c>
      <c r="L7" s="313">
        <f t="shared" ref="L7:L30" si="4">I7*K7</f>
        <v>46.801903281054642</v>
      </c>
      <c r="M7" s="315">
        <f t="shared" ref="M7:M30" si="5">K7*J7</f>
        <v>47.164166308899368</v>
      </c>
      <c r="O7" s="38"/>
    </row>
    <row r="8" spans="1:15" x14ac:dyDescent="0.3">
      <c r="A8">
        <v>3</v>
      </c>
      <c r="B8" s="308">
        <f t="shared" ref="B8:B30" si="6">B7+1</f>
        <v>2023</v>
      </c>
      <c r="C8" s="348">
        <f t="shared" ref="C8:C30" si="7">C7</f>
        <v>49.978618920000002</v>
      </c>
      <c r="D8" s="331">
        <f>D7*(1-'Table 5. VOS Data Table'!$G$9)</f>
        <v>0.99800100000000003</v>
      </c>
      <c r="E8" s="331">
        <f>E7*(1-'Table 3. Fixed Assumptions'!$C$22)</f>
        <v>0.99002500000000004</v>
      </c>
      <c r="F8" s="311">
        <f t="shared" si="1"/>
        <v>3.2308855673458987E-2</v>
      </c>
      <c r="G8" s="125">
        <f t="shared" si="0"/>
        <v>3.252637852886716E-2</v>
      </c>
      <c r="H8" s="312">
        <f>H7*(1-'Table 3. Fixed Assumptions'!$C$22)</f>
        <v>1534.5387499999999</v>
      </c>
      <c r="I8" s="313">
        <f t="shared" si="2"/>
        <v>49.579190999080161</v>
      </c>
      <c r="J8" s="313">
        <f t="shared" si="3"/>
        <v>49.912988249714651</v>
      </c>
      <c r="K8" s="349">
        <f>IF(C8=0,0,1/(1+'Table 5. VOS Data Table'!$C$6)^A7)</f>
        <v>0.88398183891135285</v>
      </c>
      <c r="L8" s="313">
        <f t="shared" si="4"/>
        <v>43.827104431104075</v>
      </c>
      <c r="M8" s="315">
        <f t="shared" si="5"/>
        <v>44.122175138543504</v>
      </c>
      <c r="O8" s="38"/>
    </row>
    <row r="9" spans="1:15" x14ac:dyDescent="0.3">
      <c r="A9">
        <v>4</v>
      </c>
      <c r="B9" s="308">
        <f t="shared" si="6"/>
        <v>2024</v>
      </c>
      <c r="C9" s="348">
        <f t="shared" si="7"/>
        <v>49.978618920000002</v>
      </c>
      <c r="D9" s="331">
        <f>D8*(1-'Table 5. VOS Data Table'!$G$9)</f>
        <v>0.997002999</v>
      </c>
      <c r="E9" s="331">
        <f>E8*(1-'Table 3. Fixed Assumptions'!$C$22)</f>
        <v>0.98507487500000002</v>
      </c>
      <c r="F9" s="311">
        <f t="shared" si="1"/>
        <v>3.2341196870329318E-2</v>
      </c>
      <c r="G9" s="125">
        <f t="shared" si="0"/>
        <v>3.252637852886716E-2</v>
      </c>
      <c r="H9" s="312">
        <f>H8*(1-'Table 3. Fixed Assumptions'!$C$22)</f>
        <v>1526.8660562499999</v>
      </c>
      <c r="I9" s="313">
        <f t="shared" si="2"/>
        <v>49.380675719804564</v>
      </c>
      <c r="J9" s="313">
        <f t="shared" si="3"/>
        <v>49.663423308466072</v>
      </c>
      <c r="K9" s="349">
        <f>IF(C9=0,0,1/(1+'Table 5. VOS Data Table'!$C$6)^A8)</f>
        <v>0.83112245102609328</v>
      </c>
      <c r="L9" s="313">
        <f t="shared" si="4"/>
        <v>41.041388237568661</v>
      </c>
      <c r="M9" s="315">
        <f t="shared" si="5"/>
        <v>41.276386106478732</v>
      </c>
      <c r="O9" s="38"/>
    </row>
    <row r="10" spans="1:15" x14ac:dyDescent="0.3">
      <c r="A10">
        <v>5</v>
      </c>
      <c r="B10" s="308">
        <f t="shared" si="6"/>
        <v>2025</v>
      </c>
      <c r="C10" s="348">
        <f t="shared" si="7"/>
        <v>49.978618920000002</v>
      </c>
      <c r="D10" s="331">
        <f>D9*(1-'Table 5. VOS Data Table'!$G$9)</f>
        <v>0.99600599600100004</v>
      </c>
      <c r="E10" s="331">
        <f>E9*(1-'Table 3. Fixed Assumptions'!$C$22)</f>
        <v>0.98014950062500006</v>
      </c>
      <c r="F10" s="311">
        <f t="shared" si="1"/>
        <v>3.2373570440770091E-2</v>
      </c>
      <c r="G10" s="125">
        <f t="shared" si="0"/>
        <v>3.252637852886716E-2</v>
      </c>
      <c r="H10" s="312">
        <f>H9*(1-'Table 3. Fixed Assumptions'!$C$22)</f>
        <v>1519.23172596875</v>
      </c>
      <c r="I10" s="313">
        <f t="shared" si="2"/>
        <v>49.182955296502051</v>
      </c>
      <c r="J10" s="313">
        <f t="shared" si="3"/>
        <v>49.415106191923748</v>
      </c>
      <c r="K10" s="349">
        <f>IF(C10=0,0,1/(1+'Table 5. VOS Data Table'!$C$6)^A9)</f>
        <v>0.78142389152509684</v>
      </c>
      <c r="L10" s="313">
        <f t="shared" si="4"/>
        <v>38.432736324497505</v>
      </c>
      <c r="M10" s="315">
        <f t="shared" si="5"/>
        <v>38.614144580618962</v>
      </c>
      <c r="O10" s="38"/>
    </row>
    <row r="11" spans="1:15" x14ac:dyDescent="0.3">
      <c r="A11">
        <v>6</v>
      </c>
      <c r="B11" s="308">
        <f t="shared" si="6"/>
        <v>2026</v>
      </c>
      <c r="C11" s="348">
        <f t="shared" si="7"/>
        <v>49.978618920000002</v>
      </c>
      <c r="D11" s="331">
        <f>D10*(1-'Table 5. VOS Data Table'!$G$9)</f>
        <v>0.99500999000499901</v>
      </c>
      <c r="E11" s="331">
        <f>E10*(1-'Table 3. Fixed Assumptions'!$C$22)</f>
        <v>0.97524875312187509</v>
      </c>
      <c r="F11" s="311">
        <f t="shared" si="1"/>
        <v>3.2405976417187281E-2</v>
      </c>
      <c r="G11" s="125">
        <f t="shared" si="0"/>
        <v>3.252637852886716E-2</v>
      </c>
      <c r="H11" s="312">
        <f>H10*(1-'Table 3. Fixed Assumptions'!$C$22)</f>
        <v>1511.6355673389062</v>
      </c>
      <c r="I11" s="313">
        <f t="shared" si="2"/>
        <v>48.986026546566109</v>
      </c>
      <c r="J11" s="313">
        <f t="shared" si="3"/>
        <v>49.168030660964128</v>
      </c>
      <c r="K11" s="349">
        <f>IF(C11=0,0,1/(1+'Table 5. VOS Data Table'!$C$6)^A10)</f>
        <v>0.7346971526185565</v>
      </c>
      <c r="L11" s="313">
        <f t="shared" si="4"/>
        <v>35.989894221859139</v>
      </c>
      <c r="M11" s="315">
        <f t="shared" si="5"/>
        <v>36.123612126472224</v>
      </c>
      <c r="O11" s="38"/>
    </row>
    <row r="12" spans="1:15" x14ac:dyDescent="0.3">
      <c r="A12">
        <v>7</v>
      </c>
      <c r="B12" s="308">
        <f t="shared" si="6"/>
        <v>2027</v>
      </c>
      <c r="C12" s="348">
        <f t="shared" si="7"/>
        <v>49.978618920000002</v>
      </c>
      <c r="D12" s="331">
        <f>D11*(1-'Table 5. VOS Data Table'!$G$9)</f>
        <v>0.994014980014994</v>
      </c>
      <c r="E12" s="331">
        <f>E11*(1-'Table 3. Fixed Assumptions'!$C$22)</f>
        <v>0.97037250935626573</v>
      </c>
      <c r="F12" s="311">
        <f t="shared" si="1"/>
        <v>3.2438414832019299E-2</v>
      </c>
      <c r="G12" s="125">
        <f t="shared" si="0"/>
        <v>3.252637852886716E-2</v>
      </c>
      <c r="H12" s="312">
        <f>H11*(1-'Table 3. Fixed Assumptions'!$C$22)</f>
        <v>1504.0773895022116</v>
      </c>
      <c r="I12" s="313">
        <f t="shared" si="2"/>
        <v>48.789886300133411</v>
      </c>
      <c r="J12" s="313">
        <f t="shared" si="3"/>
        <v>48.922190507659302</v>
      </c>
      <c r="K12" s="349">
        <f>IF(C12=0,0,1/(1+'Table 5. VOS Data Table'!$C$6)^A11)</f>
        <v>0.69076452859962056</v>
      </c>
      <c r="L12" s="313">
        <f t="shared" si="4"/>
        <v>33.702322810540743</v>
      </c>
      <c r="M12" s="315">
        <f t="shared" si="5"/>
        <v>33.793713864084111</v>
      </c>
      <c r="O12" s="38"/>
    </row>
    <row r="13" spans="1:15" x14ac:dyDescent="0.3">
      <c r="A13">
        <v>8</v>
      </c>
      <c r="B13" s="308">
        <f t="shared" si="6"/>
        <v>2028</v>
      </c>
      <c r="C13" s="348">
        <f t="shared" si="7"/>
        <v>49.978618920000002</v>
      </c>
      <c r="D13" s="331">
        <f>D12*(1-'Table 5. VOS Data Table'!$G$9)</f>
        <v>0.99302096503497905</v>
      </c>
      <c r="E13" s="331">
        <f>E12*(1-'Table 3. Fixed Assumptions'!$C$22)</f>
        <v>0.96552064680948435</v>
      </c>
      <c r="F13" s="311">
        <f t="shared" si="1"/>
        <v>3.2470885717737034E-2</v>
      </c>
      <c r="G13" s="125">
        <f t="shared" si="0"/>
        <v>3.252637852886716E-2</v>
      </c>
      <c r="H13" s="312">
        <f>H12*(1-'Table 3. Fixed Assumptions'!$C$22)</f>
        <v>1496.5570025547006</v>
      </c>
      <c r="I13" s="313">
        <f t="shared" si="2"/>
        <v>48.594531400032771</v>
      </c>
      <c r="J13" s="313">
        <f t="shared" si="3"/>
        <v>48.677579555121007</v>
      </c>
      <c r="K13" s="349">
        <f>IF(C13=0,0,1/(1+'Table 5. VOS Data Table'!$C$6)^A12)</f>
        <v>0.64945894001468651</v>
      </c>
      <c r="L13" s="313">
        <f t="shared" si="4"/>
        <v>31.560152853575683</v>
      </c>
      <c r="M13" s="315">
        <f t="shared" si="5"/>
        <v>31.614089220349463</v>
      </c>
      <c r="O13" s="38"/>
    </row>
    <row r="14" spans="1:15" x14ac:dyDescent="0.3">
      <c r="A14">
        <v>9</v>
      </c>
      <c r="B14" s="308">
        <f t="shared" si="6"/>
        <v>2029</v>
      </c>
      <c r="C14" s="348">
        <f t="shared" si="7"/>
        <v>49.978618920000002</v>
      </c>
      <c r="D14" s="331">
        <f>D13*(1-'Table 5. VOS Data Table'!$G$9)</f>
        <v>0.9920279440699441</v>
      </c>
      <c r="E14" s="331">
        <f>E13*(1-'Table 3. Fixed Assumptions'!$C$22)</f>
        <v>0.96069304357543694</v>
      </c>
      <c r="F14" s="311">
        <f t="shared" si="1"/>
        <v>3.2503389106843875E-2</v>
      </c>
      <c r="G14" s="125">
        <f t="shared" si="0"/>
        <v>3.252637852886716E-2</v>
      </c>
      <c r="H14" s="312">
        <f>H13*(1-'Table 3. Fixed Assumptions'!$C$22)</f>
        <v>1489.0742175419271</v>
      </c>
      <c r="I14" s="313">
        <f>H14*F14</f>
        <v>48.399958701734334</v>
      </c>
      <c r="J14" s="313">
        <f t="shared" si="3"/>
        <v>48.434191657345401</v>
      </c>
      <c r="K14" s="349">
        <f>IF(C14=0,0,1/(1+'Table 5. VOS Data Table'!$C$6)^A13)</f>
        <v>0.6106232982462263</v>
      </c>
      <c r="L14" s="313">
        <f t="shared" si="4"/>
        <v>29.554142417434161</v>
      </c>
      <c r="M14" s="315">
        <f t="shared" si="5"/>
        <v>29.575045857698107</v>
      </c>
      <c r="O14" s="38"/>
    </row>
    <row r="15" spans="1:15" x14ac:dyDescent="0.3">
      <c r="A15">
        <v>10</v>
      </c>
      <c r="B15" s="308">
        <f t="shared" si="6"/>
        <v>2030</v>
      </c>
      <c r="C15" s="348">
        <f t="shared" si="7"/>
        <v>49.978618920000002</v>
      </c>
      <c r="D15" s="331">
        <f>D14*(1-'Table 5. VOS Data Table'!$G$9)</f>
        <v>0.99103591612587416</v>
      </c>
      <c r="E15" s="331">
        <f>E14*(1-'Table 3. Fixed Assumptions'!$C$22)</f>
        <v>0.95588957835755972</v>
      </c>
      <c r="F15" s="311">
        <f t="shared" si="1"/>
        <v>3.2535925031875752E-2</v>
      </c>
      <c r="G15" s="125">
        <f t="shared" si="0"/>
        <v>3.252637852886716E-2</v>
      </c>
      <c r="H15" s="312">
        <f>H14*(1-'Table 3. Fixed Assumptions'!$C$22)</f>
        <v>1481.6288464542174</v>
      </c>
      <c r="I15" s="313">
        <f t="shared" si="2"/>
        <v>48.206165073298969</v>
      </c>
      <c r="J15" s="313">
        <f t="shared" si="3"/>
        <v>48.192020699058673</v>
      </c>
      <c r="K15" s="349">
        <f>IF(C15=0,0,1/(1+'Table 5. VOS Data Table'!$C$6)^A14)</f>
        <v>0.57410990809160045</v>
      </c>
      <c r="L15" s="313">
        <f t="shared" si="4"/>
        <v>27.67563699968019</v>
      </c>
      <c r="M15" s="315">
        <f t="shared" si="5"/>
        <v>27.667516574285081</v>
      </c>
      <c r="O15" s="38"/>
    </row>
    <row r="16" spans="1:15" x14ac:dyDescent="0.3">
      <c r="A16">
        <v>11</v>
      </c>
      <c r="B16" s="308">
        <f t="shared" si="6"/>
        <v>2031</v>
      </c>
      <c r="C16" s="348">
        <f t="shared" si="7"/>
        <v>49.978618920000002</v>
      </c>
      <c r="D16" s="331">
        <f>D15*(1-'Table 5. VOS Data Table'!$G$9)</f>
        <v>0.99004488020974823</v>
      </c>
      <c r="E16" s="331">
        <f>E15*(1-'Table 3. Fixed Assumptions'!$C$22)</f>
        <v>0.95111013046577186</v>
      </c>
      <c r="F16" s="311">
        <f t="shared" si="1"/>
        <v>3.256849352540115E-2</v>
      </c>
      <c r="G16" s="125">
        <f t="shared" si="0"/>
        <v>3.252637852886716E-2</v>
      </c>
      <c r="H16" s="312">
        <f>H15*(1-'Table 3. Fixed Assumptions'!$C$22)</f>
        <v>1474.2207022219463</v>
      </c>
      <c r="I16" s="313">
        <f t="shared" si="2"/>
        <v>48.013147395327799</v>
      </c>
      <c r="J16" s="313">
        <f t="shared" si="3"/>
        <v>47.951060595563384</v>
      </c>
      <c r="K16" s="349">
        <f>IF(C16=0,0,1/(1+'Table 5. VOS Data Table'!$C$6)^A15)</f>
        <v>0.5397799060658145</v>
      </c>
      <c r="L16" s="313">
        <f t="shared" si="4"/>
        <v>25.916532190974145</v>
      </c>
      <c r="M16" s="315">
        <f t="shared" si="5"/>
        <v>25.883018984029381</v>
      </c>
      <c r="O16" s="38"/>
    </row>
    <row r="17" spans="1:15" x14ac:dyDescent="0.3">
      <c r="A17">
        <v>12</v>
      </c>
      <c r="B17" s="308">
        <f t="shared" si="6"/>
        <v>2032</v>
      </c>
      <c r="C17" s="348">
        <f t="shared" si="7"/>
        <v>49.978618920000002</v>
      </c>
      <c r="D17" s="331">
        <f>D16*(1-'Table 5. VOS Data Table'!$G$9)</f>
        <v>0.98905483532953853</v>
      </c>
      <c r="E17" s="331">
        <f>E16*(1-'Table 3. Fixed Assumptions'!$C$22)</f>
        <v>0.94635457981344295</v>
      </c>
      <c r="F17" s="311">
        <f t="shared" si="1"/>
        <v>3.260109462002117E-2</v>
      </c>
      <c r="G17" s="125">
        <f t="shared" si="0"/>
        <v>3.252637852886716E-2</v>
      </c>
      <c r="H17" s="312">
        <f>H16*(1-'Table 3. Fixed Assumptions'!$C$22)</f>
        <v>1466.8495987108365</v>
      </c>
      <c r="I17" s="313">
        <f t="shared" si="2"/>
        <v>47.820902560912067</v>
      </c>
      <c r="J17" s="313">
        <f t="shared" si="3"/>
        <v>47.711305292585564</v>
      </c>
      <c r="K17" s="349">
        <f>IF(C17=0,0,1/(1+'Table 5. VOS Data Table'!$C$6)^A16)</f>
        <v>0.50750273229204079</v>
      </c>
      <c r="L17" s="313">
        <f t="shared" si="4"/>
        <v>24.269238710334324</v>
      </c>
      <c r="M17" s="315">
        <f t="shared" si="5"/>
        <v>24.213617797206879</v>
      </c>
      <c r="O17" s="38"/>
    </row>
    <row r="18" spans="1:15" x14ac:dyDescent="0.3">
      <c r="A18">
        <v>13</v>
      </c>
      <c r="B18" s="308">
        <f t="shared" si="6"/>
        <v>2033</v>
      </c>
      <c r="C18" s="348">
        <f t="shared" si="7"/>
        <v>49.978618920000002</v>
      </c>
      <c r="D18" s="331">
        <f>D17*(1-'Table 5. VOS Data Table'!$G$9)</f>
        <v>0.98806578049420901</v>
      </c>
      <c r="E18" s="331">
        <f>E17*(1-'Table 3. Fixed Assumptions'!$C$22)</f>
        <v>0.94162280691437572</v>
      </c>
      <c r="F18" s="311">
        <f t="shared" si="1"/>
        <v>3.2633728348369549E-2</v>
      </c>
      <c r="G18" s="125">
        <f t="shared" si="0"/>
        <v>3.252637852886716E-2</v>
      </c>
      <c r="H18" s="312">
        <f>H17*(1-'Table 3. Fixed Assumptions'!$C$22)</f>
        <v>1459.5153507172822</v>
      </c>
      <c r="I18" s="313">
        <f t="shared" si="2"/>
        <v>47.6294274755831</v>
      </c>
      <c r="J18" s="313">
        <f t="shared" si="3"/>
        <v>47.472748766122628</v>
      </c>
      <c r="K18" s="349">
        <f>IF(C18=0,0,1/(1+'Table 5. VOS Data Table'!$C$6)^A17)</f>
        <v>0.47715563397145594</v>
      </c>
      <c r="L18" s="313">
        <f t="shared" si="4"/>
        <v>22.726649662809336</v>
      </c>
      <c r="M18" s="315">
        <f t="shared" si="5"/>
        <v>22.651889533866896</v>
      </c>
      <c r="O18" s="38"/>
    </row>
    <row r="19" spans="1:15" x14ac:dyDescent="0.3">
      <c r="A19">
        <v>14</v>
      </c>
      <c r="B19" s="308">
        <f t="shared" si="6"/>
        <v>2034</v>
      </c>
      <c r="C19" s="348">
        <f t="shared" si="7"/>
        <v>49.978618920000002</v>
      </c>
      <c r="D19" s="331">
        <f>D18*(1-'Table 5. VOS Data Table'!$G$9)</f>
        <v>0.98707771471371475</v>
      </c>
      <c r="E19" s="331">
        <f>E18*(1-'Table 3. Fixed Assumptions'!$C$22)</f>
        <v>0.93691469287980389</v>
      </c>
      <c r="F19" s="311">
        <f t="shared" si="1"/>
        <v>3.2666394743112656E-2</v>
      </c>
      <c r="G19" s="125">
        <f t="shared" si="0"/>
        <v>3.252637852886716E-2</v>
      </c>
      <c r="H19" s="312">
        <f>H18*(1-'Table 3. Fixed Assumptions'!$C$22)</f>
        <v>1452.2177739636959</v>
      </c>
      <c r="I19" s="313">
        <f t="shared" si="2"/>
        <v>47.438719057262439</v>
      </c>
      <c r="J19" s="313">
        <f t="shared" si="3"/>
        <v>47.235385022292022</v>
      </c>
      <c r="K19" s="349">
        <f>IF(C19=0,0,1/(1+'Table 5. VOS Data Table'!$C$6)^A18)</f>
        <v>0.44862319854405402</v>
      </c>
      <c r="L19" s="313">
        <f t="shared" si="4"/>
        <v>21.282109878301846</v>
      </c>
      <c r="M19" s="315">
        <f t="shared" si="5"/>
        <v>21.190889513160549</v>
      </c>
      <c r="O19" s="38"/>
    </row>
    <row r="20" spans="1:15" x14ac:dyDescent="0.3">
      <c r="A20">
        <v>15</v>
      </c>
      <c r="B20" s="308">
        <f t="shared" si="6"/>
        <v>2035</v>
      </c>
      <c r="C20" s="348">
        <f t="shared" si="7"/>
        <v>49.978618920000002</v>
      </c>
      <c r="D20" s="331">
        <f>D19*(1-'Table 5. VOS Data Table'!$G$9)</f>
        <v>0.98609063699900101</v>
      </c>
      <c r="E20" s="331">
        <f>E19*(1-'Table 3. Fixed Assumptions'!$C$22)</f>
        <v>0.9322301194154049</v>
      </c>
      <c r="F20" s="311">
        <f t="shared" si="1"/>
        <v>3.2699093836949605E-2</v>
      </c>
      <c r="G20" s="125">
        <f t="shared" si="0"/>
        <v>3.252637852886716E-2</v>
      </c>
      <c r="H20" s="312">
        <f>H19*(1-'Table 3. Fixed Assumptions'!$C$22)</f>
        <v>1444.9566850938775</v>
      </c>
      <c r="I20" s="313">
        <f t="shared" si="2"/>
        <v>47.248774236212341</v>
      </c>
      <c r="J20" s="313">
        <f t="shared" si="3"/>
        <v>46.999208097180563</v>
      </c>
      <c r="K20" s="349">
        <f>IF(C20=0,0,1/(1+'Table 5. VOS Data Table'!$C$6)^A19)</f>
        <v>0.42179691476499998</v>
      </c>
      <c r="L20" s="313">
        <f t="shared" si="4"/>
        <v>19.929387199262383</v>
      </c>
      <c r="M20" s="315">
        <f t="shared" si="5"/>
        <v>19.824120971788968</v>
      </c>
      <c r="O20" s="38"/>
    </row>
    <row r="21" spans="1:15" x14ac:dyDescent="0.3">
      <c r="A21">
        <v>16</v>
      </c>
      <c r="B21" s="308">
        <f t="shared" si="6"/>
        <v>2036</v>
      </c>
      <c r="C21" s="348">
        <f t="shared" si="7"/>
        <v>49.978618920000002</v>
      </c>
      <c r="D21" s="331">
        <f>D20*(1-'Table 5. VOS Data Table'!$G$9)</f>
        <v>0.98510454636200206</v>
      </c>
      <c r="E21" s="331">
        <f>E20*(1-'Table 3. Fixed Assumptions'!$C$22)</f>
        <v>0.92756896881832784</v>
      </c>
      <c r="F21" s="311">
        <f t="shared" si="1"/>
        <v>3.2731825662612221E-2</v>
      </c>
      <c r="G21" s="125">
        <f t="shared" si="0"/>
        <v>3.252637852886716E-2</v>
      </c>
      <c r="H21" s="312">
        <f>H20*(1-'Table 3. Fixed Assumptions'!$C$22)</f>
        <v>1437.731901668408</v>
      </c>
      <c r="I21" s="313">
        <f t="shared" si="2"/>
        <v>47.059589954986265</v>
      </c>
      <c r="J21" s="313">
        <f t="shared" si="3"/>
        <v>46.76421205669466</v>
      </c>
      <c r="K21" s="349">
        <f>IF(C21=0,0,1/(1+'Table 5. VOS Data Table'!$C$6)^A20)</f>
        <v>0.39657476002726588</v>
      </c>
      <c r="L21" s="313">
        <f t="shared" si="4"/>
        <v>18.662645593380208</v>
      </c>
      <c r="M21" s="315">
        <f t="shared" si="5"/>
        <v>18.545506174247858</v>
      </c>
      <c r="O21" s="38"/>
    </row>
    <row r="22" spans="1:15" x14ac:dyDescent="0.3">
      <c r="A22">
        <v>17</v>
      </c>
      <c r="B22" s="308">
        <f t="shared" si="6"/>
        <v>2037</v>
      </c>
      <c r="C22" s="348">
        <f t="shared" si="7"/>
        <v>49.978618920000002</v>
      </c>
      <c r="D22" s="331">
        <f>D21*(1-'Table 5. VOS Data Table'!$G$9)</f>
        <v>0.98411944181564004</v>
      </c>
      <c r="E22" s="331">
        <f>E21*(1-'Table 3. Fixed Assumptions'!$C$22)</f>
        <v>0.92293112397423616</v>
      </c>
      <c r="F22" s="311">
        <f t="shared" si="1"/>
        <v>3.2764590252865079E-2</v>
      </c>
      <c r="G22" s="125">
        <f t="shared" si="0"/>
        <v>3.252637852886716E-2</v>
      </c>
      <c r="H22" s="312">
        <f>H21*(1-'Table 3. Fixed Assumptions'!$C$22)</f>
        <v>1430.543242160066</v>
      </c>
      <c r="I22" s="313">
        <f t="shared" si="2"/>
        <v>46.871163168379709</v>
      </c>
      <c r="J22" s="313">
        <f t="shared" si="3"/>
        <v>46.530390996411185</v>
      </c>
      <c r="K22" s="349">
        <f>IF(C22=0,0,1/(1+'Table 5. VOS Data Table'!$C$6)^A21)</f>
        <v>0.3728608123610998</v>
      </c>
      <c r="L22" s="313">
        <f t="shared" si="4"/>
        <v>17.476419975271718</v>
      </c>
      <c r="M22" s="315">
        <f t="shared" si="5"/>
        <v>17.349359386401478</v>
      </c>
      <c r="O22" s="38"/>
    </row>
    <row r="23" spans="1:15" x14ac:dyDescent="0.3">
      <c r="A23">
        <v>18</v>
      </c>
      <c r="B23" s="308">
        <f t="shared" si="6"/>
        <v>2038</v>
      </c>
      <c r="C23" s="348">
        <f t="shared" si="7"/>
        <v>49.978618920000002</v>
      </c>
      <c r="D23" s="331">
        <f>D22*(1-'Table 5. VOS Data Table'!$G$9)</f>
        <v>0.98313532237382439</v>
      </c>
      <c r="E23" s="331">
        <f>E22*(1-'Table 3. Fixed Assumptions'!$C$22)</f>
        <v>0.91831646835436498</v>
      </c>
      <c r="F23" s="311">
        <f t="shared" si="1"/>
        <v>3.2797387640505583E-2</v>
      </c>
      <c r="G23" s="125">
        <f t="shared" si="0"/>
        <v>3.252637852886716E-2</v>
      </c>
      <c r="H23" s="312">
        <f>H22*(1-'Table 3. Fixed Assumptions'!$C$22)</f>
        <v>1423.3905259492658</v>
      </c>
      <c r="I23" s="313">
        <f t="shared" si="2"/>
        <v>46.683490843381193</v>
      </c>
      <c r="J23" s="313">
        <f t="shared" si="3"/>
        <v>46.297739041429132</v>
      </c>
      <c r="K23" s="349">
        <f>IF(C23=0,0,1/(1+'Table 5. VOS Data Table'!$C$6)^A22)</f>
        <v>0.35056488563473087</v>
      </c>
      <c r="L23" s="313">
        <f t="shared" si="4"/>
        <v>16.365592628539932</v>
      </c>
      <c r="M23" s="315">
        <f t="shared" si="5"/>
        <v>16.230361592205217</v>
      </c>
      <c r="O23" s="38"/>
    </row>
    <row r="24" spans="1:15" x14ac:dyDescent="0.3">
      <c r="A24">
        <v>19</v>
      </c>
      <c r="B24" s="308">
        <f t="shared" si="6"/>
        <v>2039</v>
      </c>
      <c r="C24" s="348">
        <f t="shared" si="7"/>
        <v>49.978618920000002</v>
      </c>
      <c r="D24" s="331">
        <f>D23*(1-'Table 5. VOS Data Table'!$G$9)</f>
        <v>0.98215218705145058</v>
      </c>
      <c r="E24" s="331">
        <f>E23*(1-'Table 3. Fixed Assumptions'!$C$22)</f>
        <v>0.91372488601259316</v>
      </c>
      <c r="F24" s="311">
        <f t="shared" si="1"/>
        <v>3.2830217858363951E-2</v>
      </c>
      <c r="G24" s="125">
        <f t="shared" si="0"/>
        <v>3.252637852886716E-2</v>
      </c>
      <c r="H24" s="312">
        <f>H23*(1-'Table 3. Fixed Assumptions'!$C$22)</f>
        <v>1416.2735733195195</v>
      </c>
      <c r="I24" s="313">
        <f t="shared" si="2"/>
        <v>46.49656995912342</v>
      </c>
      <c r="J24" s="313">
        <f t="shared" si="3"/>
        <v>46.066250346221992</v>
      </c>
      <c r="K24" s="349">
        <f>IF(C24=0,0,1/(1+'Table 5. VOS Data Table'!$C$6)^A23)</f>
        <v>0.32960218656894585</v>
      </c>
      <c r="L24" s="313">
        <f t="shared" si="4"/>
        <v>15.32537112648304</v>
      </c>
      <c r="M24" s="315">
        <f t="shared" si="5"/>
        <v>15.183536841147227</v>
      </c>
      <c r="O24" s="38"/>
    </row>
    <row r="25" spans="1:15" x14ac:dyDescent="0.3">
      <c r="A25">
        <v>20</v>
      </c>
      <c r="B25" s="308">
        <f t="shared" si="6"/>
        <v>2040</v>
      </c>
      <c r="C25" s="348">
        <f t="shared" si="7"/>
        <v>49.978618920000002</v>
      </c>
      <c r="D25" s="331">
        <f>D24*(1-'Table 5. VOS Data Table'!$G$9)</f>
        <v>0.98117003486439913</v>
      </c>
      <c r="E25" s="331">
        <f>E24*(1-'Table 3. Fixed Assumptions'!$C$22)</f>
        <v>0.90915626158253016</v>
      </c>
      <c r="F25" s="311">
        <f t="shared" si="1"/>
        <v>3.2863080939303249E-2</v>
      </c>
      <c r="G25" s="125">
        <f t="shared" si="0"/>
        <v>3.252637852886716E-2</v>
      </c>
      <c r="H25" s="312">
        <f>H24*(1-'Table 3. Fixed Assumptions'!$C$22)</f>
        <v>1409.1922054529218</v>
      </c>
      <c r="I25" s="313">
        <f t="shared" si="2"/>
        <v>46.310397506834626</v>
      </c>
      <c r="J25" s="313">
        <f t="shared" si="3"/>
        <v>45.835919094490876</v>
      </c>
      <c r="K25" s="349">
        <f>IF(C25=0,0,1/(1+'Table 5. VOS Data Table'!$C$6)^A24)</f>
        <v>0.30989299226113753</v>
      </c>
      <c r="L25" s="313">
        <f t="shared" si="4"/>
        <v>14.351267656195706</v>
      </c>
      <c r="M25" s="315">
        <f t="shared" si="5"/>
        <v>14.204230121231188</v>
      </c>
      <c r="O25" s="38"/>
    </row>
    <row r="26" spans="1:15" x14ac:dyDescent="0.3">
      <c r="A26">
        <v>21</v>
      </c>
      <c r="B26" s="308">
        <f t="shared" si="6"/>
        <v>2041</v>
      </c>
      <c r="C26" s="348">
        <f t="shared" si="7"/>
        <v>49.978618920000002</v>
      </c>
      <c r="D26" s="331">
        <f>D25*(1-'Table 5. VOS Data Table'!$G$9)</f>
        <v>0.98018886482953471</v>
      </c>
      <c r="E26" s="331">
        <f>E25*(1-'Table 3. Fixed Assumptions'!$C$22)</f>
        <v>0.90461048027461755</v>
      </c>
      <c r="F26" s="311">
        <f t="shared" si="1"/>
        <v>3.2895976916219469E-2</v>
      </c>
      <c r="G26" s="125">
        <f t="shared" si="0"/>
        <v>3.252637852886716E-2</v>
      </c>
      <c r="H26" s="312">
        <f>H25*(1-'Table 3. Fixed Assumptions'!$C$22)</f>
        <v>1402.1462444256572</v>
      </c>
      <c r="I26" s="313">
        <f t="shared" si="2"/>
        <v>46.124970489790243</v>
      </c>
      <c r="J26" s="313">
        <f t="shared" si="3"/>
        <v>45.606739499018424</v>
      </c>
      <c r="K26" s="349">
        <f>IF(C26=0,0,1/(1+'Table 5. VOS Data Table'!$C$6)^A25)</f>
        <v>0.29136234699241953</v>
      </c>
      <c r="L26" s="313">
        <f t="shared" si="4"/>
        <v>13.439079656861376</v>
      </c>
      <c r="M26" s="315">
        <f t="shared" si="5"/>
        <v>13.288086659105891</v>
      </c>
      <c r="O26" s="38"/>
    </row>
    <row r="27" spans="1:15" x14ac:dyDescent="0.3">
      <c r="A27">
        <v>22</v>
      </c>
      <c r="B27" s="308">
        <f t="shared" si="6"/>
        <v>2042</v>
      </c>
      <c r="C27" s="348">
        <f t="shared" si="7"/>
        <v>49.978618920000002</v>
      </c>
      <c r="D27" s="331">
        <f>D26*(1-'Table 5. VOS Data Table'!$G$9)</f>
        <v>0.97920867596470518</v>
      </c>
      <c r="E27" s="331">
        <f>E26*(1-'Table 3. Fixed Assumptions'!$C$22)</f>
        <v>0.90008742787324447</v>
      </c>
      <c r="F27" s="311">
        <f t="shared" si="1"/>
        <v>3.2928905822041513E-2</v>
      </c>
      <c r="G27" s="125">
        <f t="shared" si="0"/>
        <v>3.252637852886716E-2</v>
      </c>
      <c r="H27" s="312">
        <f>H26*(1-'Table 3. Fixed Assumptions'!$C$22)</f>
        <v>1395.1355132035289</v>
      </c>
      <c r="I27" s="313">
        <f t="shared" si="2"/>
        <v>45.940285923264561</v>
      </c>
      <c r="J27" s="313">
        <f t="shared" si="3"/>
        <v>45.378705801523331</v>
      </c>
      <c r="K27" s="349">
        <f>IF(C27=0,0,1/(1+'Table 5. VOS Data Table'!$C$6)^A26)</f>
        <v>0.27393977716474194</v>
      </c>
      <c r="L27" s="313">
        <f t="shared" si="4"/>
        <v>12.584871688703625</v>
      </c>
      <c r="M27" s="315">
        <f t="shared" si="5"/>
        <v>12.431032555293683</v>
      </c>
      <c r="O27" s="38"/>
    </row>
    <row r="28" spans="1:15" x14ac:dyDescent="0.3">
      <c r="A28">
        <v>23</v>
      </c>
      <c r="B28" s="308">
        <f t="shared" si="6"/>
        <v>2043</v>
      </c>
      <c r="C28" s="348">
        <f t="shared" si="7"/>
        <v>49.978618920000002</v>
      </c>
      <c r="D28" s="331">
        <f>D27*(1-'Table 5. VOS Data Table'!$G$9)</f>
        <v>0.9782294672887405</v>
      </c>
      <c r="E28" s="331">
        <f>E27*(1-'Table 3. Fixed Assumptions'!$C$22)</f>
        <v>0.89558699073387826</v>
      </c>
      <c r="F28" s="311">
        <f t="shared" si="1"/>
        <v>3.2961867689731243E-2</v>
      </c>
      <c r="G28" s="125">
        <f t="shared" si="0"/>
        <v>3.252637852886716E-2</v>
      </c>
      <c r="H28" s="312">
        <f>H27*(1-'Table 3. Fixed Assumptions'!$C$22)</f>
        <v>1388.1598356375114</v>
      </c>
      <c r="I28" s="313">
        <f t="shared" si="2"/>
        <v>45.756340834482721</v>
      </c>
      <c r="J28" s="313">
        <f t="shared" si="3"/>
        <v>45.151812272515713</v>
      </c>
      <c r="K28" s="349">
        <f>IF(C28=0,0,1/(1+'Table 5. VOS Data Table'!$C$6)^A27)</f>
        <v>0.25755902328388669</v>
      </c>
      <c r="L28" s="313">
        <f t="shared" si="4"/>
        <v>11.78495845437399</v>
      </c>
      <c r="M28" s="315">
        <f t="shared" si="5"/>
        <v>11.629256668406555</v>
      </c>
      <c r="O28" s="38"/>
    </row>
    <row r="29" spans="1:15" x14ac:dyDescent="0.3">
      <c r="A29">
        <v>24</v>
      </c>
      <c r="B29" s="308">
        <f t="shared" si="6"/>
        <v>2044</v>
      </c>
      <c r="C29" s="348">
        <f t="shared" si="7"/>
        <v>49.978618920000002</v>
      </c>
      <c r="D29" s="331">
        <f>D28*(1-'Table 5. VOS Data Table'!$G$9)</f>
        <v>0.97725123782145173</v>
      </c>
      <c r="E29" s="331">
        <f>E28*(1-'Table 3. Fixed Assumptions'!$C$22)</f>
        <v>0.89110905578020883</v>
      </c>
      <c r="F29" s="311">
        <f t="shared" si="1"/>
        <v>3.2994862552283524E-2</v>
      </c>
      <c r="G29" s="125">
        <f t="shared" si="0"/>
        <v>3.252637852886716E-2</v>
      </c>
      <c r="H29" s="312">
        <f>H28*(1-'Table 3. Fixed Assumptions'!$C$22)</f>
        <v>1381.2190364593239</v>
      </c>
      <c r="I29" s="313">
        <f t="shared" si="2"/>
        <v>45.573132262572877</v>
      </c>
      <c r="J29" s="313">
        <f t="shared" si="3"/>
        <v>44.926053211153139</v>
      </c>
      <c r="K29" s="349">
        <f>IF(C29=0,0,1/(1+'Table 5. VOS Data Table'!$C$6)^A28)</f>
        <v>0.24215778796905479</v>
      </c>
      <c r="L29" s="313">
        <f t="shared" si="4"/>
        <v>11.035888899525814</v>
      </c>
      <c r="M29" s="315">
        <f t="shared" si="5"/>
        <v>10.879193667792896</v>
      </c>
      <c r="O29" s="38"/>
    </row>
    <row r="30" spans="1:15" x14ac:dyDescent="0.3">
      <c r="A30">
        <v>25</v>
      </c>
      <c r="B30" s="316">
        <f t="shared" si="6"/>
        <v>2045</v>
      </c>
      <c r="C30" s="350">
        <f t="shared" si="7"/>
        <v>49.978618920000002</v>
      </c>
      <c r="D30" s="334">
        <f>D29*(1-'Table 5. VOS Data Table'!$G$9)</f>
        <v>0.97627398658363029</v>
      </c>
      <c r="E30" s="334">
        <f>E29*(1-'Table 3. Fixed Assumptions'!$C$22)</f>
        <v>0.88665351050130781</v>
      </c>
      <c r="F30" s="319">
        <f t="shared" si="1"/>
        <v>3.3027890442726249E-2</v>
      </c>
      <c r="G30" s="137">
        <f t="shared" si="0"/>
        <v>3.252637852886716E-2</v>
      </c>
      <c r="H30" s="320">
        <f>H29*(1-'Table 3. Fixed Assumptions'!$C$22)</f>
        <v>1374.3129412770272</v>
      </c>
      <c r="I30" s="321">
        <f t="shared" si="2"/>
        <v>45.39065725851853</v>
      </c>
      <c r="J30" s="321">
        <f t="shared" si="3"/>
        <v>44.70142294509737</v>
      </c>
      <c r="K30" s="351">
        <f>IF(C30=0,0,1/(1+'Table 5. VOS Data Table'!$C$6)^A29)</f>
        <v>0.22767749903070209</v>
      </c>
      <c r="L30" s="321">
        <f t="shared" si="4"/>
        <v>10.334431323979283</v>
      </c>
      <c r="M30" s="323">
        <f t="shared" si="5"/>
        <v>10.17750817925341</v>
      </c>
      <c r="O30" s="38"/>
    </row>
    <row r="31" spans="1:15" ht="19.5" thickBot="1" x14ac:dyDescent="0.35">
      <c r="B31" s="116"/>
      <c r="C31" s="117"/>
      <c r="D31" s="116"/>
      <c r="E31" s="116"/>
      <c r="F31" s="117"/>
      <c r="G31" s="125">
        <f>L32/(SUMPRODUCT(H6:H30,K6:K30))</f>
        <v>3.252637852886716E-2</v>
      </c>
      <c r="H31" s="116"/>
      <c r="I31" s="117"/>
      <c r="J31" s="117"/>
      <c r="K31" s="117"/>
      <c r="L31" s="117"/>
      <c r="M31" s="117"/>
    </row>
    <row r="32" spans="1:15" ht="19.5" thickBot="1" x14ac:dyDescent="0.35">
      <c r="B32" s="116"/>
      <c r="C32" s="352"/>
      <c r="D32" s="353"/>
      <c r="E32" s="353"/>
      <c r="F32" s="117"/>
      <c r="G32" s="354"/>
      <c r="H32" s="116"/>
      <c r="I32" s="355"/>
      <c r="J32" s="356"/>
      <c r="K32" s="58" t="s">
        <v>173</v>
      </c>
      <c r="L32" s="357">
        <f>SUM(L6:L30)</f>
        <v>634.04834514231152</v>
      </c>
      <c r="M32" s="358">
        <f>SUM(M6:M30)</f>
        <v>634.04834514231175</v>
      </c>
      <c r="O32" s="39"/>
    </row>
    <row r="33" spans="12:13" x14ac:dyDescent="0.3">
      <c r="M33" s="4"/>
    </row>
    <row r="35" spans="12:13" x14ac:dyDescent="0.3">
      <c r="L35" s="4"/>
    </row>
  </sheetData>
  <mergeCells count="3">
    <mergeCell ref="F3:G3"/>
    <mergeCell ref="I3:J3"/>
    <mergeCell ref="L3:M3"/>
  </mergeCells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L19"/>
  <sheetViews>
    <sheetView view="pageBreakPreview" zoomScale="80" zoomScaleNormal="100" zoomScaleSheetLayoutView="80" workbookViewId="0">
      <selection activeCell="W34" sqref="W34"/>
    </sheetView>
  </sheetViews>
  <sheetFormatPr defaultColWidth="6.21875" defaultRowHeight="11.25" x14ac:dyDescent="0.2"/>
  <cols>
    <col min="1" max="2" width="6.21875" style="141" customWidth="1"/>
    <col min="3" max="3" width="21" style="141" customWidth="1"/>
    <col min="4" max="4" width="17.109375" style="141" customWidth="1"/>
    <col min="5" max="5" width="14.21875" style="141" customWidth="1"/>
    <col min="6" max="6" width="15.21875" style="141" customWidth="1"/>
    <col min="7" max="7" width="14.21875" style="141" customWidth="1"/>
    <col min="8" max="8" width="17.21875" style="141" customWidth="1"/>
    <col min="9" max="9" width="16.77734375" style="141" customWidth="1"/>
    <col min="10" max="10" width="15.44140625" style="141" customWidth="1"/>
    <col min="11" max="11" width="19.44140625" style="141" customWidth="1"/>
    <col min="12" max="12" width="10.21875" style="141" customWidth="1"/>
    <col min="13" max="16384" width="6.21875" style="141"/>
  </cols>
  <sheetData>
    <row r="3" spans="1:12" ht="26.25" x14ac:dyDescent="0.4">
      <c r="A3" s="359"/>
      <c r="B3" s="114" t="s">
        <v>195</v>
      </c>
      <c r="C3" s="359"/>
      <c r="D3" s="359"/>
      <c r="E3" s="360"/>
      <c r="F3" s="360"/>
      <c r="G3" s="360"/>
      <c r="H3" s="360"/>
      <c r="I3" s="359"/>
      <c r="J3" s="359"/>
      <c r="K3" s="359"/>
      <c r="L3" s="359"/>
    </row>
    <row r="4" spans="1:12" ht="28.5" customHeight="1" x14ac:dyDescent="0.2">
      <c r="A4" s="359"/>
      <c r="B4" s="359"/>
      <c r="C4" s="359"/>
      <c r="D4" s="423"/>
      <c r="E4" s="423"/>
      <c r="F4" s="423"/>
      <c r="G4" s="423"/>
      <c r="H4" s="423"/>
      <c r="I4" s="359"/>
      <c r="J4" s="359"/>
      <c r="K4" s="359"/>
      <c r="L4" s="359"/>
    </row>
    <row r="5" spans="1:12" ht="38.25" customHeight="1" x14ac:dyDescent="0.3">
      <c r="A5" s="359"/>
      <c r="B5" s="147" t="s">
        <v>31</v>
      </c>
      <c r="C5" s="361"/>
      <c r="D5" s="142" t="s">
        <v>196</v>
      </c>
      <c r="E5" s="143" t="s">
        <v>197</v>
      </c>
      <c r="F5" s="144" t="s">
        <v>198</v>
      </c>
      <c r="G5" s="143"/>
      <c r="H5" s="145"/>
      <c r="I5" s="362"/>
      <c r="J5" s="363"/>
      <c r="K5" s="359"/>
      <c r="L5" s="359"/>
    </row>
    <row r="6" spans="1:12" ht="17.25" customHeight="1" x14ac:dyDescent="0.3">
      <c r="A6" s="359"/>
      <c r="B6" s="364"/>
      <c r="C6" s="365"/>
      <c r="D6" s="366" t="s">
        <v>199</v>
      </c>
      <c r="E6" s="366" t="s">
        <v>194</v>
      </c>
      <c r="F6" s="367" t="s">
        <v>199</v>
      </c>
      <c r="G6" s="368"/>
      <c r="H6" s="366"/>
      <c r="I6" s="362"/>
      <c r="J6" s="363"/>
      <c r="K6" s="359"/>
      <c r="L6" s="359"/>
    </row>
    <row r="7" spans="1:12" ht="21.75" customHeight="1" x14ac:dyDescent="0.3">
      <c r="A7" s="359">
        <v>1</v>
      </c>
      <c r="B7" s="369">
        <f>'Table 5. VOS Data Table'!C5-2</f>
        <v>2019</v>
      </c>
      <c r="C7" s="370"/>
      <c r="D7" s="371">
        <v>175490525</v>
      </c>
      <c r="E7" s="372">
        <f>F7/D7</f>
        <v>4.4516278015579475E-2</v>
      </c>
      <c r="F7" s="371">
        <v>7812185</v>
      </c>
      <c r="G7" s="373"/>
      <c r="H7" s="374"/>
      <c r="I7" s="362"/>
      <c r="J7" s="168"/>
      <c r="K7" s="375"/>
      <c r="L7" s="359"/>
    </row>
    <row r="8" spans="1:12" ht="21.75" customHeight="1" x14ac:dyDescent="0.3">
      <c r="A8" s="359">
        <v>2</v>
      </c>
      <c r="B8" s="369">
        <f>B7-1</f>
        <v>2018</v>
      </c>
      <c r="C8" s="376"/>
      <c r="D8" s="371">
        <v>155018178</v>
      </c>
      <c r="E8" s="377">
        <f>F8/D8</f>
        <v>6.6251610827215368E-2</v>
      </c>
      <c r="F8" s="371">
        <v>10270204</v>
      </c>
      <c r="G8" s="378"/>
      <c r="H8" s="374"/>
      <c r="I8" s="362"/>
      <c r="J8" s="168"/>
      <c r="K8" s="379"/>
      <c r="L8" s="380"/>
    </row>
    <row r="9" spans="1:12" ht="21.75" customHeight="1" x14ac:dyDescent="0.3">
      <c r="A9" s="359">
        <v>3</v>
      </c>
      <c r="B9" s="369">
        <f t="shared" ref="B9:B16" si="0">B8-1</f>
        <v>2017</v>
      </c>
      <c r="C9" s="376"/>
      <c r="D9" s="371">
        <v>165929956</v>
      </c>
      <c r="E9" s="377">
        <f t="shared" ref="E9:E16" si="1">F9/D9</f>
        <v>9.6041319989261006E-2</v>
      </c>
      <c r="F9" s="371">
        <v>15936132</v>
      </c>
      <c r="G9" s="378"/>
      <c r="H9" s="374"/>
      <c r="I9" s="362"/>
      <c r="J9" s="168"/>
      <c r="K9" s="379"/>
      <c r="L9" s="380"/>
    </row>
    <row r="10" spans="1:12" ht="21.75" customHeight="1" x14ac:dyDescent="0.3">
      <c r="A10" s="359">
        <v>4</v>
      </c>
      <c r="B10" s="369">
        <f t="shared" si="0"/>
        <v>2016</v>
      </c>
      <c r="C10" s="376"/>
      <c r="D10" s="371">
        <v>134867264</v>
      </c>
      <c r="E10" s="377">
        <f t="shared" si="1"/>
        <v>0.12092715100975134</v>
      </c>
      <c r="F10" s="371">
        <v>16309114</v>
      </c>
      <c r="G10" s="378"/>
      <c r="H10" s="374"/>
      <c r="I10" s="362"/>
      <c r="J10" s="168"/>
      <c r="K10" s="379"/>
      <c r="L10" s="380"/>
    </row>
    <row r="11" spans="1:12" ht="21.75" customHeight="1" x14ac:dyDescent="0.45">
      <c r="A11" s="359">
        <v>5</v>
      </c>
      <c r="B11" s="369">
        <f t="shared" si="0"/>
        <v>2015</v>
      </c>
      <c r="C11" s="376"/>
      <c r="D11" s="371">
        <v>129899465</v>
      </c>
      <c r="E11" s="377">
        <f t="shared" si="1"/>
        <v>0.16280104001967982</v>
      </c>
      <c r="F11" s="371">
        <v>21147768</v>
      </c>
      <c r="G11" s="378"/>
      <c r="H11" s="146"/>
      <c r="I11" s="362"/>
      <c r="J11" s="168"/>
      <c r="K11" s="379"/>
      <c r="L11" s="380"/>
    </row>
    <row r="12" spans="1:12" ht="21.75" customHeight="1" x14ac:dyDescent="0.3">
      <c r="A12" s="359">
        <v>6</v>
      </c>
      <c r="B12" s="369">
        <f t="shared" si="0"/>
        <v>2014</v>
      </c>
      <c r="C12" s="376"/>
      <c r="D12" s="371">
        <v>142118822</v>
      </c>
      <c r="E12" s="377">
        <f t="shared" si="1"/>
        <v>0.20282649120184798</v>
      </c>
      <c r="F12" s="371">
        <v>28825462</v>
      </c>
      <c r="G12" s="381"/>
      <c r="H12" s="374"/>
      <c r="I12" s="362"/>
      <c r="J12" s="168"/>
      <c r="K12" s="382"/>
      <c r="L12" s="380"/>
    </row>
    <row r="13" spans="1:12" ht="21.75" customHeight="1" x14ac:dyDescent="0.3">
      <c r="A13" s="359">
        <v>7</v>
      </c>
      <c r="B13" s="369">
        <f t="shared" si="0"/>
        <v>2013</v>
      </c>
      <c r="C13" s="376"/>
      <c r="D13" s="371">
        <v>109286058</v>
      </c>
      <c r="E13" s="377">
        <f t="shared" si="1"/>
        <v>0.2075642530724276</v>
      </c>
      <c r="F13" s="371">
        <v>22683879</v>
      </c>
      <c r="G13" s="381"/>
      <c r="H13" s="374"/>
      <c r="I13" s="362"/>
      <c r="J13" s="168"/>
      <c r="K13" s="379"/>
      <c r="L13" s="380"/>
    </row>
    <row r="14" spans="1:12" ht="21.75" customHeight="1" x14ac:dyDescent="0.3">
      <c r="A14" s="359">
        <v>8</v>
      </c>
      <c r="B14" s="369">
        <f t="shared" si="0"/>
        <v>2012</v>
      </c>
      <c r="C14" s="376"/>
      <c r="D14" s="371">
        <v>100102075</v>
      </c>
      <c r="E14" s="377">
        <f t="shared" si="1"/>
        <v>7.494640845357102E-2</v>
      </c>
      <c r="F14" s="371">
        <v>7502291</v>
      </c>
      <c r="G14" s="381"/>
      <c r="H14" s="374"/>
      <c r="I14" s="362"/>
      <c r="J14" s="168"/>
      <c r="K14" s="379"/>
      <c r="L14" s="380"/>
    </row>
    <row r="15" spans="1:12" ht="21.75" customHeight="1" x14ac:dyDescent="0.3">
      <c r="A15" s="359">
        <v>9</v>
      </c>
      <c r="B15" s="369">
        <f t="shared" si="0"/>
        <v>2011</v>
      </c>
      <c r="C15" s="376"/>
      <c r="D15" s="371">
        <v>98267667</v>
      </c>
      <c r="E15" s="377">
        <f t="shared" si="1"/>
        <v>0.11014771521949331</v>
      </c>
      <c r="F15" s="371">
        <v>10823959</v>
      </c>
      <c r="G15" s="381"/>
      <c r="H15" s="374"/>
      <c r="I15" s="362"/>
      <c r="J15" s="168"/>
      <c r="K15" s="379"/>
      <c r="L15" s="380"/>
    </row>
    <row r="16" spans="1:12" ht="21.75" customHeight="1" x14ac:dyDescent="0.3">
      <c r="A16" s="359">
        <v>10</v>
      </c>
      <c r="B16" s="369">
        <f t="shared" si="0"/>
        <v>2010</v>
      </c>
      <c r="C16" s="376"/>
      <c r="D16" s="371">
        <v>82821606</v>
      </c>
      <c r="E16" s="377">
        <f t="shared" si="1"/>
        <v>0.1056417210745708</v>
      </c>
      <c r="F16" s="371">
        <v>8749417</v>
      </c>
      <c r="G16" s="381"/>
      <c r="H16" s="374"/>
      <c r="I16" s="362"/>
      <c r="J16" s="168"/>
      <c r="K16" s="379"/>
      <c r="L16" s="380"/>
    </row>
    <row r="17" spans="2:10" ht="15" customHeight="1" x14ac:dyDescent="0.2">
      <c r="B17" s="383"/>
      <c r="C17" s="384"/>
      <c r="D17" s="384"/>
      <c r="E17" s="385"/>
      <c r="F17" s="384"/>
      <c r="G17" s="384"/>
      <c r="H17" s="386"/>
      <c r="I17" s="359"/>
      <c r="J17" s="387"/>
    </row>
    <row r="18" spans="2:10" ht="18.75" x14ac:dyDescent="0.3">
      <c r="B18" s="364" t="s">
        <v>200</v>
      </c>
      <c r="C18" s="388"/>
      <c r="D18" s="389">
        <f>SUM(D7:D16)</f>
        <v>1293801616</v>
      </c>
      <c r="E18" s="388"/>
      <c r="F18" s="389">
        <f>SUM(F7:F16)</f>
        <v>150060411</v>
      </c>
      <c r="G18" s="384"/>
      <c r="H18" s="386"/>
      <c r="I18" s="359"/>
      <c r="J18" s="390"/>
    </row>
    <row r="19" spans="2:10" x14ac:dyDescent="0.2">
      <c r="B19" s="359"/>
      <c r="C19" s="359"/>
      <c r="D19" s="359"/>
      <c r="E19" s="359"/>
      <c r="F19" s="359"/>
      <c r="G19" s="359"/>
      <c r="H19" s="359"/>
      <c r="I19" s="359"/>
      <c r="J19" s="387"/>
    </row>
  </sheetData>
  <mergeCells count="1">
    <mergeCell ref="D4:H4"/>
  </mergeCells>
  <phoneticPr fontId="9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Y64"/>
  <sheetViews>
    <sheetView view="pageBreakPreview" zoomScale="55" zoomScaleNormal="55" zoomScaleSheetLayoutView="55" workbookViewId="0">
      <selection activeCell="W34" sqref="W34"/>
    </sheetView>
  </sheetViews>
  <sheetFormatPr defaultRowHeight="18.75" x14ac:dyDescent="0.3"/>
  <cols>
    <col min="1" max="1" width="3.5546875" customWidth="1"/>
    <col min="2" max="2" width="8.88671875" style="2"/>
    <col min="3" max="3" width="13.44140625" customWidth="1"/>
    <col min="4" max="5" width="11.44140625" customWidth="1"/>
    <col min="6" max="6" width="12.6640625" customWidth="1"/>
    <col min="7" max="7" width="12" customWidth="1"/>
    <col min="8" max="9" width="11.44140625" customWidth="1"/>
    <col min="10" max="10" width="12.6640625" customWidth="1"/>
    <col min="11" max="11" width="11.44140625" customWidth="1"/>
    <col min="12" max="13" width="3.77734375" style="9" customWidth="1"/>
    <col min="14" max="14" width="11.6640625" customWidth="1"/>
    <col min="15" max="15" width="15.88671875" customWidth="1"/>
    <col min="16" max="16" width="16.109375" style="2" customWidth="1"/>
    <col min="19" max="19" width="12.77734375" customWidth="1"/>
    <col min="20" max="20" width="11.33203125" customWidth="1"/>
    <col min="21" max="21" width="12.109375" customWidth="1"/>
    <col min="22" max="22" width="12.6640625" customWidth="1"/>
    <col min="25" max="25" width="6.88671875" customWidth="1"/>
  </cols>
  <sheetData>
    <row r="1" spans="1:25" ht="26.25" x14ac:dyDescent="0.4">
      <c r="B1" s="114" t="s">
        <v>201</v>
      </c>
      <c r="K1" s="211"/>
      <c r="N1" s="114" t="s">
        <v>202</v>
      </c>
      <c r="P1" s="31"/>
      <c r="V1" s="210" t="s">
        <v>203</v>
      </c>
    </row>
    <row r="2" spans="1:25" x14ac:dyDescent="0.3">
      <c r="B2" s="1"/>
      <c r="C2" s="117"/>
      <c r="D2" s="117"/>
      <c r="E2" s="117"/>
      <c r="F2" s="117"/>
      <c r="G2" s="117"/>
      <c r="H2" s="117"/>
      <c r="I2" s="117"/>
      <c r="J2" s="117"/>
      <c r="K2" s="117"/>
      <c r="L2" s="209"/>
      <c r="M2" s="209"/>
      <c r="N2" s="117"/>
      <c r="O2" s="117"/>
      <c r="P2" s="344"/>
      <c r="Q2" s="117"/>
      <c r="R2" s="117"/>
      <c r="S2" s="117"/>
      <c r="T2" s="117"/>
      <c r="U2" s="117"/>
    </row>
    <row r="3" spans="1:25" x14ac:dyDescent="0.3">
      <c r="B3" s="116"/>
      <c r="C3" s="117"/>
      <c r="D3" s="424" t="s">
        <v>204</v>
      </c>
      <c r="E3" s="425"/>
      <c r="F3" s="425"/>
      <c r="G3" s="426"/>
      <c r="H3" s="424" t="s">
        <v>205</v>
      </c>
      <c r="I3" s="425"/>
      <c r="J3" s="425"/>
      <c r="K3" s="426"/>
      <c r="L3" s="391"/>
      <c r="M3" s="391"/>
      <c r="N3" s="418" t="s">
        <v>157</v>
      </c>
      <c r="O3" s="419"/>
      <c r="P3" s="116"/>
      <c r="Q3" s="418" t="s">
        <v>158</v>
      </c>
      <c r="R3" s="419"/>
      <c r="S3" s="117"/>
      <c r="T3" s="418" t="s">
        <v>159</v>
      </c>
      <c r="U3" s="419"/>
    </row>
    <row r="4" spans="1:25" ht="56.25" customHeight="1" x14ac:dyDescent="0.3">
      <c r="B4" s="19" t="s">
        <v>31</v>
      </c>
      <c r="C4" s="33" t="s">
        <v>206</v>
      </c>
      <c r="D4" s="33" t="s">
        <v>207</v>
      </c>
      <c r="E4" s="33" t="s">
        <v>208</v>
      </c>
      <c r="F4" s="232" t="s">
        <v>209</v>
      </c>
      <c r="G4" s="33" t="s">
        <v>210</v>
      </c>
      <c r="H4" s="33" t="s">
        <v>211</v>
      </c>
      <c r="I4" s="33" t="s">
        <v>212</v>
      </c>
      <c r="J4" s="232" t="s">
        <v>209</v>
      </c>
      <c r="K4" s="33" t="s">
        <v>210</v>
      </c>
      <c r="L4" s="123"/>
      <c r="M4" s="123"/>
      <c r="N4" s="32" t="s">
        <v>162</v>
      </c>
      <c r="O4" s="32" t="s">
        <v>163</v>
      </c>
      <c r="P4" s="33" t="s">
        <v>181</v>
      </c>
      <c r="Q4" s="32" t="s">
        <v>165</v>
      </c>
      <c r="R4" s="32" t="s">
        <v>163</v>
      </c>
      <c r="S4" s="21" t="s">
        <v>166</v>
      </c>
      <c r="T4" s="34" t="s">
        <v>162</v>
      </c>
      <c r="U4" s="35" t="s">
        <v>163</v>
      </c>
    </row>
    <row r="5" spans="1:25" x14ac:dyDescent="0.3">
      <c r="B5" s="298"/>
      <c r="C5" s="215" t="s">
        <v>182</v>
      </c>
      <c r="D5" s="215" t="s">
        <v>213</v>
      </c>
      <c r="E5" s="215" t="s">
        <v>214</v>
      </c>
      <c r="F5" s="215" t="s">
        <v>214</v>
      </c>
      <c r="G5" s="215" t="s">
        <v>215</v>
      </c>
      <c r="H5" s="215" t="s">
        <v>213</v>
      </c>
      <c r="I5" s="215" t="s">
        <v>214</v>
      </c>
      <c r="J5" s="215" t="s">
        <v>214</v>
      </c>
      <c r="K5" s="215" t="s">
        <v>215</v>
      </c>
      <c r="L5" s="288"/>
      <c r="M5" s="288"/>
      <c r="N5" s="215" t="s">
        <v>169</v>
      </c>
      <c r="O5" s="215" t="s">
        <v>169</v>
      </c>
      <c r="P5" s="215" t="s">
        <v>170</v>
      </c>
      <c r="Q5" s="299" t="s">
        <v>171</v>
      </c>
      <c r="R5" s="299" t="s">
        <v>171</v>
      </c>
      <c r="S5" s="392"/>
      <c r="T5" s="299" t="s">
        <v>171</v>
      </c>
      <c r="U5" s="299" t="s">
        <v>171</v>
      </c>
    </row>
    <row r="6" spans="1:25" ht="19.5" customHeight="1" x14ac:dyDescent="0.3">
      <c r="A6">
        <v>1</v>
      </c>
      <c r="B6" s="300">
        <f>'Table 5. VOS Data Table'!$C$5</f>
        <v>2021</v>
      </c>
      <c r="C6" s="393">
        <f>'Table 5. VOS Data Table'!G17</f>
        <v>248.30249176728879</v>
      </c>
      <c r="D6" s="337">
        <v>50</v>
      </c>
      <c r="E6" s="346">
        <f>IF(A6&gt;'Table 3. Fixed Assumptions'!$C$23,0,D6*C6/1000)</f>
        <v>12.415124588364439</v>
      </c>
      <c r="F6" s="346">
        <f t="shared" ref="F6:F12" si="0">E6*S6</f>
        <v>12.415124588364439</v>
      </c>
      <c r="G6" s="393">
        <f>PMT('Table 5. VOS Data Table'!C6,'Table 3. Fixed Assumptions'!$C$23,-$F$32)</f>
        <v>16.817529856765894</v>
      </c>
      <c r="H6" s="394"/>
      <c r="I6" s="395"/>
      <c r="J6" s="395"/>
      <c r="K6" s="396">
        <f>PMT('Table 5. VOS Data Table'!$C$6,'Table 3. Fixed Assumptions'!$C$23,-$J$32)</f>
        <v>16.230908610351811</v>
      </c>
      <c r="L6" s="348"/>
      <c r="M6" s="348"/>
      <c r="N6" s="397">
        <f>IF(A6&gt;'Table 3. Fixed Assumptions'!$C$23,0,(G6-K6)/D6*1000/P6)</f>
        <v>7.5693064053430062E-3</v>
      </c>
      <c r="O6" s="136">
        <f t="shared" ref="O6:O30" si="1">IF(N6=0,0,$O$32)</f>
        <v>7.9637509474049448E-3</v>
      </c>
      <c r="P6" s="337">
        <f>'Table 5. VOS Data Table'!C17</f>
        <v>1550</v>
      </c>
      <c r="Q6" s="305">
        <f>P6*N6</f>
        <v>11.73242492828166</v>
      </c>
      <c r="R6" s="305">
        <f>P6*O6</f>
        <v>12.343813968477665</v>
      </c>
      <c r="S6" s="306">
        <v>1</v>
      </c>
      <c r="T6" s="305">
        <f>Q6*S6</f>
        <v>11.73242492828166</v>
      </c>
      <c r="U6" s="307">
        <f>S6*R6</f>
        <v>12.343813968477665</v>
      </c>
      <c r="W6" s="38">
        <f>G6-K6</f>
        <v>0.58662124641408298</v>
      </c>
    </row>
    <row r="7" spans="1:25" x14ac:dyDescent="0.3">
      <c r="A7">
        <v>2</v>
      </c>
      <c r="B7" s="308">
        <f>B6+1</f>
        <v>2022</v>
      </c>
      <c r="C7" s="398">
        <f>C6*(1+'Table 5. VOS Data Table'!$G$28)</f>
        <v>254.88250779912192</v>
      </c>
      <c r="D7" s="339">
        <f>D6*(1+'Table 5. VOS Data Table'!$G$30)</f>
        <v>49.962533702225741</v>
      </c>
      <c r="E7" s="348">
        <f>IF(A7&gt;'Table 3. Fixed Assumptions'!$C$23,0,D7*C7/1000)</f>
        <v>12.734575886021444</v>
      </c>
      <c r="F7" s="348">
        <f t="shared" si="0"/>
        <v>11.973087519764425</v>
      </c>
      <c r="G7" s="348">
        <f>IF(F7=0,0,G6)</f>
        <v>16.817529856765894</v>
      </c>
      <c r="H7" s="399">
        <f>D6</f>
        <v>50</v>
      </c>
      <c r="I7" s="400">
        <f>IF(A6&gt;'Table 3. Fixed Assumptions'!$C$23,0,H7*C7/1000)</f>
        <v>12.744125389956096</v>
      </c>
      <c r="J7" s="400">
        <f>I7*S7</f>
        <v>11.982065992813176</v>
      </c>
      <c r="K7" s="401">
        <f>PMT('Table 5. VOS Data Table'!$C$6,'Table 3. Fixed Assumptions'!$C$23,-$J$32)</f>
        <v>16.230908610351811</v>
      </c>
      <c r="L7" s="348"/>
      <c r="M7" s="348"/>
      <c r="N7" s="402">
        <f>IF(A7&gt;'Table 3. Fixed Assumptions'!$C$23,0,(G7-K7)/D7*1000/P7)</f>
        <v>7.6130477752460847E-3</v>
      </c>
      <c r="O7" s="125">
        <f t="shared" si="1"/>
        <v>7.9637509474049448E-3</v>
      </c>
      <c r="P7" s="339">
        <f>P6*(1-'Table 3. Fixed Assumptions'!$C$22)</f>
        <v>1542.25</v>
      </c>
      <c r="Q7" s="313">
        <f t="shared" ref="Q7:Q30" si="2">P7*N7</f>
        <v>11.741222931373274</v>
      </c>
      <c r="R7" s="313">
        <f t="shared" ref="R7:R30" si="3">P7*O7</f>
        <v>12.282094898635275</v>
      </c>
      <c r="S7" s="314">
        <f>IF(A7&gt;'Table 3. Fixed Assumptions'!$C$23,0,1/(1+'Table 5. VOS Data Table'!$C$6)^A6)</f>
        <v>0.94020308386611495</v>
      </c>
      <c r="T7" s="313">
        <f t="shared" ref="T7:T30" si="4">Q7*S7</f>
        <v>11.039134008436699</v>
      </c>
      <c r="U7" s="315">
        <f t="shared" ref="U7:U30" si="5">S7*R7</f>
        <v>11.547663500033165</v>
      </c>
      <c r="W7" s="38"/>
      <c r="X7" s="2"/>
      <c r="Y7" s="3"/>
    </row>
    <row r="8" spans="1:25" x14ac:dyDescent="0.3">
      <c r="A8">
        <v>3</v>
      </c>
      <c r="B8" s="308">
        <f t="shared" ref="B8:B30" si="6">B7+1</f>
        <v>2023</v>
      </c>
      <c r="C8" s="398">
        <f>C7*(1+'Table 5. VOS Data Table'!$G$28)</f>
        <v>261.63689425579867</v>
      </c>
      <c r="D8" s="339">
        <f>D7*(1+'Table 5. VOS Data Table'!$G$30)</f>
        <v>49.925095478920859</v>
      </c>
      <c r="E8" s="348">
        <f>IF(A8&gt;'Table 3. Fixed Assumptions'!$C$23,0,D8*C8/1000)</f>
        <v>13.062246926529069</v>
      </c>
      <c r="F8" s="348">
        <f t="shared" si="0"/>
        <v>11.546789058427333</v>
      </c>
      <c r="G8" s="348">
        <f t="shared" ref="G8:G30" si="7">IF(F8=0,0,G7)</f>
        <v>16.817529856765894</v>
      </c>
      <c r="H8" s="399">
        <f t="shared" ref="H8:H31" si="8">D7</f>
        <v>49.962533702225741</v>
      </c>
      <c r="I8" s="400">
        <f>IF(A7&gt;'Table 3. Fixed Assumptions'!$C$23,0,H8*C8/1000)</f>
        <v>13.072042147001014</v>
      </c>
      <c r="J8" s="400">
        <f t="shared" ref="J8:J30" si="9">I8*S8</f>
        <v>11.555447855432664</v>
      </c>
      <c r="K8" s="401">
        <f>PMT('Table 5. VOS Data Table'!$C$6,'Table 3. Fixed Assumptions'!$C$23,-$J$32)</f>
        <v>16.230908610351811</v>
      </c>
      <c r="L8" s="348"/>
      <c r="M8" s="348"/>
      <c r="N8" s="402">
        <f>IF(A8&gt;'Table 3. Fixed Assumptions'!$C$23,0,(G8-K8)/D8*1000/P8)</f>
        <v>7.6570419169803665E-3</v>
      </c>
      <c r="O8" s="125">
        <f t="shared" si="1"/>
        <v>7.9637509474049448E-3</v>
      </c>
      <c r="P8" s="339">
        <f>P7*(1-'Table 3. Fixed Assumptions'!$C$22)</f>
        <v>1534.5387499999999</v>
      </c>
      <c r="Q8" s="313">
        <f t="shared" si="2"/>
        <v>11.750027531980654</v>
      </c>
      <c r="R8" s="313">
        <f t="shared" si="3"/>
        <v>12.2206844241421</v>
      </c>
      <c r="S8" s="314">
        <f>IF(A8&gt;'Table 3. Fixed Assumptions'!$C$23,0,1/(1+'Table 5. VOS Data Table'!$C$6)^A7)</f>
        <v>0.88398183891135285</v>
      </c>
      <c r="T8" s="313">
        <f t="shared" si="4"/>
        <v>10.386810944979283</v>
      </c>
      <c r="U8" s="315">
        <f t="shared" si="5"/>
        <v>10.80286309000846</v>
      </c>
      <c r="W8" s="38"/>
      <c r="X8" s="2"/>
      <c r="Y8" s="3"/>
    </row>
    <row r="9" spans="1:25" x14ac:dyDescent="0.3">
      <c r="A9">
        <v>4</v>
      </c>
      <c r="B9" s="308">
        <f t="shared" si="6"/>
        <v>2024</v>
      </c>
      <c r="C9" s="398">
        <f>C8*(1+'Table 5. VOS Data Table'!$G$28)</f>
        <v>268.57027195357733</v>
      </c>
      <c r="D9" s="339">
        <f>D8*(1+'Table 5. VOS Data Table'!$G$30)</f>
        <v>49.887685309048429</v>
      </c>
      <c r="E9" s="348">
        <f>IF(A9&gt;'Table 3. Fixed Assumptions'!$C$23,0,D9*C9/1000)</f>
        <v>13.39834921058562</v>
      </c>
      <c r="F9" s="348">
        <f t="shared" si="0"/>
        <v>11.135668835605442</v>
      </c>
      <c r="G9" s="348">
        <f t="shared" si="7"/>
        <v>16.817529856765894</v>
      </c>
      <c r="H9" s="399">
        <f t="shared" si="8"/>
        <v>49.925095478920859</v>
      </c>
      <c r="I9" s="400">
        <f>IF(A8&gt;'Table 3. Fixed Assumptions'!$C$23,0,H9*C9/1000)</f>
        <v>13.408396470082089</v>
      </c>
      <c r="J9" s="400">
        <f t="shared" si="9"/>
        <v>11.144019338544243</v>
      </c>
      <c r="K9" s="401">
        <f>PMT('Table 5. VOS Data Table'!$C$6,'Table 3. Fixed Assumptions'!$C$23,-$J$32)</f>
        <v>16.230908610351811</v>
      </c>
      <c r="L9" s="348"/>
      <c r="M9" s="348"/>
      <c r="N9" s="402">
        <f>IF(A9&gt;'Table 3. Fixed Assumptions'!$C$23,0,(G9-K9)/D9*1000/P9)</f>
        <v>7.701290291259098E-3</v>
      </c>
      <c r="O9" s="125">
        <f t="shared" si="1"/>
        <v>7.9637509474049448E-3</v>
      </c>
      <c r="P9" s="339">
        <f>P8*(1-'Table 3. Fixed Assumptions'!$C$22)</f>
        <v>1526.8660562499999</v>
      </c>
      <c r="Q9" s="313">
        <f t="shared" si="2"/>
        <v>11.758838735051192</v>
      </c>
      <c r="R9" s="313">
        <f t="shared" si="3"/>
        <v>12.159581002021389</v>
      </c>
      <c r="S9" s="314">
        <f>IF(A9&gt;'Table 3. Fixed Assumptions'!$C$23,0,1/(1+'Table 5. VOS Data Table'!$C$6)^A8)</f>
        <v>0.83112245102609328</v>
      </c>
      <c r="T9" s="313">
        <f t="shared" si="4"/>
        <v>9.7730348706963124</v>
      </c>
      <c r="U9" s="315">
        <f t="shared" si="5"/>
        <v>10.106100765850336</v>
      </c>
      <c r="W9" s="38"/>
      <c r="X9" s="2"/>
      <c r="Y9" s="3"/>
    </row>
    <row r="10" spans="1:25" x14ac:dyDescent="0.3">
      <c r="A10">
        <v>5</v>
      </c>
      <c r="B10" s="308">
        <f t="shared" si="6"/>
        <v>2025</v>
      </c>
      <c r="C10" s="398">
        <f>C9*(1+'Table 5. VOS Data Table'!$G$28)</f>
        <v>275.68738416034711</v>
      </c>
      <c r="D10" s="339">
        <f>D9*(1+'Table 5. VOS Data Table'!$G$30)</f>
        <v>49.850303171587285</v>
      </c>
      <c r="E10" s="348">
        <f>IF(A10&gt;'Table 3. Fixed Assumptions'!$C$23,0,D10*C10/1000)</f>
        <v>13.743099680975154</v>
      </c>
      <c r="F10" s="348">
        <f t="shared" si="0"/>
        <v>10.739186434324923</v>
      </c>
      <c r="G10" s="348">
        <f t="shared" si="7"/>
        <v>16.817529856765894</v>
      </c>
      <c r="H10" s="399">
        <f t="shared" si="8"/>
        <v>49.887685309048429</v>
      </c>
      <c r="I10" s="400">
        <f>IF(A9&gt;'Table 3. Fixed Assumptions'!$C$23,0,H10*C10/1000)</f>
        <v>13.753405464666139</v>
      </c>
      <c r="J10" s="400">
        <f t="shared" si="9"/>
        <v>10.747239619921947</v>
      </c>
      <c r="K10" s="401">
        <f>PMT('Table 5. VOS Data Table'!$C$6,'Table 3. Fixed Assumptions'!$C$23,-$J$32)</f>
        <v>16.230908610351811</v>
      </c>
      <c r="L10" s="348"/>
      <c r="M10" s="348"/>
      <c r="N10" s="402">
        <f>IF(A10&gt;'Table 3. Fixed Assumptions'!$C$23,0,(G10-K10)/D10*1000/P10)</f>
        <v>7.7457943672366754E-3</v>
      </c>
      <c r="O10" s="125">
        <f t="shared" si="1"/>
        <v>7.9637509474049448E-3</v>
      </c>
      <c r="P10" s="339">
        <f>P9*(1-'Table 3. Fixed Assumptions'!$C$22)</f>
        <v>1519.23172596875</v>
      </c>
      <c r="Q10" s="313">
        <f t="shared" si="2"/>
        <v>11.767656545535996</v>
      </c>
      <c r="R10" s="313">
        <f t="shared" si="3"/>
        <v>12.098783097011282</v>
      </c>
      <c r="S10" s="314">
        <f>IF(A10&gt;'Table 3. Fixed Assumptions'!$C$23,0,1/(1+'Table 5. VOS Data Table'!$C$6)^A9)</f>
        <v>0.78142389152509684</v>
      </c>
      <c r="T10" s="313">
        <f t="shared" si="4"/>
        <v>9.1955279719435161</v>
      </c>
      <c r="U10" s="315">
        <f t="shared" si="5"/>
        <v>9.4542781703846188</v>
      </c>
      <c r="W10" s="38"/>
      <c r="X10" s="2"/>
      <c r="Y10" s="3"/>
    </row>
    <row r="11" spans="1:25" x14ac:dyDescent="0.3">
      <c r="A11">
        <v>6</v>
      </c>
      <c r="B11" s="308">
        <f t="shared" si="6"/>
        <v>2026</v>
      </c>
      <c r="C11" s="398">
        <f>C10*(1+'Table 5. VOS Data Table'!$G$28)</f>
        <v>282.9930998405963</v>
      </c>
      <c r="D11" s="339">
        <f>D10*(1+'Table 5. VOS Data Table'!$G$30)</f>
        <v>49.812949045532008</v>
      </c>
      <c r="E11" s="348">
        <f>IF(A11&gt;'Table 3. Fixed Assumptions'!$C$23,0,D11*C11/1000)</f>
        <v>14.096720862596776</v>
      </c>
      <c r="F11" s="348">
        <f t="shared" si="0"/>
        <v>10.356820679008452</v>
      </c>
      <c r="G11" s="348">
        <f t="shared" si="7"/>
        <v>16.817529856765894</v>
      </c>
      <c r="H11" s="399">
        <f t="shared" si="8"/>
        <v>49.850303171587285</v>
      </c>
      <c r="I11" s="400">
        <f>IF(A10&gt;'Table 3. Fixed Assumptions'!$C$23,0,H11*C11/1000)</f>
        <v>14.107291822520994</v>
      </c>
      <c r="J11" s="400">
        <f t="shared" si="9"/>
        <v>10.364587133165221</v>
      </c>
      <c r="K11" s="401">
        <f>PMT('Table 5. VOS Data Table'!$C$6,'Table 3. Fixed Assumptions'!$C$23,-$J$32)</f>
        <v>16.230908610351811</v>
      </c>
      <c r="L11" s="348"/>
      <c r="M11" s="348"/>
      <c r="N11" s="402">
        <f>IF(A11&gt;'Table 3. Fixed Assumptions'!$C$23,0,(G11-K11)/D11*1000/P11)</f>
        <v>7.7905556225574199E-3</v>
      </c>
      <c r="O11" s="125">
        <f t="shared" si="1"/>
        <v>7.9637509474049448E-3</v>
      </c>
      <c r="P11" s="339">
        <f>P10*(1-'Table 3. Fixed Assumptions'!$C$22)</f>
        <v>1511.6355673389062</v>
      </c>
      <c r="Q11" s="313">
        <f t="shared" si="2"/>
        <v>11.77648096838989</v>
      </c>
      <c r="R11" s="313">
        <f t="shared" si="3"/>
        <v>12.038289181526226</v>
      </c>
      <c r="S11" s="314">
        <f>IF(A11&gt;'Table 3. Fixed Assumptions'!$C$23,0,1/(1+'Table 5. VOS Data Table'!$C$6)^A10)</f>
        <v>0.7346971526185565</v>
      </c>
      <c r="T11" s="313">
        <f t="shared" si="4"/>
        <v>8.6521470353426739</v>
      </c>
      <c r="U11" s="315">
        <f>S11*R11</f>
        <v>8.8444967840660915</v>
      </c>
      <c r="W11" s="38"/>
      <c r="X11" s="2"/>
      <c r="Y11" s="3"/>
    </row>
    <row r="12" spans="1:25" x14ac:dyDescent="0.3">
      <c r="A12">
        <v>7</v>
      </c>
      <c r="B12" s="308">
        <f t="shared" si="6"/>
        <v>2027</v>
      </c>
      <c r="C12" s="398">
        <f>C11*(1+'Table 5. VOS Data Table'!$G$28)</f>
        <v>290.49241698637212</v>
      </c>
      <c r="D12" s="339">
        <f>D11*(1+'Table 5. VOS Data Table'!$G$30)</f>
        <v>49.775622909892931</v>
      </c>
      <c r="E12" s="348">
        <f>IF(A12&gt;'Table 3. Fixed Assumptions'!$C$23,0,D12*C12/1000)</f>
        <v>14.459441006097036</v>
      </c>
      <c r="F12" s="348">
        <f t="shared" si="0"/>
        <v>9.9880689503906428</v>
      </c>
      <c r="G12" s="348">
        <f t="shared" si="7"/>
        <v>16.817529856765894</v>
      </c>
      <c r="H12" s="399">
        <f t="shared" si="8"/>
        <v>49.812949045532008</v>
      </c>
      <c r="I12" s="400">
        <f>IF(A11&gt;'Table 3. Fixed Assumptions'!$C$23,0,H12*C12/1000)</f>
        <v>14.470283965455591</v>
      </c>
      <c r="J12" s="400">
        <f t="shared" si="9"/>
        <v>9.9955588821005801</v>
      </c>
      <c r="K12" s="401">
        <f>PMT('Table 5. VOS Data Table'!$C$6,'Table 3. Fixed Assumptions'!$C$23,-$J$32)</f>
        <v>16.230908610351811</v>
      </c>
      <c r="L12" s="348"/>
      <c r="M12" s="348"/>
      <c r="N12" s="402">
        <f>IF(A12&gt;'Table 3. Fixed Assumptions'!$C$23,0,(G12-K12)/D12*1000/P12)</f>
        <v>7.835575543404626E-3</v>
      </c>
      <c r="O12" s="125">
        <f t="shared" si="1"/>
        <v>7.9637509474049448E-3</v>
      </c>
      <c r="P12" s="339">
        <f>P11*(1-'Table 3. Fixed Assumptions'!$C$22)</f>
        <v>1504.0773895022116</v>
      </c>
      <c r="Q12" s="313">
        <f t="shared" si="2"/>
        <v>11.785312008571402</v>
      </c>
      <c r="R12" s="313">
        <f t="shared" si="3"/>
        <v>11.978097735618594</v>
      </c>
      <c r="S12" s="314">
        <f>IF(A12&gt;'Table 3. Fixed Assumptions'!$C$23,0,1/(1+'Table 5. VOS Data Table'!$C$6)^A11)</f>
        <v>0.69076452859962056</v>
      </c>
      <c r="T12" s="313">
        <f t="shared" si="4"/>
        <v>8.140875494000273</v>
      </c>
      <c r="U12" s="315">
        <f t="shared" si="5"/>
        <v>8.274045035864761</v>
      </c>
      <c r="W12" s="38"/>
      <c r="X12" s="2"/>
      <c r="Y12" s="3"/>
    </row>
    <row r="13" spans="1:25" x14ac:dyDescent="0.3">
      <c r="A13">
        <v>8</v>
      </c>
      <c r="B13" s="308">
        <f t="shared" si="6"/>
        <v>2028</v>
      </c>
      <c r="C13" s="398">
        <f>C12*(1+'Table 5. VOS Data Table'!$G$28)</f>
        <v>298.190466036511</v>
      </c>
      <c r="D13" s="339">
        <f>D12*(1+'Table 5. VOS Data Table'!$G$30)</f>
        <v>49.738324743696104</v>
      </c>
      <c r="E13" s="348">
        <f>IF(A13&gt;'Table 3. Fixed Assumptions'!$C$23,0,D13*C13/1000)</f>
        <v>14.831494235198068</v>
      </c>
      <c r="F13" s="348">
        <f t="shared" ref="F13:F30" si="10">E13*S13</f>
        <v>9.6324465248256708</v>
      </c>
      <c r="G13" s="348">
        <f t="shared" si="7"/>
        <v>16.817529856765894</v>
      </c>
      <c r="H13" s="399">
        <f t="shared" si="8"/>
        <v>49.775622909892931</v>
      </c>
      <c r="I13" s="400">
        <f>IF(A12&gt;'Table 3. Fixed Assumptions'!$C$23,0,H13*C13/1000)</f>
        <v>14.842616192758607</v>
      </c>
      <c r="J13" s="400">
        <f t="shared" si="9"/>
        <v>9.6396697795938273</v>
      </c>
      <c r="K13" s="401">
        <f>PMT('Table 5. VOS Data Table'!$C$6,'Table 3. Fixed Assumptions'!$C$23,-$J$32)</f>
        <v>16.230908610351811</v>
      </c>
      <c r="L13" s="348"/>
      <c r="M13" s="348"/>
      <c r="N13" s="402">
        <f>IF(A13&gt;'Table 3. Fixed Assumptions'!$C$23,0,(G13-K13)/D13*1000/P13)</f>
        <v>7.8808556245499265E-3</v>
      </c>
      <c r="O13" s="125">
        <f t="shared" si="1"/>
        <v>7.9637509474049448E-3</v>
      </c>
      <c r="P13" s="339">
        <f>P12*(1-'Table 3. Fixed Assumptions'!$C$22)</f>
        <v>1496.5570025547006</v>
      </c>
      <c r="Q13" s="313">
        <f t="shared" si="2"/>
        <v>11.79414967104279</v>
      </c>
      <c r="R13" s="313">
        <f t="shared" si="3"/>
        <v>11.918207246940501</v>
      </c>
      <c r="S13" s="314">
        <f>IF(A13&gt;'Table 3. Fixed Assumptions'!$C$23,0,1/(1+'Table 5. VOS Data Table'!$C$6)^A12)</f>
        <v>0.64945894001468651</v>
      </c>
      <c r="T13" s="313">
        <f t="shared" si="4"/>
        <v>7.6598159437300142</v>
      </c>
      <c r="U13" s="315">
        <f t="shared" si="5"/>
        <v>7.7403862454733323</v>
      </c>
      <c r="W13" s="38"/>
      <c r="X13" s="2"/>
      <c r="Y13" s="3"/>
    </row>
    <row r="14" spans="1:25" x14ac:dyDescent="0.3">
      <c r="A14">
        <v>9</v>
      </c>
      <c r="B14" s="308">
        <f t="shared" si="6"/>
        <v>2029</v>
      </c>
      <c r="C14" s="398">
        <f>C13*(1+'Table 5. VOS Data Table'!$G$28)</f>
        <v>306.09251338647852</v>
      </c>
      <c r="D14" s="339">
        <f>D13*(1+'Table 5. VOS Data Table'!$G$30)</f>
        <v>49.701054525983302</v>
      </c>
      <c r="E14" s="348">
        <f>IF(A14&gt;'Table 3. Fixed Assumptions'!$C$23,0,D14*C14/1000)</f>
        <v>15.213120697816644</v>
      </c>
      <c r="F14" s="348">
        <f t="shared" si="10"/>
        <v>9.2894859371187302</v>
      </c>
      <c r="G14" s="348">
        <f t="shared" si="7"/>
        <v>16.817529856765894</v>
      </c>
      <c r="H14" s="399">
        <f t="shared" si="8"/>
        <v>49.738324743696104</v>
      </c>
      <c r="I14" s="400">
        <f>IF(A13&gt;'Table 3. Fixed Assumptions'!$C$23,0,H14*C14/1000)</f>
        <v>15.224528832430815</v>
      </c>
      <c r="J14" s="400">
        <f t="shared" si="9"/>
        <v>9.2964520099036729</v>
      </c>
      <c r="K14" s="401">
        <f>PMT('Table 5. VOS Data Table'!$C$6,'Table 3. Fixed Assumptions'!$C$23,-$J$32)</f>
        <v>16.230908610351811</v>
      </c>
      <c r="L14" s="348"/>
      <c r="M14" s="348"/>
      <c r="N14" s="402">
        <f>IF(A14&gt;'Table 3. Fixed Assumptions'!$C$23,0,(G14-K14)/D14*1000/P14)</f>
        <v>7.9263973694029145E-3</v>
      </c>
      <c r="O14" s="125">
        <f t="shared" si="1"/>
        <v>7.9637509474049448E-3</v>
      </c>
      <c r="P14" s="339">
        <f>P13*(1-'Table 3. Fixed Assumptions'!$C$22)</f>
        <v>1489.0742175419271</v>
      </c>
      <c r="Q14" s="313">
        <f t="shared" si="2"/>
        <v>11.802993960770033</v>
      </c>
      <c r="R14" s="313">
        <f t="shared" si="3"/>
        <v>11.858616210705799</v>
      </c>
      <c r="S14" s="314">
        <f>IF(A14&gt;'Table 3. Fixed Assumptions'!$C$23,0,1/(1+'Table 5. VOS Data Table'!$C$6)^A13)</f>
        <v>0.6106232982462263</v>
      </c>
      <c r="T14" s="313">
        <f t="shared" si="4"/>
        <v>7.207183101505688</v>
      </c>
      <c r="U14" s="315">
        <f t="shared" si="5"/>
        <v>7.2411473432173414</v>
      </c>
      <c r="W14" s="38"/>
      <c r="X14" s="2"/>
      <c r="Y14" s="3"/>
    </row>
    <row r="15" spans="1:25" x14ac:dyDescent="0.3">
      <c r="A15">
        <v>10</v>
      </c>
      <c r="B15" s="308">
        <f t="shared" si="6"/>
        <v>2030</v>
      </c>
      <c r="C15" s="398">
        <f>C14*(1+'Table 5. VOS Data Table'!$G$28)</f>
        <v>314.20396499122018</v>
      </c>
      <c r="D15" s="339">
        <f>D14*(1+'Table 5. VOS Data Table'!$G$30)</f>
        <v>49.663812235812003</v>
      </c>
      <c r="E15" s="348">
        <f>IF(A15&gt;'Table 3. Fixed Assumptions'!$C$23,0,D15*C15/1000)</f>
        <v>15.604566721071608</v>
      </c>
      <c r="F15" s="348">
        <f t="shared" si="10"/>
        <v>8.9587363660436683</v>
      </c>
      <c r="G15" s="348">
        <f t="shared" si="7"/>
        <v>16.817529856765894</v>
      </c>
      <c r="H15" s="399">
        <f t="shared" si="8"/>
        <v>49.701054525983302</v>
      </c>
      <c r="I15" s="400">
        <f>IF(A14&gt;'Table 3. Fixed Assumptions'!$C$23,0,H15*C15/1000)</f>
        <v>15.616268396308781</v>
      </c>
      <c r="J15" s="400">
        <f t="shared" si="9"/>
        <v>8.9654544137385983</v>
      </c>
      <c r="K15" s="401">
        <f>PMT('Table 5. VOS Data Table'!$C$6,'Table 3. Fixed Assumptions'!$C$23,-$J$32)</f>
        <v>16.230908610351811</v>
      </c>
      <c r="L15" s="348"/>
      <c r="M15" s="348"/>
      <c r="N15" s="402">
        <f>IF(A15&gt;'Table 3. Fixed Assumptions'!$C$23,0,(G15-K15)/D15*1000/P15)</f>
        <v>7.9722022900610475E-3</v>
      </c>
      <c r="O15" s="125">
        <f t="shared" si="1"/>
        <v>7.9637509474049448E-3</v>
      </c>
      <c r="P15" s="339">
        <f>P14*(1-'Table 3. Fixed Assumptions'!$C$22)</f>
        <v>1481.6288464542174</v>
      </c>
      <c r="Q15" s="313">
        <f t="shared" si="2"/>
        <v>11.81184488272282</v>
      </c>
      <c r="R15" s="313">
        <f t="shared" si="3"/>
        <v>11.799323129652269</v>
      </c>
      <c r="S15" s="314">
        <f>IF(A15&gt;'Table 3. Fixed Assumptions'!$C$23,0,1/(1+'Table 5. VOS Data Table'!$C$6)^A14)</f>
        <v>0.57410990809160045</v>
      </c>
      <c r="T15" s="313">
        <f t="shared" si="4"/>
        <v>6.7812971800122392</v>
      </c>
      <c r="U15" s="315">
        <f t="shared" si="5"/>
        <v>6.7741083175077597</v>
      </c>
      <c r="W15" s="38"/>
      <c r="X15" s="2"/>
      <c r="Y15" s="3"/>
    </row>
    <row r="16" spans="1:25" x14ac:dyDescent="0.3">
      <c r="A16">
        <v>11</v>
      </c>
      <c r="B16" s="308">
        <f t="shared" si="6"/>
        <v>2031</v>
      </c>
      <c r="C16" s="398">
        <f>C15*(1+'Table 5. VOS Data Table'!$G$28)</f>
        <v>322.53037006348751</v>
      </c>
      <c r="D16" s="339">
        <f>D15*(1+'Table 5. VOS Data Table'!$G$30)</f>
        <v>49.626597852255365</v>
      </c>
      <c r="E16" s="348">
        <f>IF(A16&gt;'Table 3. Fixed Assumptions'!$C$23,0,D16*C16/1000)</f>
        <v>16.006084970279797</v>
      </c>
      <c r="F16" s="348">
        <f t="shared" si="10"/>
        <v>8.6397630417390747</v>
      </c>
      <c r="G16" s="348">
        <f t="shared" si="7"/>
        <v>16.817529856765894</v>
      </c>
      <c r="H16" s="399">
        <f t="shared" si="8"/>
        <v>49.663812235812003</v>
      </c>
      <c r="I16" s="400">
        <f>IF(A15&gt;'Table 3. Fixed Assumptions'!$C$23,0,H16*C16/1000)</f>
        <v>16.018087739180004</v>
      </c>
      <c r="J16" s="400">
        <f t="shared" si="9"/>
        <v>8.6462418952085578</v>
      </c>
      <c r="K16" s="401">
        <f>PMT('Table 5. VOS Data Table'!$C$6,'Table 3. Fixed Assumptions'!$C$23,-$J$32)</f>
        <v>16.230908610351811</v>
      </c>
      <c r="L16" s="348"/>
      <c r="M16" s="348"/>
      <c r="N16" s="402">
        <f>IF(A16&gt;'Table 3. Fixed Assumptions'!$C$23,0,(G16-K16)/D16*1000/P16)</f>
        <v>8.0182719073598769E-3</v>
      </c>
      <c r="O16" s="125">
        <f t="shared" si="1"/>
        <v>7.9637509474049448E-3</v>
      </c>
      <c r="P16" s="339">
        <f>P15*(1-'Table 3. Fixed Assumptions'!$C$22)</f>
        <v>1474.2207022219463</v>
      </c>
      <c r="Q16" s="313">
        <f t="shared" si="2"/>
        <v>11.820702441874582</v>
      </c>
      <c r="R16" s="313">
        <f t="shared" si="3"/>
        <v>11.740326514004009</v>
      </c>
      <c r="S16" s="314">
        <f>IF(A16&gt;'Table 3. Fixed Assumptions'!$C$23,0,1/(1+'Table 5. VOS Data Table'!$C$6)^A15)</f>
        <v>0.5397799060658145</v>
      </c>
      <c r="T16" s="313">
        <f t="shared" si="4"/>
        <v>6.3805776537070056</v>
      </c>
      <c r="U16" s="315">
        <f t="shared" si="5"/>
        <v>6.3371923429110755</v>
      </c>
      <c r="W16" s="38"/>
      <c r="X16" s="2"/>
      <c r="Y16" s="3"/>
    </row>
    <row r="17" spans="1:25" x14ac:dyDescent="0.3">
      <c r="A17">
        <v>12</v>
      </c>
      <c r="B17" s="308">
        <f t="shared" si="6"/>
        <v>2032</v>
      </c>
      <c r="C17" s="398">
        <f>C16*(1+'Table 5. VOS Data Table'!$G$28)</f>
        <v>331.07742487016992</v>
      </c>
      <c r="D17" s="339">
        <f>D16*(1+'Table 5. VOS Data Table'!$G$30)</f>
        <v>49.589411354402245</v>
      </c>
      <c r="E17" s="348">
        <f>IF(A17&gt;'Table 3. Fixed Assumptions'!$C$23,0,D17*C17/1000)</f>
        <v>16.417934612043059</v>
      </c>
      <c r="F17" s="348">
        <f t="shared" si="10"/>
        <v>8.3321466742039192</v>
      </c>
      <c r="G17" s="348">
        <f t="shared" si="7"/>
        <v>16.817529856765894</v>
      </c>
      <c r="H17" s="399">
        <f t="shared" si="8"/>
        <v>49.626597852255365</v>
      </c>
      <c r="I17" s="400">
        <f>IF(A16&gt;'Table 3. Fixed Assumptions'!$C$23,0,H17*C17/1000)</f>
        <v>16.430246221992213</v>
      </c>
      <c r="J17" s="400">
        <f t="shared" si="9"/>
        <v>8.3383948498920297</v>
      </c>
      <c r="K17" s="401">
        <f>PMT('Table 5. VOS Data Table'!$C$6,'Table 3. Fixed Assumptions'!$C$23,-$J$32)</f>
        <v>16.230908610351811</v>
      </c>
      <c r="L17" s="348"/>
      <c r="M17" s="348"/>
      <c r="N17" s="402">
        <f>IF(A17&gt;'Table 3. Fixed Assumptions'!$C$23,0,(G17-K17)/D17*1000/P17)</f>
        <v>8.0646077509235279E-3</v>
      </c>
      <c r="O17" s="125">
        <f t="shared" si="1"/>
        <v>7.9637509474049448E-3</v>
      </c>
      <c r="P17" s="339">
        <f>P16*(1-'Table 3. Fixed Assumptions'!$C$22)</f>
        <v>1466.8495987108365</v>
      </c>
      <c r="Q17" s="313">
        <f t="shared" si="2"/>
        <v>11.82956664320248</v>
      </c>
      <c r="R17" s="313">
        <f t="shared" si="3"/>
        <v>11.681624881433988</v>
      </c>
      <c r="S17" s="314">
        <f>IF(A17&gt;'Table 3. Fixed Assumptions'!$C$23,0,1/(1+'Table 5. VOS Data Table'!$C$6)^A16)</f>
        <v>0.50750273229204079</v>
      </c>
      <c r="T17" s="313">
        <f t="shared" si="4"/>
        <v>6.0035373932560434</v>
      </c>
      <c r="U17" s="315">
        <f t="shared" si="5"/>
        <v>5.9284565449384363</v>
      </c>
      <c r="W17" s="38"/>
      <c r="X17" s="2"/>
      <c r="Y17" s="3"/>
    </row>
    <row r="18" spans="1:25" x14ac:dyDescent="0.3">
      <c r="A18">
        <v>13</v>
      </c>
      <c r="B18" s="308">
        <f t="shared" si="6"/>
        <v>2033</v>
      </c>
      <c r="C18" s="398">
        <f>C17*(1+'Table 5. VOS Data Table'!$G$28)</f>
        <v>339.85097662922942</v>
      </c>
      <c r="D18" s="339">
        <f>D17*(1+'Table 5. VOS Data Table'!$G$30)</f>
        <v>49.552252721357164</v>
      </c>
      <c r="E18" s="348">
        <f>IF(A18&gt;'Table 3. Fixed Assumptions'!$C$23,0,D18*C18/1000)</f>
        <v>16.840381481531622</v>
      </c>
      <c r="F18" s="348">
        <f t="shared" si="10"/>
        <v>8.0354829021413874</v>
      </c>
      <c r="G18" s="348">
        <f t="shared" si="7"/>
        <v>16.817529856765894</v>
      </c>
      <c r="H18" s="399">
        <f t="shared" si="8"/>
        <v>49.589411354402245</v>
      </c>
      <c r="I18" s="400">
        <f>IF(A17&gt;'Table 3. Fixed Assumptions'!$C$23,0,H18*C18/1000)</f>
        <v>16.853009879262203</v>
      </c>
      <c r="J18" s="400">
        <f t="shared" si="9"/>
        <v>8.0415086132665667</v>
      </c>
      <c r="K18" s="401">
        <f>PMT('Table 5. VOS Data Table'!$C$6,'Table 3. Fixed Assumptions'!$C$23,-$J$32)</f>
        <v>16.230908610351811</v>
      </c>
      <c r="L18" s="348"/>
      <c r="M18" s="348"/>
      <c r="N18" s="402">
        <f>IF(A18&gt;'Table 3. Fixed Assumptions'!$C$23,0,(G18-K18)/D18*1000/P18)</f>
        <v>8.1112113592154821E-3</v>
      </c>
      <c r="O18" s="125">
        <f t="shared" si="1"/>
        <v>7.9637509474049448E-3</v>
      </c>
      <c r="P18" s="339">
        <f>P17*(1-'Table 3. Fixed Assumptions'!$C$22)</f>
        <v>1459.5153507172822</v>
      </c>
      <c r="Q18" s="313">
        <f t="shared" si="2"/>
        <v>11.838437491687388</v>
      </c>
      <c r="R18" s="313">
        <f t="shared" si="3"/>
        <v>11.623216757026816</v>
      </c>
      <c r="S18" s="314">
        <f>IF(A18&gt;'Table 3. Fixed Assumptions'!$C$23,0,1/(1+'Table 5. VOS Data Table'!$C$6)^A17)</f>
        <v>0.47715563397145594</v>
      </c>
      <c r="T18" s="313">
        <f t="shared" si="4"/>
        <v>5.6487771465775483</v>
      </c>
      <c r="U18" s="315">
        <f t="shared" si="5"/>
        <v>5.5460833604867803</v>
      </c>
      <c r="W18" s="38"/>
      <c r="X18" s="2"/>
      <c r="Y18" s="3"/>
    </row>
    <row r="19" spans="1:25" x14ac:dyDescent="0.3">
      <c r="A19">
        <v>14</v>
      </c>
      <c r="B19" s="308">
        <f t="shared" si="6"/>
        <v>2034</v>
      </c>
      <c r="C19" s="398">
        <f>C18*(1+'Table 5. VOS Data Table'!$G$28)</f>
        <v>348.85702750990401</v>
      </c>
      <c r="D19" s="339">
        <f>D18*(1+'Table 5. VOS Data Table'!$G$30)</f>
        <v>49.515121932240291</v>
      </c>
      <c r="E19" s="348">
        <f>IF(A19&gt;'Table 3. Fixed Assumptions'!$C$23,0,D19*C19/1000)</f>
        <v>17.273698254071803</v>
      </c>
      <c r="F19" s="348">
        <f t="shared" si="10"/>
        <v>7.7493817614265339</v>
      </c>
      <c r="G19" s="348">
        <f t="shared" si="7"/>
        <v>16.817529856765894</v>
      </c>
      <c r="H19" s="399">
        <f t="shared" si="8"/>
        <v>49.552252721357164</v>
      </c>
      <c r="I19" s="400">
        <f>IF(A18&gt;'Table 3. Fixed Assumptions'!$C$23,0,H19*C19/1000)</f>
        <v>17.286651590792211</v>
      </c>
      <c r="J19" s="400">
        <f t="shared" si="9"/>
        <v>7.7551929287778609</v>
      </c>
      <c r="K19" s="401">
        <f>PMT('Table 5. VOS Data Table'!$C$6,'Table 3. Fixed Assumptions'!$C$23,-$J$32)</f>
        <v>16.230908610351811</v>
      </c>
      <c r="L19" s="348"/>
      <c r="M19" s="348"/>
      <c r="N19" s="402">
        <f>IF(A19&gt;'Table 3. Fixed Assumptions'!$C$23,0,(G19-K19)/D19*1000/P19)</f>
        <v>8.1580842795896721E-3</v>
      </c>
      <c r="O19" s="125">
        <f t="shared" si="1"/>
        <v>7.9637509474049448E-3</v>
      </c>
      <c r="P19" s="339">
        <f>P18*(1-'Table 3. Fixed Assumptions'!$C$22)</f>
        <v>1452.2177739636959</v>
      </c>
      <c r="Q19" s="313">
        <f t="shared" si="2"/>
        <v>11.847314992313935</v>
      </c>
      <c r="R19" s="313">
        <f t="shared" si="3"/>
        <v>11.565100673241684</v>
      </c>
      <c r="S19" s="314">
        <f>IF(A19&gt;'Table 3. Fixed Assumptions'!$C$23,0,1/(1+'Table 5. VOS Data Table'!$C$6)^A18)</f>
        <v>0.44862319854405402</v>
      </c>
      <c r="T19" s="313">
        <f t="shared" si="4"/>
        <v>5.3149803460108025</v>
      </c>
      <c r="U19" s="315">
        <f t="shared" si="5"/>
        <v>5.1883724555136768</v>
      </c>
      <c r="W19" s="38"/>
      <c r="X19" s="2"/>
      <c r="Y19" s="3"/>
    </row>
    <row r="20" spans="1:25" x14ac:dyDescent="0.3">
      <c r="A20">
        <v>15</v>
      </c>
      <c r="B20" s="308">
        <f t="shared" si="6"/>
        <v>2035</v>
      </c>
      <c r="C20" s="398">
        <f>C19*(1+'Table 5. VOS Data Table'!$G$28)</f>
        <v>358.10173873891648</v>
      </c>
      <c r="D20" s="339">
        <f>D19*(1+'Table 5. VOS Data Table'!$G$30)</f>
        <v>49.478018966187449</v>
      </c>
      <c r="E20" s="348">
        <f>IF(A20&gt;'Table 3. Fixed Assumptions'!$C$23,0,D20*C20/1000)</f>
        <v>17.718164621148812</v>
      </c>
      <c r="F20" s="348">
        <f t="shared" si="10"/>
        <v>7.4734671724989434</v>
      </c>
      <c r="G20" s="348">
        <f t="shared" si="7"/>
        <v>16.817529856765894</v>
      </c>
      <c r="H20" s="399">
        <f t="shared" si="8"/>
        <v>49.515121932240291</v>
      </c>
      <c r="I20" s="400">
        <f>IF(A19&gt;'Table 3. Fixed Assumptions'!$C$23,0,H20*C20/1000)</f>
        <v>17.731451257804707</v>
      </c>
      <c r="J20" s="400">
        <f t="shared" si="9"/>
        <v>7.4790714348480041</v>
      </c>
      <c r="K20" s="401">
        <f>PMT('Table 5. VOS Data Table'!$C$6,'Table 3. Fixed Assumptions'!$C$23,-$J$32)</f>
        <v>16.230908610351811</v>
      </c>
      <c r="L20" s="348"/>
      <c r="M20" s="348"/>
      <c r="N20" s="402">
        <f>IF(A20&gt;'Table 3. Fixed Assumptions'!$C$23,0,(G20-K20)/D20*1000/P20)</f>
        <v>8.2052280683418549E-3</v>
      </c>
      <c r="O20" s="125">
        <f t="shared" si="1"/>
        <v>7.9637509474049448E-3</v>
      </c>
      <c r="P20" s="339">
        <f>P19*(1-'Table 3. Fixed Assumptions'!$C$22)</f>
        <v>1444.9566850938775</v>
      </c>
      <c r="Q20" s="313">
        <f t="shared" si="2"/>
        <v>11.856199150070486</v>
      </c>
      <c r="R20" s="313">
        <f t="shared" si="3"/>
        <v>11.507275169875475</v>
      </c>
      <c r="S20" s="314">
        <f>IF(A20&gt;'Table 3. Fixed Assumptions'!$C$23,0,1/(1+'Table 5. VOS Data Table'!$C$6)^A19)</f>
        <v>0.42179691476499998</v>
      </c>
      <c r="T20" s="313">
        <f t="shared" si="4"/>
        <v>5.0009082223391461</v>
      </c>
      <c r="U20" s="315">
        <f t="shared" si="5"/>
        <v>4.8537331640053667</v>
      </c>
      <c r="W20" s="38"/>
      <c r="X20" s="2"/>
      <c r="Y20" s="3"/>
    </row>
    <row r="21" spans="1:25" x14ac:dyDescent="0.3">
      <c r="A21">
        <v>16</v>
      </c>
      <c r="B21" s="308">
        <f t="shared" si="6"/>
        <v>2036</v>
      </c>
      <c r="C21" s="398">
        <f>C20*(1+'Table 5. VOS Data Table'!$G$28)</f>
        <v>367.59143481549773</v>
      </c>
      <c r="D21" s="339">
        <f>D20*(1+'Table 5. VOS Data Table'!$G$30)</f>
        <v>49.440943802350098</v>
      </c>
      <c r="E21" s="348">
        <f>IF(A21&gt;'Table 3. Fixed Assumptions'!$C$23,0,D21*C21/1000)</f>
        <v>18.174067470938262</v>
      </c>
      <c r="F21" s="348">
        <f t="shared" si="10"/>
        <v>7.2073764460066805</v>
      </c>
      <c r="G21" s="348">
        <f t="shared" si="7"/>
        <v>16.817529856765894</v>
      </c>
      <c r="H21" s="399">
        <f t="shared" si="8"/>
        <v>49.478018966187449</v>
      </c>
      <c r="I21" s="400">
        <f>IF(A20&gt;'Table 3. Fixed Assumptions'!$C$23,0,H21*C21/1000)</f>
        <v>18.187695983609252</v>
      </c>
      <c r="J21" s="400">
        <f t="shared" si="9"/>
        <v>7.2127811701487072</v>
      </c>
      <c r="K21" s="401">
        <f>PMT('Table 5. VOS Data Table'!$C$6,'Table 3. Fixed Assumptions'!$C$23,-$J$32)</f>
        <v>16.230908610351811</v>
      </c>
      <c r="L21" s="348"/>
      <c r="M21" s="348"/>
      <c r="N21" s="402">
        <f>IF(A21&gt;'Table 3. Fixed Assumptions'!$C$23,0,(G21-K21)/D21*1000/P21)</f>
        <v>8.2526442907612726E-3</v>
      </c>
      <c r="O21" s="125">
        <f t="shared" si="1"/>
        <v>7.9637509474049448E-3</v>
      </c>
      <c r="P21" s="339">
        <f>P20*(1-'Table 3. Fixed Assumptions'!$C$22)</f>
        <v>1437.731901668408</v>
      </c>
      <c r="Q21" s="313">
        <f t="shared" si="2"/>
        <v>11.865089969949135</v>
      </c>
      <c r="R21" s="313">
        <f t="shared" si="3"/>
        <v>11.449738794026096</v>
      </c>
      <c r="S21" s="314">
        <f>IF(A21&gt;'Table 3. Fixed Assumptions'!$C$23,0,1/(1+'Table 5. VOS Data Table'!$C$6)^A20)</f>
        <v>0.39657476002726588</v>
      </c>
      <c r="T21" s="313">
        <f t="shared" si="4"/>
        <v>4.7053952075344974</v>
      </c>
      <c r="U21" s="315">
        <f t="shared" si="5"/>
        <v>4.540677414615776</v>
      </c>
      <c r="W21" s="38"/>
      <c r="X21" s="2"/>
      <c r="Y21" s="3"/>
    </row>
    <row r="22" spans="1:25" x14ac:dyDescent="0.3">
      <c r="A22">
        <v>17</v>
      </c>
      <c r="B22" s="308">
        <f t="shared" si="6"/>
        <v>2037</v>
      </c>
      <c r="C22" s="398">
        <f>C21*(1+'Table 5. VOS Data Table'!$G$28)</f>
        <v>377.3326078381084</v>
      </c>
      <c r="D22" s="339">
        <f>D21*(1+'Table 5. VOS Data Table'!$G$30)</f>
        <v>49.403896419895311</v>
      </c>
      <c r="E22" s="348">
        <f>IF(A22&gt;'Table 3. Fixed Assumptions'!$C$23,0,D22*C22/1000)</f>
        <v>18.641701073482885</v>
      </c>
      <c r="F22" s="348">
        <f t="shared" si="10"/>
        <v>6.9507598060516145</v>
      </c>
      <c r="G22" s="348">
        <f t="shared" si="7"/>
        <v>16.817529856765894</v>
      </c>
      <c r="H22" s="399">
        <f t="shared" si="8"/>
        <v>49.440943802350098</v>
      </c>
      <c r="I22" s="400">
        <f>IF(A21&gt;'Table 3. Fixed Assumptions'!$C$23,0,H22*C22/1000)</f>
        <v>18.655680258918125</v>
      </c>
      <c r="J22" s="400">
        <f t="shared" si="9"/>
        <v>6.9559720964891447</v>
      </c>
      <c r="K22" s="401">
        <f>PMT('Table 5. VOS Data Table'!$C$6,'Table 3. Fixed Assumptions'!$C$23,-$J$32)</f>
        <v>16.230908610351811</v>
      </c>
      <c r="L22" s="348"/>
      <c r="M22" s="348"/>
      <c r="N22" s="402">
        <f>IF(A22&gt;'Table 3. Fixed Assumptions'!$C$23,0,(G22-K22)/D22*1000/P22)</f>
        <v>8.3003345211826382E-3</v>
      </c>
      <c r="O22" s="125">
        <f t="shared" si="1"/>
        <v>7.9637509474049448E-3</v>
      </c>
      <c r="P22" s="339">
        <f>P21*(1-'Table 3. Fixed Assumptions'!$C$22)</f>
        <v>1430.543242160066</v>
      </c>
      <c r="Q22" s="313">
        <f t="shared" si="2"/>
        <v>11.873987456945731</v>
      </c>
      <c r="R22" s="313">
        <f t="shared" si="3"/>
        <v>11.392490100055968</v>
      </c>
      <c r="S22" s="314">
        <f>IF(A22&gt;'Table 3. Fixed Assumptions'!$C$23,0,1/(1+'Table 5. VOS Data Table'!$C$6)^A21)</f>
        <v>0.3728608123610998</v>
      </c>
      <c r="T22" s="313">
        <f t="shared" si="4"/>
        <v>4.4273446091622946</v>
      </c>
      <c r="U22" s="315">
        <f t="shared" si="5"/>
        <v>4.2478131135226551</v>
      </c>
      <c r="W22" s="38"/>
      <c r="X22" s="2"/>
      <c r="Y22" s="3"/>
    </row>
    <row r="23" spans="1:25" x14ac:dyDescent="0.3">
      <c r="A23">
        <v>18</v>
      </c>
      <c r="B23" s="308">
        <f t="shared" si="6"/>
        <v>2038</v>
      </c>
      <c r="C23" s="398">
        <f>C22*(1+'Table 5. VOS Data Table'!$G$28)</f>
        <v>387.33192194581824</v>
      </c>
      <c r="D23" s="339">
        <f>D22*(1+'Table 5. VOS Data Table'!$G$30)</f>
        <v>49.366876798005784</v>
      </c>
      <c r="E23" s="348">
        <f>IF(A23&gt;'Table 3. Fixed Assumptions'!$C$23,0,D23*C23/1000)</f>
        <v>19.121367270634</v>
      </c>
      <c r="F23" s="348">
        <f t="shared" si="10"/>
        <v>6.7032799304094945</v>
      </c>
      <c r="G23" s="348">
        <f t="shared" si="7"/>
        <v>16.817529856765894</v>
      </c>
      <c r="H23" s="399">
        <f t="shared" si="8"/>
        <v>49.403896419895311</v>
      </c>
      <c r="I23" s="400">
        <f>IF(A22&gt;'Table 3. Fixed Assumptions'!$C$23,0,H23*C23/1000)</f>
        <v>19.135706151930179</v>
      </c>
      <c r="J23" s="400">
        <f t="shared" si="9"/>
        <v>6.7083066386912193</v>
      </c>
      <c r="K23" s="401">
        <f>PMT('Table 5. VOS Data Table'!$C$6,'Table 3. Fixed Assumptions'!$C$23,-$J$32)</f>
        <v>16.230908610351811</v>
      </c>
      <c r="L23" s="348"/>
      <c r="M23" s="348"/>
      <c r="N23" s="402">
        <f>IF(A23&gt;'Table 3. Fixed Assumptions'!$C$23,0,(G23-K23)/D23*1000/P23)</f>
        <v>8.3483003430383975E-3</v>
      </c>
      <c r="O23" s="125">
        <f t="shared" si="1"/>
        <v>7.9637509474049448E-3</v>
      </c>
      <c r="P23" s="339">
        <f>P22*(1-'Table 3. Fixed Assumptions'!$C$22)</f>
        <v>1423.3905259492658</v>
      </c>
      <c r="Q23" s="313">
        <f t="shared" si="2"/>
        <v>11.88289161605986</v>
      </c>
      <c r="R23" s="313">
        <f t="shared" si="3"/>
        <v>11.335527649555688</v>
      </c>
      <c r="S23" s="314">
        <f>IF(A23&gt;'Table 3. Fixed Assumptions'!$C$23,0,1/(1+'Table 5. VOS Data Table'!$C$6)^A22)</f>
        <v>0.35056488563473087</v>
      </c>
      <c r="T23" s="313">
        <f t="shared" si="4"/>
        <v>4.1657245403939269</v>
      </c>
      <c r="U23" s="315">
        <f t="shared" si="5"/>
        <v>3.9738379540758193</v>
      </c>
      <c r="W23" s="38"/>
      <c r="X23" s="2"/>
      <c r="Y23" s="3"/>
    </row>
    <row r="24" spans="1:25" x14ac:dyDescent="0.3">
      <c r="A24">
        <v>19</v>
      </c>
      <c r="B24" s="308">
        <f t="shared" si="6"/>
        <v>2039</v>
      </c>
      <c r="C24" s="398">
        <f>C23*(1+'Table 5. VOS Data Table'!$G$28)</f>
        <v>397.5962178773824</v>
      </c>
      <c r="D24" s="339">
        <f>D23*(1+'Table 5. VOS Data Table'!$G$30)</f>
        <v>49.329884915879802</v>
      </c>
      <c r="E24" s="348">
        <f>IF(A24&gt;'Table 3. Fixed Assumptions'!$C$23,0,D24*C24/1000)</f>
        <v>19.613375670880345</v>
      </c>
      <c r="F24" s="348">
        <f t="shared" si="10"/>
        <v>6.4646115071203267</v>
      </c>
      <c r="G24" s="348">
        <f t="shared" si="7"/>
        <v>16.817529856765894</v>
      </c>
      <c r="H24" s="399">
        <f t="shared" si="8"/>
        <v>49.366876798005784</v>
      </c>
      <c r="I24" s="400">
        <f>IF(A23&gt;'Table 3. Fixed Assumptions'!$C$23,0,H24*C24/1000)</f>
        <v>19.628083503305803</v>
      </c>
      <c r="J24" s="400">
        <f t="shared" si="9"/>
        <v>6.4694592408474474</v>
      </c>
      <c r="K24" s="401">
        <f>PMT('Table 5. VOS Data Table'!$C$6,'Table 3. Fixed Assumptions'!$C$23,-$J$32)</f>
        <v>16.230908610351811</v>
      </c>
      <c r="L24" s="348"/>
      <c r="M24" s="348"/>
      <c r="N24" s="402">
        <f>IF(A24&gt;'Table 3. Fixed Assumptions'!$C$23,0,(G24-K24)/D24*1000/P24)</f>
        <v>8.3965433489113107E-3</v>
      </c>
      <c r="O24" s="125">
        <f t="shared" si="1"/>
        <v>7.9637509474049448E-3</v>
      </c>
      <c r="P24" s="339">
        <f>P23*(1-'Table 3. Fixed Assumptions'!$C$22)</f>
        <v>1416.2735733195195</v>
      </c>
      <c r="Q24" s="313">
        <f t="shared" si="2"/>
        <v>11.891802452294867</v>
      </c>
      <c r="R24" s="313">
        <f t="shared" si="3"/>
        <v>11.27885001130791</v>
      </c>
      <c r="S24" s="314">
        <f>IF(A24&gt;'Table 3. Fixed Assumptions'!$C$23,0,1/(1+'Table 5. VOS Data Table'!$C$6)^A23)</f>
        <v>0.32960218656894585</v>
      </c>
      <c r="T24" s="313">
        <f t="shared" si="4"/>
        <v>3.9195640905223406</v>
      </c>
      <c r="U24" s="315">
        <f t="shared" si="5"/>
        <v>3.7175336257102667</v>
      </c>
      <c r="W24" s="38"/>
      <c r="X24" s="2"/>
      <c r="Y24" s="3"/>
    </row>
    <row r="25" spans="1:25" x14ac:dyDescent="0.3">
      <c r="A25">
        <v>20</v>
      </c>
      <c r="B25" s="308">
        <f t="shared" si="6"/>
        <v>2040</v>
      </c>
      <c r="C25" s="398">
        <f>C24*(1+'Table 5. VOS Data Table'!$G$28)</f>
        <v>408.13251765113301</v>
      </c>
      <c r="D25" s="339">
        <f>D24*(1+'Table 5. VOS Data Table'!$G$30)</f>
        <v>49.292920752731234</v>
      </c>
      <c r="E25" s="348">
        <f>IF(A25&gt;'Table 3. Fixed Assumptions'!$C$23,0,D25*C25/1000)</f>
        <v>20.118043849189981</v>
      </c>
      <c r="F25" s="348">
        <f t="shared" si="10"/>
        <v>6.2344408068662567</v>
      </c>
      <c r="G25" s="348">
        <f t="shared" si="7"/>
        <v>16.817529856765894</v>
      </c>
      <c r="H25" s="399">
        <f t="shared" si="8"/>
        <v>49.329884915879802</v>
      </c>
      <c r="I25" s="400">
        <f>IF(A24&gt;'Table 3. Fixed Assumptions'!$C$23,0,H25*C25/1000)</f>
        <v>20.133130126158672</v>
      </c>
      <c r="J25" s="400">
        <f t="shared" si="9"/>
        <v>6.2391159383781645</v>
      </c>
      <c r="K25" s="401">
        <f>PMT('Table 5. VOS Data Table'!$C$6,'Table 3. Fixed Assumptions'!$C$23,-$J$32)</f>
        <v>16.230908610351811</v>
      </c>
      <c r="L25" s="348"/>
      <c r="M25" s="348"/>
      <c r="N25" s="402">
        <f>IF(A25&gt;'Table 3. Fixed Assumptions'!$C$23,0,(G25-K25)/D25*1000/P25)</f>
        <v>8.4450651405873246E-3</v>
      </c>
      <c r="O25" s="125">
        <f t="shared" si="1"/>
        <v>7.9637509474049448E-3</v>
      </c>
      <c r="P25" s="339">
        <f>P24*(1-'Table 3. Fixed Assumptions'!$C$22)</f>
        <v>1409.1922054529218</v>
      </c>
      <c r="Q25" s="313">
        <f t="shared" si="2"/>
        <v>11.900719970657841</v>
      </c>
      <c r="R25" s="313">
        <f t="shared" si="3"/>
        <v>11.22245576125137</v>
      </c>
      <c r="S25" s="314">
        <f>IF(A25&gt;'Table 3. Fixed Assumptions'!$C$23,0,1/(1+'Table 5. VOS Data Table'!$C$6)^A24)</f>
        <v>0.30989299226113753</v>
      </c>
      <c r="T25" s="313">
        <f t="shared" si="4"/>
        <v>3.6879497217690353</v>
      </c>
      <c r="U25" s="315">
        <f t="shared" si="5"/>
        <v>3.4777603963724291</v>
      </c>
      <c r="W25" s="38"/>
      <c r="X25" s="2"/>
      <c r="Y25" s="3"/>
    </row>
    <row r="26" spans="1:25" x14ac:dyDescent="0.3">
      <c r="A26">
        <v>21</v>
      </c>
      <c r="B26" s="308">
        <f t="shared" si="6"/>
        <v>2041</v>
      </c>
      <c r="C26" s="398">
        <f>C25*(1+'Table 5. VOS Data Table'!$G$28)</f>
        <v>418.948029368888</v>
      </c>
      <c r="D26" s="339">
        <f>D25*(1+'Table 5. VOS Data Table'!$G$30)</f>
        <v>49.255984287789538</v>
      </c>
      <c r="E26" s="348">
        <f>IF(A26&gt;'Table 3. Fixed Assumptions'!$C$23,0,D26*C26/1000)</f>
        <v>20.635697551994337</v>
      </c>
      <c r="F26" s="348">
        <f t="shared" si="10"/>
        <v>6.0124652705747961</v>
      </c>
      <c r="G26" s="348">
        <f t="shared" si="7"/>
        <v>16.817529856765894</v>
      </c>
      <c r="H26" s="399">
        <f t="shared" si="8"/>
        <v>49.292920752731234</v>
      </c>
      <c r="I26" s="400">
        <f>IF(A25&gt;'Table 3. Fixed Assumptions'!$C$23,0,H26*C26/1000)</f>
        <v>20.651172011193513</v>
      </c>
      <c r="J26" s="400">
        <f t="shared" si="9"/>
        <v>6.0169739453255069</v>
      </c>
      <c r="K26" s="401">
        <f>PMT('Table 5. VOS Data Table'!$C$6,'Table 3. Fixed Assumptions'!$C$23,-$J$32)</f>
        <v>16.230908610351811</v>
      </c>
      <c r="L26" s="348"/>
      <c r="M26" s="348"/>
      <c r="N26" s="402">
        <f>IF(A26&gt;'Table 3. Fixed Assumptions'!$C$23,0,(G26-K26)/D26*1000/P26)</f>
        <v>8.4938673291087563E-3</v>
      </c>
      <c r="O26" s="125">
        <f t="shared" si="1"/>
        <v>7.9637509474049448E-3</v>
      </c>
      <c r="P26" s="339">
        <f>P25*(1-'Table 3. Fixed Assumptions'!$C$22)</f>
        <v>1402.1462444256572</v>
      </c>
      <c r="Q26" s="313">
        <f t="shared" si="2"/>
        <v>11.909644176159631</v>
      </c>
      <c r="R26" s="313">
        <f t="shared" si="3"/>
        <v>11.166343482445113</v>
      </c>
      <c r="S26" s="314">
        <f>IF(A26&gt;'Table 3. Fixed Assumptions'!$C$23,0,1/(1+'Table 5. VOS Data Table'!$C$6)^A25)</f>
        <v>0.29136234699241953</v>
      </c>
      <c r="T26" s="313">
        <f t="shared" si="4"/>
        <v>3.4700218790104707</v>
      </c>
      <c r="U26" s="315">
        <f t="shared" si="5"/>
        <v>3.2534520443687152</v>
      </c>
      <c r="W26" s="38"/>
      <c r="X26" s="2"/>
      <c r="Y26" s="3"/>
    </row>
    <row r="27" spans="1:25" x14ac:dyDescent="0.3">
      <c r="A27">
        <v>22</v>
      </c>
      <c r="B27" s="308">
        <f t="shared" si="6"/>
        <v>2042</v>
      </c>
      <c r="C27" s="398">
        <f>C26*(1+'Table 5. VOS Data Table'!$G$28)</f>
        <v>430.05015214716354</v>
      </c>
      <c r="D27" s="339">
        <f>D26*(1+'Table 5. VOS Data Table'!$G$30)</f>
        <v>49.219075500299731</v>
      </c>
      <c r="E27" s="348">
        <f>IF(A27&gt;'Table 3. Fixed Assumptions'!$C$23,0,D27*C27/1000)</f>
        <v>21.166670907446626</v>
      </c>
      <c r="F27" s="348">
        <f t="shared" si="10"/>
        <v>5.7983931117053551</v>
      </c>
      <c r="G27" s="348">
        <f t="shared" si="7"/>
        <v>16.817529856765894</v>
      </c>
      <c r="H27" s="399">
        <f t="shared" si="8"/>
        <v>49.255984287789538</v>
      </c>
      <c r="I27" s="400">
        <f>IF(A26&gt;'Table 3. Fixed Assumptions'!$C$23,0,H27*C27/1000)</f>
        <v>21.182543537122186</v>
      </c>
      <c r="J27" s="400">
        <f t="shared" si="9"/>
        <v>5.8027412563416965</v>
      </c>
      <c r="K27" s="401">
        <f>PMT('Table 5. VOS Data Table'!$C$6,'Table 3. Fixed Assumptions'!$C$23,-$J$32)</f>
        <v>16.230908610351811</v>
      </c>
      <c r="L27" s="348"/>
      <c r="M27" s="348"/>
      <c r="N27" s="402">
        <f>IF(A27&gt;'Table 3. Fixed Assumptions'!$C$23,0,(G27-K27)/D27*1000/P27)</f>
        <v>8.5429515348277862E-3</v>
      </c>
      <c r="O27" s="125">
        <f t="shared" si="1"/>
        <v>7.9637509474049448E-3</v>
      </c>
      <c r="P27" s="339">
        <f>P26*(1-'Table 3. Fixed Assumptions'!$C$22)</f>
        <v>1395.1355132035289</v>
      </c>
      <c r="Q27" s="313">
        <f t="shared" si="2"/>
        <v>11.918575073814839</v>
      </c>
      <c r="R27" s="313">
        <f t="shared" si="3"/>
        <v>11.110511765032888</v>
      </c>
      <c r="S27" s="314">
        <f>IF(A27&gt;'Table 3. Fixed Assumptions'!$C$23,0,1/(1+'Table 5. VOS Data Table'!$C$6)^A26)</f>
        <v>0.27393977716474194</v>
      </c>
      <c r="T27" s="313">
        <f t="shared" si="4"/>
        <v>3.2649717998420846</v>
      </c>
      <c r="U27" s="315">
        <f t="shared" si="5"/>
        <v>3.0436111170993527</v>
      </c>
      <c r="W27" s="38"/>
      <c r="X27" s="2"/>
      <c r="Y27" s="3"/>
    </row>
    <row r="28" spans="1:25" x14ac:dyDescent="0.3">
      <c r="A28">
        <v>23</v>
      </c>
      <c r="B28" s="308">
        <f t="shared" si="6"/>
        <v>2043</v>
      </c>
      <c r="C28" s="398">
        <f>C27*(1+'Table 5. VOS Data Table'!$G$28)</f>
        <v>441.44648117906337</v>
      </c>
      <c r="D28" s="339">
        <f>D27*(1+'Table 5. VOS Data Table'!$G$30)</f>
        <v>49.182194369522371</v>
      </c>
      <c r="E28" s="348">
        <f>IF(A28&gt;'Table 3. Fixed Assumptions'!$C$23,0,D28*C28/1000)</f>
        <v>21.711306641090392</v>
      </c>
      <c r="F28" s="348">
        <f t="shared" si="10"/>
        <v>5.5919429326962042</v>
      </c>
      <c r="G28" s="348">
        <f t="shared" si="7"/>
        <v>16.817529856765894</v>
      </c>
      <c r="H28" s="399">
        <f t="shared" si="8"/>
        <v>49.219075500299731</v>
      </c>
      <c r="I28" s="400">
        <f>IF(A27&gt;'Table 3. Fixed Assumptions'!$C$23,0,H28*C28/1000)</f>
        <v>21.727587686493965</v>
      </c>
      <c r="J28" s="400">
        <f t="shared" si="9"/>
        <v>5.5961362628483888</v>
      </c>
      <c r="K28" s="401">
        <f>PMT('Table 5. VOS Data Table'!$C$6,'Table 3. Fixed Assumptions'!$C$23,-$J$32)</f>
        <v>16.230908610351811</v>
      </c>
      <c r="L28" s="348"/>
      <c r="M28" s="348"/>
      <c r="N28" s="402">
        <f>IF(A28&gt;'Table 3. Fixed Assumptions'!$C$23,0,(G28-K28)/D28*1000/P28)</f>
        <v>8.5923193874602542E-3</v>
      </c>
      <c r="O28" s="125">
        <f t="shared" si="1"/>
        <v>7.9637509474049448E-3</v>
      </c>
      <c r="P28" s="339">
        <f>P27*(1-'Table 3. Fixed Assumptions'!$C$22)</f>
        <v>1388.1598356375114</v>
      </c>
      <c r="Q28" s="313">
        <f t="shared" si="2"/>
        <v>11.927512668641828</v>
      </c>
      <c r="R28" s="313">
        <f t="shared" si="3"/>
        <v>11.054959206207723</v>
      </c>
      <c r="S28" s="314">
        <f>IF(A28&gt;'Table 3. Fixed Assumptions'!$C$23,0,1/(1+'Table 5. VOS Data Table'!$C$6)^A27)</f>
        <v>0.25755902328388669</v>
      </c>
      <c r="T28" s="313">
        <f t="shared" si="4"/>
        <v>3.0720385131415742</v>
      </c>
      <c r="U28" s="315">
        <f t="shared" si="5"/>
        <v>2.8473044955940723</v>
      </c>
      <c r="W28" s="38"/>
      <c r="X28" s="2"/>
      <c r="Y28" s="3"/>
    </row>
    <row r="29" spans="1:25" x14ac:dyDescent="0.3">
      <c r="A29">
        <v>24</v>
      </c>
      <c r="B29" s="308">
        <f t="shared" si="6"/>
        <v>2044</v>
      </c>
      <c r="C29" s="398">
        <f>C28*(1+'Table 5. VOS Data Table'!$G$28)</f>
        <v>453.14481293030855</v>
      </c>
      <c r="D29" s="339">
        <f>D28*(1+'Table 5. VOS Data Table'!$G$30)</f>
        <v>49.14534087473357</v>
      </c>
      <c r="E29" s="348">
        <f>IF(A29&gt;'Table 3. Fixed Assumptions'!$C$23,0,D29*C29/1000)</f>
        <v>22.269956297077393</v>
      </c>
      <c r="F29" s="348">
        <f t="shared" si="10"/>
        <v>5.3928433550677841</v>
      </c>
      <c r="G29" s="348">
        <f t="shared" si="7"/>
        <v>16.817529856765894</v>
      </c>
      <c r="H29" s="399">
        <f t="shared" si="8"/>
        <v>49.182194369522371</v>
      </c>
      <c r="I29" s="400">
        <f>IF(A28&gt;'Table 3. Fixed Assumptions'!$C$23,0,H29*C29/1000)</f>
        <v>22.286656267079287</v>
      </c>
      <c r="J29" s="400">
        <f t="shared" si="9"/>
        <v>5.3968873828625918</v>
      </c>
      <c r="K29" s="401">
        <f>PMT('Table 5. VOS Data Table'!$C$6,'Table 3. Fixed Assumptions'!$C$23,-$J$32)</f>
        <v>16.230908610351811</v>
      </c>
      <c r="L29" s="348"/>
      <c r="M29" s="348"/>
      <c r="N29" s="402">
        <f>IF(A29&gt;'Table 3. Fixed Assumptions'!$C$23,0,(G29-K29)/D29*1000/P29)</f>
        <v>8.6419725261397788E-3</v>
      </c>
      <c r="O29" s="125">
        <f t="shared" si="1"/>
        <v>7.9637509474049448E-3</v>
      </c>
      <c r="P29" s="339">
        <f>P28*(1-'Table 3. Fixed Assumptions'!$C$22)</f>
        <v>1381.2190364593239</v>
      </c>
      <c r="Q29" s="313">
        <f t="shared" si="2"/>
        <v>11.936456965662735</v>
      </c>
      <c r="R29" s="313">
        <f t="shared" si="3"/>
        <v>10.999684410176686</v>
      </c>
      <c r="S29" s="314">
        <f>IF(A29&gt;'Table 3. Fixed Assumptions'!$C$23,0,1/(1+'Table 5. VOS Data Table'!$C$6)^A28)</f>
        <v>0.24215778796905479</v>
      </c>
      <c r="T29" s="313">
        <f t="shared" si="4"/>
        <v>2.8905060149927038</v>
      </c>
      <c r="U29" s="315">
        <f t="shared" si="5"/>
        <v>2.6636592451260834</v>
      </c>
      <c r="W29" s="38"/>
      <c r="X29" s="2"/>
      <c r="Y29" s="3"/>
    </row>
    <row r="30" spans="1:25" x14ac:dyDescent="0.3">
      <c r="A30">
        <v>25</v>
      </c>
      <c r="B30" s="308">
        <f t="shared" si="6"/>
        <v>2045</v>
      </c>
      <c r="C30" s="398">
        <f>C29*(1+'Table 5. VOS Data Table'!$G$28)</f>
        <v>465.15315047296173</v>
      </c>
      <c r="D30" s="339">
        <f>D29*(1+'Table 5. VOS Data Table'!$G$30)</f>
        <v>49.108514995224965</v>
      </c>
      <c r="E30" s="348">
        <f>IF(A30&gt;'Table 3. Fixed Assumptions'!$C$23,0,D30*C30/1000)</f>
        <v>22.842980465077577</v>
      </c>
      <c r="F30" s="348">
        <f t="shared" si="10"/>
        <v>5.2008326626960466</v>
      </c>
      <c r="G30" s="348">
        <f t="shared" si="7"/>
        <v>16.817529856765894</v>
      </c>
      <c r="H30" s="399">
        <f t="shared" si="8"/>
        <v>49.14534087473357</v>
      </c>
      <c r="I30" s="400">
        <f>IF(A29&gt;'Table 3. Fixed Assumptions'!$C$23,0,H30*C30/1000)</f>
        <v>22.860110138949942</v>
      </c>
      <c r="J30" s="400">
        <f t="shared" si="9"/>
        <v>5.2047327040025184</v>
      </c>
      <c r="K30" s="401">
        <f>PMT('Table 5. VOS Data Table'!$C$6,'Table 3. Fixed Assumptions'!$C$23,-$J$32)</f>
        <v>16.230908610351811</v>
      </c>
      <c r="L30" s="348"/>
      <c r="M30" s="348"/>
      <c r="N30" s="402">
        <f>IF(A30&gt;'Table 3. Fixed Assumptions'!$C$23,0,(G30-K30)/D30*1000/P30)</f>
        <v>8.6919125994721642E-3</v>
      </c>
      <c r="O30" s="125">
        <f t="shared" si="1"/>
        <v>7.9637509474049448E-3</v>
      </c>
      <c r="P30" s="339">
        <f>P29*(1-'Table 3. Fixed Assumptions'!$C$22)</f>
        <v>1374.3129412770272</v>
      </c>
      <c r="Q30" s="313">
        <f t="shared" si="2"/>
        <v>11.945407969903441</v>
      </c>
      <c r="R30" s="313">
        <f t="shared" si="3"/>
        <v>10.944685988125801</v>
      </c>
      <c r="S30" s="314">
        <f>IF(A30&gt;'Table 3. Fixed Assumptions'!$C$23,0,1/(1+'Table 5. VOS Data Table'!$C$6)^A29)</f>
        <v>0.22767749903070209</v>
      </c>
      <c r="T30" s="313">
        <f t="shared" si="4"/>
        <v>2.7197006114890314</v>
      </c>
      <c r="U30" s="315">
        <f t="shared" si="5"/>
        <v>2.491858733452851</v>
      </c>
      <c r="W30" s="38"/>
      <c r="X30" s="2"/>
      <c r="Y30" s="3"/>
    </row>
    <row r="31" spans="1:25" ht="19.5" thickBot="1" x14ac:dyDescent="0.35">
      <c r="A31">
        <v>26</v>
      </c>
      <c r="B31" s="316">
        <v>2039</v>
      </c>
      <c r="C31" s="403">
        <f>C30*(1+'Table 5. VOS Data Table'!$G$28)</f>
        <v>477.4797089604952</v>
      </c>
      <c r="D31" s="404"/>
      <c r="E31" s="404"/>
      <c r="F31" s="404"/>
      <c r="G31" s="404"/>
      <c r="H31" s="405">
        <f t="shared" si="8"/>
        <v>49.108514995224965</v>
      </c>
      <c r="I31" s="406">
        <f>IF(A30&gt;'Table 3. Fixed Assumptions'!$C$23,0,H31*C31/1000)</f>
        <v>23.448319447402131</v>
      </c>
      <c r="J31" s="406">
        <f>I31*(S30*S7)</f>
        <v>5.0194196392041093</v>
      </c>
      <c r="K31" s="407"/>
      <c r="L31" s="209"/>
      <c r="M31" s="209"/>
      <c r="N31" s="408"/>
      <c r="O31" s="409"/>
      <c r="P31" s="410"/>
      <c r="Q31" s="209"/>
      <c r="R31" s="209"/>
      <c r="S31" s="314">
        <f>IF(A31&gt;'Table 3. Fixed Assumptions'!$C$23,0,1/(1+Y31)^X31)</f>
        <v>0</v>
      </c>
      <c r="T31" s="209"/>
      <c r="U31" s="411"/>
      <c r="X31" s="2"/>
      <c r="Y31" s="3"/>
    </row>
    <row r="32" spans="1:25" ht="19.5" thickBot="1" x14ac:dyDescent="0.35">
      <c r="B32" s="116"/>
      <c r="C32" s="352"/>
      <c r="D32" s="352"/>
      <c r="E32" s="352"/>
      <c r="F32" s="412">
        <f>SUM(F6:F30)</f>
        <v>207.8226022750782</v>
      </c>
      <c r="G32" s="352"/>
      <c r="H32" s="352"/>
      <c r="I32" s="352"/>
      <c r="J32" s="412">
        <f>SUM(J6:J31)</f>
        <v>200.57343102234643</v>
      </c>
      <c r="K32" s="352"/>
      <c r="L32" s="413"/>
      <c r="M32" s="413"/>
      <c r="N32" s="117"/>
      <c r="O32" s="125">
        <f>T32/(SUMPRODUCT(P6:P30,S6:S30))</f>
        <v>7.9637509474049448E-3</v>
      </c>
      <c r="P32" s="116"/>
      <c r="Q32" s="355"/>
      <c r="R32" s="356"/>
      <c r="S32" s="58" t="s">
        <v>173</v>
      </c>
      <c r="T32" s="414">
        <f>SUM(T6:T30)</f>
        <v>155.24024922867682</v>
      </c>
      <c r="U32" s="415">
        <f>SUM(U6:U30)</f>
        <v>155.24024922867687</v>
      </c>
      <c r="W32" s="39"/>
      <c r="X32" s="2"/>
      <c r="Y32" s="3"/>
    </row>
    <row r="33" spans="2:25" x14ac:dyDescent="0.3">
      <c r="B33" s="116"/>
      <c r="C33" s="117"/>
      <c r="D33" s="117"/>
      <c r="E33" s="117"/>
      <c r="F33" s="117"/>
      <c r="G33" s="117"/>
      <c r="H33" s="117"/>
      <c r="I33" s="117"/>
      <c r="J33" s="117"/>
      <c r="K33" s="117"/>
      <c r="L33" s="209"/>
      <c r="M33" s="209"/>
      <c r="N33" s="117"/>
      <c r="O33" s="117"/>
      <c r="P33" s="116"/>
      <c r="Q33" s="117"/>
      <c r="R33" s="117"/>
      <c r="S33" s="117"/>
      <c r="T33" s="117"/>
      <c r="U33" s="117"/>
      <c r="X33" s="2"/>
      <c r="Y33" s="3"/>
    </row>
    <row r="34" spans="2:25" x14ac:dyDescent="0.3">
      <c r="X34" s="2"/>
      <c r="Y34" s="3"/>
    </row>
    <row r="35" spans="2:25" x14ac:dyDescent="0.3">
      <c r="C35">
        <v>2.65</v>
      </c>
      <c r="U35" s="4"/>
      <c r="X35" s="2"/>
      <c r="Y35" s="3"/>
    </row>
    <row r="36" spans="2:25" ht="56.25" x14ac:dyDescent="0.3">
      <c r="C36" s="33" t="s">
        <v>206</v>
      </c>
      <c r="D36" s="33" t="s">
        <v>207</v>
      </c>
      <c r="E36" s="33" t="s">
        <v>208</v>
      </c>
      <c r="F36" s="232" t="s">
        <v>209</v>
      </c>
      <c r="G36" s="33" t="s">
        <v>210</v>
      </c>
      <c r="H36" s="33" t="s">
        <v>211</v>
      </c>
      <c r="I36" s="33" t="s">
        <v>212</v>
      </c>
      <c r="J36" s="232" t="s">
        <v>209</v>
      </c>
      <c r="K36" s="33" t="s">
        <v>210</v>
      </c>
      <c r="L36" s="123"/>
      <c r="M36" s="123"/>
      <c r="N36" s="32" t="s">
        <v>162</v>
      </c>
      <c r="O36" s="32" t="s">
        <v>163</v>
      </c>
      <c r="P36" s="33" t="s">
        <v>181</v>
      </c>
      <c r="Q36" s="32" t="s">
        <v>165</v>
      </c>
      <c r="R36" s="32" t="s">
        <v>163</v>
      </c>
      <c r="S36" s="21" t="s">
        <v>166</v>
      </c>
      <c r="T36" s="34" t="s">
        <v>162</v>
      </c>
      <c r="U36" s="35" t="s">
        <v>163</v>
      </c>
      <c r="X36" s="2"/>
      <c r="Y36" s="3"/>
    </row>
    <row r="37" spans="2:25" x14ac:dyDescent="0.3">
      <c r="C37" s="215" t="s">
        <v>182</v>
      </c>
      <c r="D37" s="215" t="s">
        <v>213</v>
      </c>
      <c r="E37" s="215" t="s">
        <v>214</v>
      </c>
      <c r="F37" s="215" t="s">
        <v>214</v>
      </c>
      <c r="G37" s="215" t="s">
        <v>215</v>
      </c>
      <c r="H37" s="215" t="s">
        <v>213</v>
      </c>
      <c r="I37" s="215" t="s">
        <v>214</v>
      </c>
      <c r="J37" s="215" t="s">
        <v>214</v>
      </c>
      <c r="K37" s="215" t="s">
        <v>215</v>
      </c>
      <c r="L37" s="288"/>
      <c r="M37" s="288"/>
      <c r="N37" s="215" t="s">
        <v>169</v>
      </c>
      <c r="O37" s="215" t="s">
        <v>169</v>
      </c>
      <c r="P37" s="215" t="s">
        <v>170</v>
      </c>
      <c r="Q37" s="299" t="s">
        <v>171</v>
      </c>
      <c r="R37" s="299" t="s">
        <v>171</v>
      </c>
      <c r="S37" s="392"/>
      <c r="T37" s="299" t="s">
        <v>171</v>
      </c>
      <c r="U37" s="299" t="s">
        <v>171</v>
      </c>
    </row>
    <row r="38" spans="2:25" x14ac:dyDescent="0.3">
      <c r="C38" s="393">
        <v>204.89921620636665</v>
      </c>
      <c r="D38" s="337">
        <v>50</v>
      </c>
      <c r="E38" s="346">
        <v>10.244960810318332</v>
      </c>
      <c r="F38" s="346">
        <v>10.244960810318332</v>
      </c>
      <c r="G38" s="393">
        <v>13.877825637803213</v>
      </c>
      <c r="H38" s="394"/>
      <c r="I38" s="395"/>
      <c r="J38" s="395"/>
      <c r="K38" s="396">
        <v>13.393745785262308</v>
      </c>
      <c r="L38" s="348"/>
      <c r="M38" s="348"/>
      <c r="N38" s="397">
        <v>6.1942399557377466E-3</v>
      </c>
      <c r="O38" s="136">
        <v>6.5170283344771858E-3</v>
      </c>
      <c r="P38" s="337">
        <v>1563</v>
      </c>
      <c r="Q38" s="305">
        <v>9.6815970508180982</v>
      </c>
      <c r="R38" s="305">
        <v>10.186115286787841</v>
      </c>
      <c r="S38" s="306">
        <v>1</v>
      </c>
      <c r="T38" s="305">
        <v>9.6815970508180982</v>
      </c>
      <c r="U38" s="307">
        <v>10.186115286787841</v>
      </c>
      <c r="W38" s="38">
        <f>G38-K38</f>
        <v>0.48407985254090491</v>
      </c>
    </row>
    <row r="39" spans="2:25" x14ac:dyDescent="0.3">
      <c r="C39" s="398">
        <v>210.32904543583535</v>
      </c>
      <c r="D39" s="339">
        <v>49.962533702225741</v>
      </c>
      <c r="E39" s="348">
        <v>10.508572021144893</v>
      </c>
      <c r="F39" s="348">
        <v>9.8801918213096016</v>
      </c>
      <c r="G39" s="348">
        <v>13.877825637803213</v>
      </c>
      <c r="H39" s="399">
        <v>50</v>
      </c>
      <c r="I39" s="400">
        <v>10.516452271791769</v>
      </c>
      <c r="J39" s="400">
        <v>9.8876008572694314</v>
      </c>
      <c r="K39" s="401">
        <v>13.393745785262308</v>
      </c>
      <c r="L39" s="348"/>
      <c r="M39" s="348"/>
      <c r="N39" s="402">
        <v>6.2300351167027066E-3</v>
      </c>
      <c r="O39" s="125">
        <v>6.5170283344771858E-3</v>
      </c>
      <c r="P39" s="339">
        <v>1555.1849999999999</v>
      </c>
      <c r="Q39" s="313">
        <v>9.688857162969299</v>
      </c>
      <c r="R39" s="313">
        <v>10.135184710353903</v>
      </c>
      <c r="S39" s="314">
        <v>0.94020308386611495</v>
      </c>
      <c r="T39" s="313">
        <v>9.1094933837620324</v>
      </c>
      <c r="U39" s="315">
        <v>9.5291319202274369</v>
      </c>
    </row>
    <row r="40" spans="2:25" x14ac:dyDescent="0.3">
      <c r="C40" s="398">
        <v>215.90276513988499</v>
      </c>
      <c r="D40" s="339">
        <v>49.925095478920859</v>
      </c>
      <c r="E40" s="348">
        <v>10.778966163771784</v>
      </c>
      <c r="F40" s="348">
        <v>9.5284103310142321</v>
      </c>
      <c r="G40" s="348">
        <v>13.877825637803213</v>
      </c>
      <c r="H40" s="399">
        <v>49.962533702225741</v>
      </c>
      <c r="I40" s="400">
        <v>10.787049179705233</v>
      </c>
      <c r="J40" s="400">
        <v>9.5355555703030319</v>
      </c>
      <c r="K40" s="401">
        <v>13.393745785262308</v>
      </c>
      <c r="L40" s="348"/>
      <c r="M40" s="348"/>
      <c r="N40" s="402">
        <v>6.2660371300914779E-3</v>
      </c>
      <c r="O40" s="125">
        <v>6.5170283344771858E-3</v>
      </c>
      <c r="P40" s="339">
        <v>1547.409075</v>
      </c>
      <c r="Q40" s="313">
        <v>9.6961227193905088</v>
      </c>
      <c r="R40" s="313">
        <v>10.084508786802132</v>
      </c>
      <c r="S40" s="314">
        <v>0.88398183891135285</v>
      </c>
      <c r="T40" s="313">
        <v>8.5711963917969687</v>
      </c>
      <c r="U40" s="315">
        <v>8.9145226218750455</v>
      </c>
    </row>
    <row r="41" spans="2:25" x14ac:dyDescent="0.3">
      <c r="C41" s="398">
        <v>221.62418841609193</v>
      </c>
      <c r="D41" s="339">
        <v>49.887685309048429</v>
      </c>
      <c r="E41" s="348">
        <v>11.056317768575251</v>
      </c>
      <c r="F41" s="348">
        <v>9.1891539231416086</v>
      </c>
      <c r="G41" s="348">
        <v>13.877825637803213</v>
      </c>
      <c r="H41" s="399">
        <v>49.925095478920859</v>
      </c>
      <c r="I41" s="400">
        <v>11.064608767111734</v>
      </c>
      <c r="J41" s="400">
        <v>9.1960447581667051</v>
      </c>
      <c r="K41" s="401">
        <v>13.393745785262308</v>
      </c>
      <c r="L41" s="348"/>
      <c r="M41" s="348"/>
      <c r="N41" s="402">
        <v>6.302247191259075E-3</v>
      </c>
      <c r="O41" s="125">
        <v>6.5170283344771858E-3</v>
      </c>
      <c r="P41" s="339">
        <v>1539.6720296250001</v>
      </c>
      <c r="Q41" s="313">
        <v>9.7033937241643162</v>
      </c>
      <c r="R41" s="313">
        <v>10.034086242868122</v>
      </c>
      <c r="S41" s="314">
        <v>0.83112245102609328</v>
      </c>
      <c r="T41" s="313">
        <v>8.0647083752986575</v>
      </c>
      <c r="U41" s="315">
        <v>8.339554351979757</v>
      </c>
    </row>
    <row r="42" spans="2:25" x14ac:dyDescent="0.3">
      <c r="C42" s="398">
        <v>227.49722940911835</v>
      </c>
      <c r="D42" s="339">
        <v>49.850303171587285</v>
      </c>
      <c r="E42" s="348">
        <v>11.340805856740694</v>
      </c>
      <c r="F42" s="348">
        <v>8.8619766456049227</v>
      </c>
      <c r="G42" s="348">
        <v>13.877825637803213</v>
      </c>
      <c r="H42" s="399">
        <v>49.887685309048429</v>
      </c>
      <c r="I42" s="400">
        <v>11.349310189442495</v>
      </c>
      <c r="J42" s="400">
        <v>8.8686221343595886</v>
      </c>
      <c r="K42" s="401">
        <v>13.393745785262308</v>
      </c>
      <c r="L42" s="348"/>
      <c r="M42" s="348"/>
      <c r="N42" s="402">
        <v>6.3386665024682126E-3</v>
      </c>
      <c r="O42" s="125">
        <v>6.5170283344771858E-3</v>
      </c>
      <c r="P42" s="339">
        <v>1531.9736694768751</v>
      </c>
      <c r="Q42" s="313">
        <v>9.7106701813763774</v>
      </c>
      <c r="R42" s="313">
        <v>9.9839158116537821</v>
      </c>
      <c r="S42" s="314">
        <v>0.78142389152509684</v>
      </c>
      <c r="T42" s="313">
        <v>7.5881496824478472</v>
      </c>
      <c r="U42" s="315">
        <v>7.8016703462014441</v>
      </c>
    </row>
    <row r="43" spans="2:25" x14ac:dyDescent="0.3">
      <c r="C43" s="398">
        <v>233.52590598845998</v>
      </c>
      <c r="D43" s="339">
        <v>49.812949045532008</v>
      </c>
      <c r="E43" s="348">
        <v>11.632614055814855</v>
      </c>
      <c r="F43" s="348">
        <v>8.5464484243177719</v>
      </c>
      <c r="G43" s="348">
        <v>13.877825637803213</v>
      </c>
      <c r="H43" s="399">
        <v>49.850303171587285</v>
      </c>
      <c r="I43" s="400">
        <v>11.641337211944322</v>
      </c>
      <c r="J43" s="400">
        <v>8.5528573022879382</v>
      </c>
      <c r="K43" s="401">
        <v>13.393745785262308</v>
      </c>
      <c r="L43" s="348"/>
      <c r="M43" s="348"/>
      <c r="N43" s="402">
        <v>6.3752962729292165E-3</v>
      </c>
      <c r="O43" s="125">
        <v>6.5170283344771858E-3</v>
      </c>
      <c r="P43" s="339">
        <v>1524.3138011294907</v>
      </c>
      <c r="Q43" s="313">
        <v>9.7179520951154093</v>
      </c>
      <c r="R43" s="313">
        <v>9.9339962325955131</v>
      </c>
      <c r="S43" s="314">
        <v>0.7346971526185565</v>
      </c>
      <c r="T43" s="313">
        <v>7.1397517335648271</v>
      </c>
      <c r="U43" s="315">
        <v>7.2984787462113907</v>
      </c>
    </row>
    <row r="44" spans="2:25" x14ac:dyDescent="0.3">
      <c r="C44" s="398">
        <v>239.71434249715418</v>
      </c>
      <c r="D44" s="339">
        <v>49.775622909892931</v>
      </c>
      <c r="E44" s="348">
        <v>11.931930718231268</v>
      </c>
      <c r="F44" s="348">
        <v>8.2421544978623533</v>
      </c>
      <c r="G44" s="348">
        <v>13.877825637803213</v>
      </c>
      <c r="H44" s="399">
        <v>49.812949045532008</v>
      </c>
      <c r="I44" s="400">
        <v>11.94087832829395</v>
      </c>
      <c r="J44" s="400">
        <v>8.2483351895093957</v>
      </c>
      <c r="K44" s="401">
        <v>13.393745785262308</v>
      </c>
      <c r="L44" s="348"/>
      <c r="M44" s="348"/>
      <c r="N44" s="402">
        <v>6.4121377188401758E-3</v>
      </c>
      <c r="O44" s="125">
        <v>6.5170283344771858E-3</v>
      </c>
      <c r="P44" s="339">
        <v>1516.6922321238433</v>
      </c>
      <c r="Q44" s="313">
        <v>9.7252394694731947</v>
      </c>
      <c r="R44" s="313">
        <v>9.884326251432535</v>
      </c>
      <c r="S44" s="314">
        <v>0.69076452859962056</v>
      </c>
      <c r="T44" s="313">
        <v>6.7178504576490754</v>
      </c>
      <c r="U44" s="315">
        <v>6.82774196359565</v>
      </c>
    </row>
    <row r="45" spans="2:25" x14ac:dyDescent="0.3">
      <c r="C45" s="398">
        <v>246.06677257332876</v>
      </c>
      <c r="D45" s="339">
        <v>49.738324743696104</v>
      </c>
      <c r="E45" s="348">
        <v>12.238949042885441</v>
      </c>
      <c r="F45" s="348">
        <v>7.9486948722861408</v>
      </c>
      <c r="G45" s="348">
        <v>13.877825637803213</v>
      </c>
      <c r="H45" s="399">
        <v>49.775622909892931</v>
      </c>
      <c r="I45" s="400">
        <v>12.248126882264396</v>
      </c>
      <c r="J45" s="400">
        <v>7.9546555021208212</v>
      </c>
      <c r="K45" s="401">
        <v>13.393745785262308</v>
      </c>
      <c r="L45" s="348"/>
      <c r="M45" s="348"/>
      <c r="N45" s="402">
        <v>6.4491920634273227E-3</v>
      </c>
      <c r="O45" s="125">
        <v>6.5170283344771858E-3</v>
      </c>
      <c r="P45" s="339">
        <v>1509.1087709632241</v>
      </c>
      <c r="Q45" s="313">
        <v>9.7325323085445863</v>
      </c>
      <c r="R45" s="313">
        <v>9.8349046201753723</v>
      </c>
      <c r="S45" s="314">
        <v>0.64945894001468651</v>
      </c>
      <c r="T45" s="313">
        <v>6.3208801167660571</v>
      </c>
      <c r="U45" s="315">
        <v>6.3873667297646399</v>
      </c>
    </row>
    <row r="46" spans="2:25" x14ac:dyDescent="0.3">
      <c r="C46" s="398">
        <v>252.58754204652197</v>
      </c>
      <c r="D46" s="339">
        <v>49.701054525983302</v>
      </c>
      <c r="E46" s="348">
        <v>12.553867199838288</v>
      </c>
      <c r="F46" s="348">
        <v>7.6656837953103727</v>
      </c>
      <c r="G46" s="348">
        <v>13.877825637803213</v>
      </c>
      <c r="H46" s="399">
        <v>49.738324743696104</v>
      </c>
      <c r="I46" s="400">
        <v>12.563281192521904</v>
      </c>
      <c r="J46" s="400">
        <v>7.671432198572508</v>
      </c>
      <c r="K46" s="401">
        <v>13.393745785262308</v>
      </c>
      <c r="L46" s="348"/>
      <c r="M46" s="348"/>
      <c r="N46" s="402">
        <v>6.4864605369856464E-3</v>
      </c>
      <c r="O46" s="125">
        <v>6.5170283344771858E-3</v>
      </c>
      <c r="P46" s="339">
        <v>1501.563227108408</v>
      </c>
      <c r="Q46" s="313">
        <v>9.7398306164275041</v>
      </c>
      <c r="R46" s="313">
        <v>9.7857300970744969</v>
      </c>
      <c r="S46" s="314">
        <v>0.6106232982462263</v>
      </c>
      <c r="T46" s="313">
        <v>5.9473674953625384</v>
      </c>
      <c r="U46" s="315">
        <v>5.9753947876229931</v>
      </c>
    </row>
    <row r="47" spans="2:25" x14ac:dyDescent="0.3">
      <c r="C47" s="398">
        <v>259.28111191075482</v>
      </c>
      <c r="D47" s="339">
        <v>49.663812235812003</v>
      </c>
      <c r="E47" s="348">
        <v>12.876888458228287</v>
      </c>
      <c r="F47" s="348">
        <v>7.3927492492592322</v>
      </c>
      <c r="G47" s="348">
        <v>13.877825637803213</v>
      </c>
      <c r="H47" s="399">
        <v>49.701054525983302</v>
      </c>
      <c r="I47" s="400">
        <v>12.886544680634005</v>
      </c>
      <c r="J47" s="400">
        <v>7.3982929822170913</v>
      </c>
      <c r="K47" s="401">
        <v>13.393745785262308</v>
      </c>
      <c r="L47" s="348"/>
      <c r="M47" s="348"/>
      <c r="N47" s="402">
        <v>6.5239443769197431E-3</v>
      </c>
      <c r="O47" s="125">
        <v>6.5170283344771858E-3</v>
      </c>
      <c r="P47" s="339">
        <v>1494.055410972866</v>
      </c>
      <c r="Q47" s="313">
        <v>9.7471343972229452</v>
      </c>
      <c r="R47" s="313">
        <v>9.7368014465891246</v>
      </c>
      <c r="S47" s="314">
        <v>0.57410990809160045</v>
      </c>
      <c r="T47" s="313">
        <v>5.5959264329461424</v>
      </c>
      <c r="U47" s="315">
        <v>5.5899941836074447</v>
      </c>
    </row>
    <row r="48" spans="2:25" x14ac:dyDescent="0.3">
      <c r="C48" s="398">
        <v>266.15206137638984</v>
      </c>
      <c r="D48" s="339">
        <v>49.626597852255365</v>
      </c>
      <c r="E48" s="348">
        <v>13.208221317474887</v>
      </c>
      <c r="F48" s="348">
        <v>7.1295324620430831</v>
      </c>
      <c r="G48" s="348">
        <v>13.877825637803213</v>
      </c>
      <c r="H48" s="399">
        <v>49.663812235812003</v>
      </c>
      <c r="I48" s="400">
        <v>13.218126002371337</v>
      </c>
      <c r="J48" s="400">
        <v>7.1348788119261002</v>
      </c>
      <c r="K48" s="401">
        <v>13.393745785262308</v>
      </c>
      <c r="L48" s="348"/>
      <c r="M48" s="348"/>
      <c r="N48" s="402">
        <v>6.5616448277849007E-3</v>
      </c>
      <c r="O48" s="125">
        <v>6.5170283344771858E-3</v>
      </c>
      <c r="P48" s="339">
        <v>1486.5851339180017</v>
      </c>
      <c r="Q48" s="313">
        <v>9.7544436550349793</v>
      </c>
      <c r="R48" s="313">
        <v>9.6881174393561782</v>
      </c>
      <c r="S48" s="314">
        <v>0.5397799060658145</v>
      </c>
      <c r="T48" s="313">
        <v>5.2652526798390618</v>
      </c>
      <c r="U48" s="315">
        <v>5.229451121370257</v>
      </c>
    </row>
    <row r="49" spans="3:21" x14ac:dyDescent="0.3">
      <c r="C49" s="398">
        <v>273.20509100286415</v>
      </c>
      <c r="D49" s="339">
        <v>49.589411354402245</v>
      </c>
      <c r="E49" s="348">
        <v>13.54807964185793</v>
      </c>
      <c r="F49" s="348">
        <v>6.8756874355530728</v>
      </c>
      <c r="G49" s="348">
        <v>13.877825637803213</v>
      </c>
      <c r="H49" s="399">
        <v>49.626597852255365</v>
      </c>
      <c r="I49" s="400">
        <v>13.55823918238797</v>
      </c>
      <c r="J49" s="400">
        <v>6.8808434301309003</v>
      </c>
      <c r="K49" s="401">
        <v>13.393745785262308</v>
      </c>
      <c r="L49" s="348"/>
      <c r="M49" s="348"/>
      <c r="N49" s="402">
        <v>6.5995631413284205E-3</v>
      </c>
      <c r="O49" s="125">
        <v>6.5170283344771858E-3</v>
      </c>
      <c r="P49" s="339">
        <v>1479.1522082484116</v>
      </c>
      <c r="Q49" s="313">
        <v>9.7617583939707568</v>
      </c>
      <c r="R49" s="313">
        <v>9.639676852159397</v>
      </c>
      <c r="S49" s="314">
        <v>0.50750273229204079</v>
      </c>
      <c r="T49" s="313">
        <v>4.9541190569149229</v>
      </c>
      <c r="U49" s="315">
        <v>4.8921623408832327</v>
      </c>
    </row>
    <row r="50" spans="3:21" x14ac:dyDescent="0.3">
      <c r="C50" s="398">
        <v>280.44502591444007</v>
      </c>
      <c r="D50" s="339">
        <v>49.552252721357164</v>
      </c>
      <c r="E50" s="348">
        <v>13.896682798559894</v>
      </c>
      <c r="F50" s="348">
        <v>6.6308804908470727</v>
      </c>
      <c r="G50" s="348">
        <v>13.877825637803213</v>
      </c>
      <c r="H50" s="399">
        <v>49.589411354402245</v>
      </c>
      <c r="I50" s="400">
        <v>13.907103752367165</v>
      </c>
      <c r="J50" s="400">
        <v>6.6358529076675685</v>
      </c>
      <c r="K50" s="401">
        <v>13.393745785262308</v>
      </c>
      <c r="L50" s="348"/>
      <c r="M50" s="348"/>
      <c r="N50" s="402">
        <v>6.6377005765311759E-3</v>
      </c>
      <c r="O50" s="125">
        <v>6.5170283344771858E-3</v>
      </c>
      <c r="P50" s="339">
        <v>1471.7564472071695</v>
      </c>
      <c r="Q50" s="313">
        <v>9.7690786181405045</v>
      </c>
      <c r="R50" s="313">
        <v>9.5914784678986003</v>
      </c>
      <c r="S50" s="314">
        <v>0.47715563397145594</v>
      </c>
      <c r="T50" s="313">
        <v>4.6613709013558271</v>
      </c>
      <c r="U50" s="315">
        <v>4.5766279890737254</v>
      </c>
    </row>
    <row r="51" spans="3:21" x14ac:dyDescent="0.3">
      <c r="C51" s="398">
        <v>287.87681910117271</v>
      </c>
      <c r="D51" s="339">
        <v>49.515121932240291</v>
      </c>
      <c r="E51" s="348">
        <v>14.254255799260049</v>
      </c>
      <c r="F51" s="348">
        <v>6.3947898295291745</v>
      </c>
      <c r="G51" s="348">
        <v>13.877825637803213</v>
      </c>
      <c r="H51" s="399">
        <v>49.552252721357164</v>
      </c>
      <c r="I51" s="400">
        <v>14.264944892721729</v>
      </c>
      <c r="J51" s="400">
        <v>6.3995852048274902</v>
      </c>
      <c r="K51" s="401">
        <v>13.393745785262308</v>
      </c>
      <c r="L51" s="348"/>
      <c r="M51" s="348"/>
      <c r="N51" s="402">
        <v>6.6760583996494198E-3</v>
      </c>
      <c r="O51" s="125">
        <v>6.5170283344771858E-3</v>
      </c>
      <c r="P51" s="339">
        <v>1464.3976649711335</v>
      </c>
      <c r="Q51" s="313">
        <v>9.7764043316575329</v>
      </c>
      <c r="R51" s="313">
        <v>9.5435210755591058</v>
      </c>
      <c r="S51" s="314">
        <v>0.44862319854405402</v>
      </c>
      <c r="T51" s="313">
        <v>4.3859217815281468</v>
      </c>
      <c r="U51" s="315">
        <v>4.2814449502899166</v>
      </c>
    </row>
    <row r="52" spans="3:21" x14ac:dyDescent="0.3">
      <c r="C52" s="398">
        <v>295.5055548073538</v>
      </c>
      <c r="D52" s="339">
        <v>49.478018966187449</v>
      </c>
      <c r="E52" s="348">
        <v>14.621029445371995</v>
      </c>
      <c r="F52" s="348">
        <v>6.1671051107461263</v>
      </c>
      <c r="G52" s="348">
        <v>13.877825637803213</v>
      </c>
      <c r="H52" s="399">
        <v>49.515121932240291</v>
      </c>
      <c r="I52" s="400">
        <v>14.63199357794044</v>
      </c>
      <c r="J52" s="400">
        <v>6.1717297480365705</v>
      </c>
      <c r="K52" s="401">
        <v>13.393745785262308</v>
      </c>
      <c r="L52" s="348"/>
      <c r="M52" s="348"/>
      <c r="N52" s="402">
        <v>6.7146378842568204E-3</v>
      </c>
      <c r="O52" s="125">
        <v>6.5170283344771858E-3</v>
      </c>
      <c r="P52" s="339">
        <v>1457.0756766462778</v>
      </c>
      <c r="Q52" s="313">
        <v>9.7837355386382381</v>
      </c>
      <c r="R52" s="313">
        <v>9.4958034701813094</v>
      </c>
      <c r="S52" s="314">
        <v>0.42179691476499998</v>
      </c>
      <c r="T52" s="313">
        <v>4.126749465074294</v>
      </c>
      <c r="U52" s="315">
        <v>4.005300606937257</v>
      </c>
    </row>
    <row r="53" spans="3:21" x14ac:dyDescent="0.3">
      <c r="C53" s="398">
        <v>303.33645200974865</v>
      </c>
      <c r="D53" s="339">
        <v>49.440943802350098</v>
      </c>
      <c r="E53" s="348">
        <v>14.99724047701825</v>
      </c>
      <c r="F53" s="348">
        <v>5.9475270432447109</v>
      </c>
      <c r="G53" s="348">
        <v>13.877825637803213</v>
      </c>
      <c r="H53" s="399">
        <v>49.478018966187449</v>
      </c>
      <c r="I53" s="400">
        <v>15.008486725674352</v>
      </c>
      <c r="J53" s="400">
        <v>5.9519870216067119</v>
      </c>
      <c r="K53" s="401">
        <v>13.393745785262308</v>
      </c>
      <c r="L53" s="348"/>
      <c r="M53" s="348"/>
      <c r="N53" s="402">
        <v>6.7534403112867502E-3</v>
      </c>
      <c r="O53" s="125">
        <v>6.5170283344771858E-3</v>
      </c>
      <c r="P53" s="339">
        <v>1449.7902982630465</v>
      </c>
      <c r="Q53" s="313">
        <v>9.7910722432020982</v>
      </c>
      <c r="R53" s="313">
        <v>9.4483244528304038</v>
      </c>
      <c r="S53" s="314">
        <v>0.39657476002726588</v>
      </c>
      <c r="T53" s="313">
        <v>3.8828921252574959</v>
      </c>
      <c r="U53" s="315">
        <v>3.7469670025409658</v>
      </c>
    </row>
    <row r="54" spans="3:21" x14ac:dyDescent="0.3">
      <c r="C54" s="398">
        <v>311.374867988007</v>
      </c>
      <c r="D54" s="339">
        <v>49.403896419895311</v>
      </c>
      <c r="E54" s="348">
        <v>15.383131725838073</v>
      </c>
      <c r="F54" s="348">
        <v>5.735766991953791</v>
      </c>
      <c r="G54" s="348">
        <v>13.877825637803213</v>
      </c>
      <c r="H54" s="399">
        <v>49.440943802350098</v>
      </c>
      <c r="I54" s="400">
        <v>15.394667349659233</v>
      </c>
      <c r="J54" s="400">
        <v>5.7400681740228405</v>
      </c>
      <c r="K54" s="401">
        <v>13.393745785262308</v>
      </c>
      <c r="L54" s="348"/>
      <c r="M54" s="348"/>
      <c r="N54" s="402">
        <v>6.7924669690748191E-3</v>
      </c>
      <c r="O54" s="125">
        <v>6.5170283344771858E-3</v>
      </c>
      <c r="P54" s="339">
        <v>1442.5413467717312</v>
      </c>
      <c r="Q54" s="313">
        <v>9.7984144494716894</v>
      </c>
      <c r="R54" s="313">
        <v>9.4010828305662528</v>
      </c>
      <c r="S54" s="314">
        <v>0.3728608123610998</v>
      </c>
      <c r="T54" s="313">
        <v>3.6534447714807525</v>
      </c>
      <c r="U54" s="315">
        <v>3.5052953812789207</v>
      </c>
    </row>
    <row r="55" spans="3:21" x14ac:dyDescent="0.3">
      <c r="C55" s="398">
        <v>319.62630198968918</v>
      </c>
      <c r="D55" s="339">
        <v>49.366876798005784</v>
      </c>
      <c r="E55" s="348">
        <v>15.778952271727178</v>
      </c>
      <c r="F55" s="348">
        <v>5.5315465985739154</v>
      </c>
      <c r="G55" s="348">
        <v>13.877825637803213</v>
      </c>
      <c r="H55" s="399">
        <v>49.403896419895311</v>
      </c>
      <c r="I55" s="400">
        <v>15.790784716572784</v>
      </c>
      <c r="J55" s="400">
        <v>5.5356946382479943</v>
      </c>
      <c r="K55" s="401">
        <v>13.393745785262308</v>
      </c>
      <c r="L55" s="348"/>
      <c r="M55" s="348"/>
      <c r="N55" s="402">
        <v>6.8317191534016455E-3</v>
      </c>
      <c r="O55" s="125">
        <v>6.5170283344771858E-3</v>
      </c>
      <c r="P55" s="339">
        <v>1435.3286400378727</v>
      </c>
      <c r="Q55" s="313">
        <v>9.8057621615726713</v>
      </c>
      <c r="R55" s="313">
        <v>9.3540774164134213</v>
      </c>
      <c r="S55" s="314">
        <v>0.35056488563473087</v>
      </c>
      <c r="T55" s="313">
        <v>3.437555890733095</v>
      </c>
      <c r="U55" s="315">
        <v>3.2792110797033898</v>
      </c>
    </row>
    <row r="56" spans="3:21" x14ac:dyDescent="0.3">
      <c r="C56" s="398">
        <v>328.09639899241591</v>
      </c>
      <c r="D56" s="339">
        <v>49.329884915879802</v>
      </c>
      <c r="E56" s="348">
        <v>16.18495760361046</v>
      </c>
      <c r="F56" s="348">
        <v>5.3345974156756935</v>
      </c>
      <c r="G56" s="348">
        <v>13.877825637803213</v>
      </c>
      <c r="H56" s="399">
        <v>49.366876798005784</v>
      </c>
      <c r="I56" s="400">
        <v>16.197094506927947</v>
      </c>
      <c r="J56" s="400">
        <v>5.3385977655473127</v>
      </c>
      <c r="K56" s="401">
        <v>13.393745785262308</v>
      </c>
      <c r="L56" s="348"/>
      <c r="M56" s="348"/>
      <c r="N56" s="402">
        <v>6.8711981675358795E-3</v>
      </c>
      <c r="O56" s="125">
        <v>6.5170283344771858E-3</v>
      </c>
      <c r="P56" s="339">
        <v>1428.1519968376833</v>
      </c>
      <c r="Q56" s="313">
        <v>9.8131153836337965</v>
      </c>
      <c r="R56" s="313">
        <v>9.3073070293313549</v>
      </c>
      <c r="S56" s="314">
        <v>0.32960218656894585</v>
      </c>
      <c r="T56" s="313">
        <v>3.2344242874990594</v>
      </c>
      <c r="U56" s="315">
        <v>3.0677087479361345</v>
      </c>
    </row>
    <row r="57" spans="3:21" x14ac:dyDescent="0.3">
      <c r="C57" s="398">
        <v>336.79095356571491</v>
      </c>
      <c r="D57" s="339">
        <v>49.292920752731234</v>
      </c>
      <c r="E57" s="348">
        <v>16.601409784351571</v>
      </c>
      <c r="F57" s="348">
        <v>5.1446605538260339</v>
      </c>
      <c r="G57" s="348">
        <v>13.877825637803213</v>
      </c>
      <c r="H57" s="399">
        <v>49.329884915879802</v>
      </c>
      <c r="I57" s="400">
        <v>16.613858980106134</v>
      </c>
      <c r="J57" s="400">
        <v>5.14851847234966</v>
      </c>
      <c r="K57" s="401">
        <v>13.393745785262308</v>
      </c>
      <c r="L57" s="348"/>
      <c r="M57" s="348"/>
      <c r="N57" s="402">
        <v>6.9109053222774809E-3</v>
      </c>
      <c r="O57" s="125">
        <v>6.5170283344771858E-3</v>
      </c>
      <c r="P57" s="339">
        <v>1421.0112368534949</v>
      </c>
      <c r="Q57" s="313">
        <v>9.8204741197869243</v>
      </c>
      <c r="R57" s="313">
        <v>9.2607704941846976</v>
      </c>
      <c r="S57" s="314">
        <v>0.30989299226113753</v>
      </c>
      <c r="T57" s="313">
        <v>3.0432961104038307</v>
      </c>
      <c r="U57" s="315">
        <v>2.8698478790865494</v>
      </c>
    </row>
    <row r="58" spans="3:21" x14ac:dyDescent="0.3">
      <c r="C58" s="398">
        <v>345.71591383520632</v>
      </c>
      <c r="D58" s="339">
        <v>49.255984287789538</v>
      </c>
      <c r="E58" s="348">
        <v>17.028577619905725</v>
      </c>
      <c r="F58" s="348">
        <v>4.961486341278321</v>
      </c>
      <c r="G58" s="348">
        <v>13.877825637803213</v>
      </c>
      <c r="H58" s="399">
        <v>49.292920752731234</v>
      </c>
      <c r="I58" s="400">
        <v>17.041347143636884</v>
      </c>
      <c r="J58" s="400">
        <v>4.9652068996826069</v>
      </c>
      <c r="K58" s="401">
        <v>13.393745785262308</v>
      </c>
      <c r="L58" s="348"/>
      <c r="M58" s="348"/>
      <c r="N58" s="402">
        <v>6.9508419360012324E-3</v>
      </c>
      <c r="O58" s="125">
        <v>6.5170283344771858E-3</v>
      </c>
      <c r="P58" s="339">
        <v>1413.9061806692275</v>
      </c>
      <c r="Q58" s="313">
        <v>9.8278383741670012</v>
      </c>
      <c r="R58" s="313">
        <v>9.2144666417137753</v>
      </c>
      <c r="S58" s="314">
        <v>0.29136234699241953</v>
      </c>
      <c r="T58" s="313">
        <v>2.863462054559462</v>
      </c>
      <c r="U58" s="315">
        <v>2.6847486270130836</v>
      </c>
    </row>
    <row r="59" spans="3:21" x14ac:dyDescent="0.3">
      <c r="C59" s="398">
        <v>354.87738555183927</v>
      </c>
      <c r="D59" s="339">
        <v>49.219075500299731</v>
      </c>
      <c r="E59" s="348">
        <v>17.466736832824953</v>
      </c>
      <c r="F59" s="348">
        <v>4.7848339957792581</v>
      </c>
      <c r="G59" s="348">
        <v>13.877825637803213</v>
      </c>
      <c r="H59" s="399">
        <v>49.255984287789538</v>
      </c>
      <c r="I59" s="400">
        <v>17.479834926833224</v>
      </c>
      <c r="J59" s="400">
        <v>4.7884220847331669</v>
      </c>
      <c r="K59" s="401">
        <v>13.393745785262308</v>
      </c>
      <c r="L59" s="348"/>
      <c r="M59" s="348"/>
      <c r="N59" s="402">
        <v>6.9910093347005167E-3</v>
      </c>
      <c r="O59" s="125">
        <v>6.5170283344771858E-3</v>
      </c>
      <c r="P59" s="339">
        <v>1406.8366497658815</v>
      </c>
      <c r="Q59" s="313">
        <v>9.835208150912079</v>
      </c>
      <c r="R59" s="313">
        <v>9.1683943085052064</v>
      </c>
      <c r="S59" s="314">
        <v>0.27393977716474194</v>
      </c>
      <c r="T59" s="313">
        <v>2.6942547292297085</v>
      </c>
      <c r="U59" s="315">
        <v>2.5115878938304044</v>
      </c>
    </row>
    <row r="60" spans="3:21" x14ac:dyDescent="0.3">
      <c r="C60" s="398">
        <v>364.28163626896298</v>
      </c>
      <c r="D60" s="339">
        <v>49.182194369522371</v>
      </c>
      <c r="E60" s="348">
        <v>17.916170240227789</v>
      </c>
      <c r="F60" s="348">
        <v>4.6144713080609066</v>
      </c>
      <c r="G60" s="348">
        <v>13.877825637803213</v>
      </c>
      <c r="H60" s="399">
        <v>49.219075500299731</v>
      </c>
      <c r="I60" s="400">
        <v>17.929605358894811</v>
      </c>
      <c r="J60" s="400">
        <v>4.6179316441024882</v>
      </c>
      <c r="K60" s="401">
        <v>13.393745785262308</v>
      </c>
      <c r="L60" s="348"/>
      <c r="M60" s="348"/>
      <c r="N60" s="402">
        <v>7.0314088520313459E-3</v>
      </c>
      <c r="O60" s="125">
        <v>6.5170283344771858E-3</v>
      </c>
      <c r="P60" s="339">
        <v>1399.8024665170522</v>
      </c>
      <c r="Q60" s="313">
        <v>9.8425834541633126</v>
      </c>
      <c r="R60" s="313">
        <v>9.1225523369626806</v>
      </c>
      <c r="S60" s="314">
        <v>0.25755902328388669</v>
      </c>
      <c r="T60" s="313">
        <v>2.5350461810444465</v>
      </c>
      <c r="U60" s="315">
        <v>2.3495956697642462</v>
      </c>
    </row>
    <row r="61" spans="3:21" x14ac:dyDescent="0.3">
      <c r="C61" s="398">
        <v>373.93509963009052</v>
      </c>
      <c r="D61" s="339">
        <v>49.14534087473357</v>
      </c>
      <c r="E61" s="348">
        <v>18.377167936348258</v>
      </c>
      <c r="F61" s="348">
        <v>4.4501743366019335</v>
      </c>
      <c r="G61" s="348">
        <v>13.877825637803213</v>
      </c>
      <c r="H61" s="399">
        <v>49.182194369522371</v>
      </c>
      <c r="I61" s="400">
        <v>18.390948751593825</v>
      </c>
      <c r="J61" s="400">
        <v>4.4535114683382107</v>
      </c>
      <c r="K61" s="401">
        <v>13.393745785262308</v>
      </c>
      <c r="L61" s="348"/>
      <c r="M61" s="348"/>
      <c r="N61" s="402">
        <v>7.0720418293566392E-3</v>
      </c>
      <c r="O61" s="125">
        <v>6.5170283344771858E-3</v>
      </c>
      <c r="P61" s="339">
        <v>1392.8034541844668</v>
      </c>
      <c r="Q61" s="313">
        <v>9.849964288064962</v>
      </c>
      <c r="R61" s="313">
        <v>9.0769395752778674</v>
      </c>
      <c r="S61" s="314">
        <v>0.24215778796905479</v>
      </c>
      <c r="T61" s="313">
        <v>2.3852455635719969</v>
      </c>
      <c r="U61" s="315">
        <v>2.19805160907806</v>
      </c>
    </row>
    <row r="62" spans="3:21" x14ac:dyDescent="0.3">
      <c r="C62" s="398">
        <v>383.8443797702879</v>
      </c>
      <c r="D62" s="339">
        <v>49.108514995224965</v>
      </c>
      <c r="E62" s="348">
        <v>18.85002747978201</v>
      </c>
      <c r="F62" s="348">
        <v>4.2917271132567762</v>
      </c>
      <c r="G62" s="348">
        <v>13.877825637803213</v>
      </c>
      <c r="H62" s="399">
        <v>49.14534087473357</v>
      </c>
      <c r="I62" s="400">
        <v>18.864162886661486</v>
      </c>
      <c r="J62" s="400">
        <v>4.2949454273428769</v>
      </c>
      <c r="K62" s="401">
        <v>13.393745785262308</v>
      </c>
      <c r="L62" s="348"/>
      <c r="M62" s="348"/>
      <c r="N62" s="402">
        <v>7.1129096157907541E-3</v>
      </c>
      <c r="O62" s="125">
        <v>6.5170283344771858E-3</v>
      </c>
      <c r="P62" s="339">
        <v>1385.8394369135444</v>
      </c>
      <c r="Q62" s="313">
        <v>9.8573506567643943</v>
      </c>
      <c r="R62" s="313">
        <v>9.0315548774014776</v>
      </c>
      <c r="S62" s="314">
        <v>0.22767749903070209</v>
      </c>
      <c r="T62" s="313">
        <v>2.2442969446007659</v>
      </c>
      <c r="U62" s="315">
        <v>2.0562818268453076</v>
      </c>
    </row>
    <row r="63" spans="3:21" ht="19.5" thickBot="1" x14ac:dyDescent="0.35">
      <c r="C63" s="403">
        <v>394.01625583420054</v>
      </c>
      <c r="D63" s="404"/>
      <c r="E63" s="404"/>
      <c r="F63" s="404"/>
      <c r="G63" s="404"/>
      <c r="H63" s="405">
        <v>49.108514995224965</v>
      </c>
      <c r="I63" s="406">
        <v>19.349553207996234</v>
      </c>
      <c r="J63" s="406">
        <v>4.1420250862712296</v>
      </c>
      <c r="K63" s="407"/>
      <c r="L63" s="209"/>
      <c r="M63" s="209"/>
      <c r="N63" s="408"/>
      <c r="O63" s="409"/>
      <c r="P63" s="410"/>
      <c r="Q63" s="209"/>
      <c r="R63" s="209"/>
      <c r="S63" s="314">
        <v>0</v>
      </c>
      <c r="T63" s="209"/>
      <c r="U63" s="411"/>
    </row>
    <row r="64" spans="3:21" ht="19.5" thickBot="1" x14ac:dyDescent="0.35">
      <c r="C64" s="352"/>
      <c r="D64" s="352"/>
      <c r="E64" s="352"/>
      <c r="F64" s="412">
        <v>171.49521139739446</v>
      </c>
      <c r="G64" s="352"/>
      <c r="H64" s="352"/>
      <c r="I64" s="352"/>
      <c r="J64" s="412">
        <v>165.5131952796402</v>
      </c>
      <c r="K64" s="352"/>
      <c r="L64" s="413"/>
      <c r="M64" s="413"/>
      <c r="N64" s="117"/>
      <c r="O64" s="125">
        <v>6.5170283344771858E-3</v>
      </c>
      <c r="P64" s="116"/>
      <c r="Q64" s="355"/>
      <c r="R64" s="356"/>
      <c r="S64" s="58" t="s">
        <v>173</v>
      </c>
      <c r="T64" s="414">
        <v>128.10425366350512</v>
      </c>
      <c r="U64" s="415">
        <v>128.10425366350512</v>
      </c>
    </row>
  </sheetData>
  <mergeCells count="5">
    <mergeCell ref="N3:O3"/>
    <mergeCell ref="Q3:R3"/>
    <mergeCell ref="T3:U3"/>
    <mergeCell ref="D3:G3"/>
    <mergeCell ref="H3:K3"/>
  </mergeCells>
  <phoneticPr fontId="3" type="noConversion"/>
  <pageMargins left="0.75" right="0.75" top="1" bottom="1" header="0.5" footer="0.5"/>
  <pageSetup scale="75" fitToWidth="2" orientation="landscape" r:id="rId1"/>
  <headerFooter alignWithMargins="0">
    <oddHeader>&amp;LNorthern States Power Company&amp;RDocket No. E002/M-13-867
Attachment A - &amp;A</oddHeader>
  </headerFooter>
  <colBreaks count="1" manualBreakCount="1">
    <brk id="12" max="3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2:S40"/>
  <sheetViews>
    <sheetView view="pageBreakPreview" zoomScale="60" zoomScaleNormal="55" workbookViewId="0">
      <selection activeCell="W34" sqref="W34"/>
    </sheetView>
  </sheetViews>
  <sheetFormatPr defaultRowHeight="18.75" x14ac:dyDescent="0.3"/>
  <cols>
    <col min="3" max="3" width="13.33203125" customWidth="1"/>
    <col min="4" max="4" width="13.88671875" customWidth="1"/>
    <col min="5" max="6" width="10.5546875" customWidth="1"/>
    <col min="7" max="7" width="15" customWidth="1"/>
    <col min="10" max="10" width="14.109375" style="2" customWidth="1"/>
    <col min="16" max="17" width="8.88671875" style="87"/>
  </cols>
  <sheetData>
    <row r="2" spans="1:19" ht="26.25" x14ac:dyDescent="0.4">
      <c r="B2" s="114" t="s">
        <v>26</v>
      </c>
      <c r="D2" s="2"/>
      <c r="J2" s="2" t="s">
        <v>43</v>
      </c>
      <c r="L2" s="132">
        <f>'Table 3. Fixed Assumptions'!G6</f>
        <v>5.1733000000000029E-2</v>
      </c>
    </row>
    <row r="3" spans="1:19" ht="26.25" x14ac:dyDescent="0.4">
      <c r="B3" s="114"/>
      <c r="D3" s="2"/>
    </row>
    <row r="4" spans="1:19" x14ac:dyDescent="0.3">
      <c r="B4" s="2"/>
      <c r="D4" s="2"/>
      <c r="E4" s="418" t="s">
        <v>157</v>
      </c>
      <c r="F4" s="419"/>
      <c r="G4" s="2"/>
      <c r="H4" s="418" t="s">
        <v>158</v>
      </c>
      <c r="I4" s="419"/>
      <c r="K4" s="418" t="s">
        <v>159</v>
      </c>
      <c r="L4" s="419"/>
    </row>
    <row r="5" spans="1:19" ht="56.25" x14ac:dyDescent="0.3">
      <c r="B5" s="19" t="s">
        <v>31</v>
      </c>
      <c r="C5" s="33" t="s">
        <v>216</v>
      </c>
      <c r="D5" s="33" t="s">
        <v>217</v>
      </c>
      <c r="E5" s="32" t="s">
        <v>162</v>
      </c>
      <c r="F5" s="32" t="s">
        <v>163</v>
      </c>
      <c r="G5" s="33" t="s">
        <v>164</v>
      </c>
      <c r="H5" s="32" t="s">
        <v>165</v>
      </c>
      <c r="I5" s="32" t="s">
        <v>163</v>
      </c>
      <c r="J5" s="21" t="s">
        <v>166</v>
      </c>
      <c r="K5" s="34" t="s">
        <v>162</v>
      </c>
      <c r="L5" s="35" t="s">
        <v>163</v>
      </c>
      <c r="O5" s="9"/>
      <c r="P5" s="102"/>
      <c r="Q5" s="102"/>
      <c r="R5" s="9"/>
      <c r="S5" s="9"/>
    </row>
    <row r="6" spans="1:19" x14ac:dyDescent="0.3">
      <c r="B6" s="46"/>
      <c r="C6" s="36" t="s">
        <v>42</v>
      </c>
      <c r="D6" s="47" t="s">
        <v>218</v>
      </c>
      <c r="E6" s="47" t="s">
        <v>169</v>
      </c>
      <c r="F6" s="47" t="s">
        <v>169</v>
      </c>
      <c r="G6" s="48" t="s">
        <v>170</v>
      </c>
      <c r="H6" s="48" t="s">
        <v>171</v>
      </c>
      <c r="I6" s="48" t="s">
        <v>171</v>
      </c>
      <c r="J6" s="46" t="s">
        <v>172</v>
      </c>
      <c r="K6" s="48" t="s">
        <v>171</v>
      </c>
      <c r="L6" s="48" t="s">
        <v>171</v>
      </c>
      <c r="O6" s="9"/>
      <c r="P6" s="122"/>
      <c r="Q6" s="102"/>
      <c r="R6" s="9"/>
      <c r="S6" s="9"/>
    </row>
    <row r="7" spans="1:19" x14ac:dyDescent="0.3">
      <c r="A7" s="2">
        <v>1</v>
      </c>
      <c r="B7" s="300">
        <f>'Table 5. VOS Data Table'!$C$5</f>
        <v>2021</v>
      </c>
      <c r="C7" s="179">
        <f>IF(A7&gt;'Table 3. Fixed Assumptions'!$C$23,0,'Table 4. Enviroment Costs'!J6)</f>
        <v>3.1679692010664136</v>
      </c>
      <c r="D7" s="52">
        <f>'Table 5. VOS Data Table'!$G$6</f>
        <v>7578.879381763064</v>
      </c>
      <c r="E7" s="83">
        <f>D7*C7/1000/1000</f>
        <v>2.4009656460022646E-2</v>
      </c>
      <c r="F7" s="136">
        <f>K33/(SUMPRODUCT(G7:G31,J7:J31))</f>
        <v>3.5269818584532098E-2</v>
      </c>
      <c r="G7" s="68">
        <f>'Table 5. VOS Data Table'!C17</f>
        <v>1550</v>
      </c>
      <c r="H7" s="25">
        <f>G7*E7</f>
        <v>37.214967513035099</v>
      </c>
      <c r="I7" s="25">
        <f>G7*F7</f>
        <v>54.668218806024754</v>
      </c>
      <c r="J7" s="66">
        <v>1</v>
      </c>
      <c r="K7" s="25">
        <f>H7*J7</f>
        <v>37.214967513035099</v>
      </c>
      <c r="L7" s="26">
        <f>J7*I7</f>
        <v>54.668218806024754</v>
      </c>
      <c r="O7" s="9"/>
      <c r="P7" s="102"/>
      <c r="Q7" s="102"/>
      <c r="R7" s="9"/>
      <c r="S7" s="9"/>
    </row>
    <row r="8" spans="1:19" x14ac:dyDescent="0.3">
      <c r="A8" s="2">
        <v>2</v>
      </c>
      <c r="B8" s="308">
        <f>B7+1</f>
        <v>2022</v>
      </c>
      <c r="C8" s="180">
        <f>IF(A8&gt;'Table 3. Fixed Assumptions'!$C$23,0,'Table 4. Enviroment Costs'!J7)</f>
        <v>3.2894082207484843</v>
      </c>
      <c r="D8" s="50">
        <f>D7*(1+'Table 5. VOS Data Table'!$G$9)</f>
        <v>7586.4582611448259</v>
      </c>
      <c r="E8" s="84">
        <f t="shared" ref="E8:E30" si="0">D8*C8/1000/1000</f>
        <v>2.4954958170575043E-2</v>
      </c>
      <c r="F8" s="125">
        <f>IF(E8=0,0,F7)</f>
        <v>3.5269818584532098E-2</v>
      </c>
      <c r="G8" s="69">
        <f>G7*(1-'Table 3. Fixed Assumptions'!$C$22)</f>
        <v>1542.25</v>
      </c>
      <c r="H8" s="27">
        <f t="shared" ref="H8:H31" si="1">G8*E8</f>
        <v>38.486784238569363</v>
      </c>
      <c r="I8" s="27">
        <f t="shared" ref="I8:I31" si="2">G8*F8</f>
        <v>54.394877711994624</v>
      </c>
      <c r="J8" s="67">
        <f>IF(C8=0,0,1/(1+$L$2)^A7)</f>
        <v>0.9508116603738781</v>
      </c>
      <c r="K8" s="27">
        <f t="shared" ref="K8:K31" si="3">H8*J8</f>
        <v>36.593683224325339</v>
      </c>
      <c r="L8" s="28">
        <f t="shared" ref="L8:L31" si="4">J8*I8</f>
        <v>51.719283993175665</v>
      </c>
      <c r="O8" s="9"/>
      <c r="P8" s="95"/>
      <c r="Q8" s="102"/>
      <c r="R8" s="9"/>
      <c r="S8" s="9"/>
    </row>
    <row r="9" spans="1:19" x14ac:dyDescent="0.3">
      <c r="A9" s="2">
        <v>3</v>
      </c>
      <c r="B9" s="308">
        <f t="shared" ref="B9:B31" si="5">B8+1</f>
        <v>2023</v>
      </c>
      <c r="C9" s="180">
        <f>IF(A9&gt;'Table 3. Fixed Assumptions'!$C$23,0,'Table 4. Enviroment Costs'!J8)</f>
        <v>3.4145615554931319</v>
      </c>
      <c r="D9" s="50">
        <f>D8*(1+'Table 5. VOS Data Table'!$G$9)</f>
        <v>7594.0447194059698</v>
      </c>
      <c r="E9" s="84">
        <f t="shared" si="0"/>
        <v>2.5930333149579252E-2</v>
      </c>
      <c r="F9" s="125">
        <f t="shared" ref="F9:F31" si="6">IF(E9=0,0,F8)</f>
        <v>3.5269818584532098E-2</v>
      </c>
      <c r="G9" s="69">
        <f>G8*(1-'Table 3. Fixed Assumptions'!$C$22)</f>
        <v>1534.5387499999999</v>
      </c>
      <c r="H9" s="27">
        <f>G9*E9</f>
        <v>39.791101018438908</v>
      </c>
      <c r="I9" s="27">
        <f>G9*F9</f>
        <v>54.122903323434649</v>
      </c>
      <c r="J9" s="67">
        <f t="shared" ref="J9:J31" si="7">IF(C9=0,0,1/(1+$L$2)^A8)</f>
        <v>0.90404281350293092</v>
      </c>
      <c r="K9" s="27">
        <f t="shared" si="3"/>
        <v>35.97285891708885</v>
      </c>
      <c r="L9" s="28">
        <f t="shared" si="4"/>
        <v>48.929421795464989</v>
      </c>
      <c r="O9" s="9"/>
      <c r="P9" s="95"/>
      <c r="Q9" s="132"/>
      <c r="R9" s="9"/>
      <c r="S9" s="9"/>
    </row>
    <row r="10" spans="1:19" x14ac:dyDescent="0.3">
      <c r="A10" s="2">
        <v>4</v>
      </c>
      <c r="B10" s="308">
        <f t="shared" si="5"/>
        <v>2024</v>
      </c>
      <c r="C10" s="180">
        <f>IF(A10&gt;'Table 3. Fixed Assumptions'!$C$23,0,'Table 4. Enviroment Costs'!J9)</f>
        <v>3.5435318835300449</v>
      </c>
      <c r="D10" s="50">
        <f>D9*(1+'Table 5. VOS Data Table'!$G$9)</f>
        <v>7601.638764125375</v>
      </c>
      <c r="E10" s="84">
        <f t="shared" si="0"/>
        <v>2.6936649327756194E-2</v>
      </c>
      <c r="F10" s="125">
        <f t="shared" si="6"/>
        <v>3.5269818584532098E-2</v>
      </c>
      <c r="G10" s="69">
        <f>G9*(1-'Table 3. Fixed Assumptions'!$C$22)</f>
        <v>1526.8660562499999</v>
      </c>
      <c r="H10" s="27">
        <f>G10*E10</f>
        <v>41.128655527660314</v>
      </c>
      <c r="I10" s="27">
        <f t="shared" si="2"/>
        <v>53.852288806817477</v>
      </c>
      <c r="J10" s="67">
        <f t="shared" si="7"/>
        <v>0.85957444855579401</v>
      </c>
      <c r="K10" s="27">
        <f t="shared" si="3"/>
        <v>35.353141395029823</v>
      </c>
      <c r="L10" s="28">
        <f t="shared" si="4"/>
        <v>46.290051454587491</v>
      </c>
      <c r="O10" s="9"/>
      <c r="P10" s="95"/>
      <c r="Q10" s="132"/>
      <c r="R10" s="9"/>
      <c r="S10" s="9"/>
    </row>
    <row r="11" spans="1:19" x14ac:dyDescent="0.3">
      <c r="A11" s="2">
        <v>5</v>
      </c>
      <c r="B11" s="308">
        <f t="shared" si="5"/>
        <v>2025</v>
      </c>
      <c r="C11" s="180">
        <f>IF(A11&gt;'Table 3. Fixed Assumptions'!$C$23,0,'Table 4. Enviroment Costs'!J10)</f>
        <v>3.676424562459994</v>
      </c>
      <c r="D11" s="50">
        <f>D10*(1+'Table 5. VOS Data Table'!$G$9)</f>
        <v>7609.2404028894998</v>
      </c>
      <c r="E11" s="84">
        <f t="shared" si="0"/>
        <v>2.7974798318845938E-2</v>
      </c>
      <c r="F11" s="125">
        <f t="shared" si="6"/>
        <v>3.5269818584532098E-2</v>
      </c>
      <c r="G11" s="69">
        <f>G10*(1-'Table 3. Fixed Assumptions'!$C$22)</f>
        <v>1519.23172596875</v>
      </c>
      <c r="H11" s="27">
        <f t="shared" si="1"/>
        <v>42.500201133567998</v>
      </c>
      <c r="I11" s="27">
        <f t="shared" si="2"/>
        <v>53.58302736278339</v>
      </c>
      <c r="J11" s="67">
        <f t="shared" si="7"/>
        <v>0.81729340864629518</v>
      </c>
      <c r="K11" s="27">
        <f t="shared" si="3"/>
        <v>34.735134252606926</v>
      </c>
      <c r="L11" s="28">
        <f t="shared" si="4"/>
        <v>43.793055078916943</v>
      </c>
      <c r="O11" s="9"/>
      <c r="P11" s="95"/>
      <c r="Q11" s="132"/>
      <c r="R11" s="9"/>
      <c r="S11" s="9"/>
    </row>
    <row r="12" spans="1:19" x14ac:dyDescent="0.3">
      <c r="A12" s="2">
        <v>6</v>
      </c>
      <c r="B12" s="308">
        <f t="shared" si="5"/>
        <v>2026</v>
      </c>
      <c r="C12" s="180">
        <f>IF(A12&gt;'Table 3. Fixed Assumptions'!$C$23,0,'Table 4. Enviroment Costs'!J11)</f>
        <v>3.8133476966109203</v>
      </c>
      <c r="D12" s="50">
        <f>D11*(1+'Table 5. VOS Data Table'!$G$9)</f>
        <v>7616.8496432923885</v>
      </c>
      <c r="E12" s="84">
        <f t="shared" si="0"/>
        <v>2.9045696042680737E-2</v>
      </c>
      <c r="F12" s="125">
        <f t="shared" si="6"/>
        <v>3.5269818584532098E-2</v>
      </c>
      <c r="G12" s="69">
        <f>G11*(1-'Table 3. Fixed Assumptions'!$C$22)</f>
        <v>1511.6355673389062</v>
      </c>
      <c r="H12" s="27">
        <f t="shared" si="1"/>
        <v>43.90650721623112</v>
      </c>
      <c r="I12" s="27">
        <f t="shared" si="2"/>
        <v>53.315112225969472</v>
      </c>
      <c r="J12" s="67">
        <f t="shared" si="7"/>
        <v>0.77709210288761044</v>
      </c>
      <c r="K12" s="27">
        <f t="shared" si="3"/>
        <v>34.119400023111083</v>
      </c>
      <c r="L12" s="28">
        <f t="shared" si="4"/>
        <v>41.430752675367565</v>
      </c>
      <c r="O12" s="9"/>
      <c r="P12" s="95"/>
      <c r="Q12" s="132"/>
      <c r="R12" s="9"/>
      <c r="S12" s="9"/>
    </row>
    <row r="13" spans="1:19" x14ac:dyDescent="0.3">
      <c r="A13" s="2">
        <v>7</v>
      </c>
      <c r="B13" s="308">
        <f t="shared" si="5"/>
        <v>2027</v>
      </c>
      <c r="C13" s="180">
        <f>IF(A13&gt;'Table 3. Fixed Assumptions'!$C$23,0,'Table 4. Enviroment Costs'!J12)</f>
        <v>3.9544122060435631</v>
      </c>
      <c r="D13" s="50">
        <f>D12*(1+'Table 5. VOS Data Table'!$G$9)</f>
        <v>7624.4664929356804</v>
      </c>
      <c r="E13" s="84">
        <f t="shared" si="0"/>
        <v>3.015028336423501E-2</v>
      </c>
      <c r="F13" s="125">
        <f t="shared" si="6"/>
        <v>3.5269818584532098E-2</v>
      </c>
      <c r="G13" s="69">
        <f>G12*(1-'Table 3. Fixed Assumptions'!$C$22)</f>
        <v>1504.0773895022116</v>
      </c>
      <c r="H13" s="27">
        <f t="shared" si="1"/>
        <v>45.348359495230554</v>
      </c>
      <c r="I13" s="27">
        <f t="shared" si="2"/>
        <v>53.048536664839624</v>
      </c>
      <c r="J13" s="67">
        <f t="shared" si="7"/>
        <v>0.73886823260999746</v>
      </c>
      <c r="K13" s="27">
        <f t="shared" si="3"/>
        <v>33.506462232003798</v>
      </c>
      <c r="L13" s="28">
        <f t="shared" si="4"/>
        <v>39.195878528096699</v>
      </c>
      <c r="P13" s="95"/>
      <c r="Q13" s="132"/>
      <c r="R13" s="9"/>
    </row>
    <row r="14" spans="1:19" x14ac:dyDescent="0.3">
      <c r="A14" s="2">
        <v>8</v>
      </c>
      <c r="B14" s="308">
        <f t="shared" si="5"/>
        <v>2028</v>
      </c>
      <c r="C14" s="180">
        <f>IF(A14&gt;'Table 3. Fixed Assumptions'!$C$23,0,'Table 4. Enviroment Costs'!J13)</f>
        <v>4.0997318972462571</v>
      </c>
      <c r="D14" s="50">
        <f>D13*(1+'Table 5. VOS Data Table'!$G$9)</f>
        <v>7632.090959428615</v>
      </c>
      <c r="E14" s="84">
        <f t="shared" si="0"/>
        <v>3.1289526749054282E-2</v>
      </c>
      <c r="F14" s="125">
        <f t="shared" si="6"/>
        <v>3.5269818584532098E-2</v>
      </c>
      <c r="G14" s="69">
        <f>G13*(1-'Table 3. Fixed Assumptions'!$C$22)</f>
        <v>1496.5570025547006</v>
      </c>
      <c r="H14" s="27">
        <f t="shared" si="1"/>
        <v>46.8265603629198</v>
      </c>
      <c r="I14" s="27">
        <f t="shared" si="2"/>
        <v>52.783293981515428</v>
      </c>
      <c r="J14" s="67">
        <f t="shared" si="7"/>
        <v>0.70252453104542445</v>
      </c>
      <c r="K14" s="27">
        <f t="shared" si="3"/>
        <v>32.89680735943049</v>
      </c>
      <c r="L14" s="28">
        <f t="shared" si="4"/>
        <v>37.081558851396899</v>
      </c>
      <c r="P14" s="95"/>
      <c r="Q14" s="132"/>
      <c r="R14" s="9"/>
    </row>
    <row r="15" spans="1:19" x14ac:dyDescent="0.3">
      <c r="A15" s="2">
        <v>9</v>
      </c>
      <c r="B15" s="308">
        <f t="shared" si="5"/>
        <v>2029</v>
      </c>
      <c r="C15" s="180">
        <f>IF(A15&gt;'Table 3. Fixed Assumptions'!$C$23,0,'Table 4. Enviroment Costs'!J14)</f>
        <v>4.2494235355594485</v>
      </c>
      <c r="D15" s="50">
        <f>D14*(1+'Table 5. VOS Data Table'!$G$9)</f>
        <v>7639.7230503880428</v>
      </c>
      <c r="E15" s="84">
        <f t="shared" si="0"/>
        <v>3.2464418935474977E-2</v>
      </c>
      <c r="F15" s="125">
        <f t="shared" si="6"/>
        <v>3.5269818584532098E-2</v>
      </c>
      <c r="G15" s="69">
        <f>G14*(1-'Table 3. Fixed Assumptions'!$C$22)</f>
        <v>1489.0742175419271</v>
      </c>
      <c r="H15" s="27">
        <f t="shared" si="1"/>
        <v>48.341929224295725</v>
      </c>
      <c r="I15" s="27">
        <f t="shared" si="2"/>
        <v>52.51937751160785</v>
      </c>
      <c r="J15" s="67">
        <f t="shared" si="7"/>
        <v>0.66796851581668004</v>
      </c>
      <c r="K15" s="27">
        <f t="shared" si="3"/>
        <v>32.29088671566781</v>
      </c>
      <c r="L15" s="28">
        <f t="shared" si="4"/>
        <v>35.081290648044622</v>
      </c>
      <c r="P15" s="95"/>
      <c r="Q15" s="132"/>
      <c r="R15" s="9"/>
    </row>
    <row r="16" spans="1:19" x14ac:dyDescent="0.3">
      <c r="A16" s="2">
        <v>10</v>
      </c>
      <c r="B16" s="308">
        <f t="shared" si="5"/>
        <v>2030</v>
      </c>
      <c r="C16" s="180">
        <f>IF(A16&gt;'Table 3. Fixed Assumptions'!$C$23,0,'Table 4. Enviroment Costs'!J15)</f>
        <v>4.4036069193714873</v>
      </c>
      <c r="D16" s="50">
        <f>D15*(1+'Table 5. VOS Data Table'!$G$9)</f>
        <v>7647.3627734384299</v>
      </c>
      <c r="E16" s="84">
        <f t="shared" si="0"/>
        <v>3.3675979624057398E-2</v>
      </c>
      <c r="F16" s="125">
        <f t="shared" si="6"/>
        <v>3.5269818584532098E-2</v>
      </c>
      <c r="G16" s="69">
        <f>G15*(1-'Table 3. Fixed Assumptions'!$C$22)</f>
        <v>1481.6288464542174</v>
      </c>
      <c r="H16" s="27">
        <f t="shared" si="1"/>
        <v>49.895302843607894</v>
      </c>
      <c r="I16" s="27">
        <f t="shared" si="2"/>
        <v>52.25678062404981</v>
      </c>
      <c r="J16" s="67">
        <f t="shared" si="7"/>
        <v>0.63511225360113266</v>
      </c>
      <c r="K16" s="27">
        <f t="shared" si="3"/>
        <v>31.689118233114812</v>
      </c>
      <c r="L16" s="28">
        <f t="shared" si="4"/>
        <v>33.188921708080279</v>
      </c>
      <c r="P16" s="95"/>
      <c r="Q16" s="132"/>
      <c r="R16" s="9"/>
    </row>
    <row r="17" spans="1:18" x14ac:dyDescent="0.3">
      <c r="A17" s="2">
        <v>11</v>
      </c>
      <c r="B17" s="308">
        <f t="shared" si="5"/>
        <v>2031</v>
      </c>
      <c r="C17" s="180">
        <f>IF(A17&gt;'Table 3. Fixed Assumptions'!$C$23,0,'Table 4. Enviroment Costs'!J16)</f>
        <v>4.578875438817601</v>
      </c>
      <c r="D17" s="50">
        <f>D16*(1+'Table 5. VOS Data Table'!$G$9)</f>
        <v>7655.0101362118676</v>
      </c>
      <c r="E17" s="84">
        <f t="shared" si="0"/>
        <v>3.5051337896600303E-2</v>
      </c>
      <c r="F17" s="125">
        <f t="shared" si="6"/>
        <v>3.5269818584532098E-2</v>
      </c>
      <c r="G17" s="69">
        <f>G16*(1-'Table 3. Fixed Assumptions'!$C$22)</f>
        <v>1474.2207022219463</v>
      </c>
      <c r="H17" s="27">
        <f t="shared" si="1"/>
        <v>51.673407967744815</v>
      </c>
      <c r="I17" s="27">
        <f t="shared" si="2"/>
        <v>51.995496720929566</v>
      </c>
      <c r="J17" s="67">
        <f t="shared" si="7"/>
        <v>0.60387213637028847</v>
      </c>
      <c r="K17" s="27">
        <f t="shared" si="3"/>
        <v>31.204131263015547</v>
      </c>
      <c r="L17" s="28">
        <f t="shared" si="4"/>
        <v>31.398631686502068</v>
      </c>
      <c r="P17" s="95"/>
      <c r="Q17" s="132"/>
      <c r="R17" s="9"/>
    </row>
    <row r="18" spans="1:18" x14ac:dyDescent="0.3">
      <c r="A18" s="2">
        <v>12</v>
      </c>
      <c r="B18" s="308">
        <f t="shared" si="5"/>
        <v>2032</v>
      </c>
      <c r="C18" s="180">
        <f>IF(A18&gt;'Table 3. Fixed Assumptions'!$C$23,0,'Table 4. Enviroment Costs'!J17)</f>
        <v>4.7595797599477665</v>
      </c>
      <c r="D18" s="50">
        <f>D17*(1+'Table 5. VOS Data Table'!$G$9)</f>
        <v>7662.6651463480785</v>
      </c>
      <c r="E18" s="84">
        <f t="shared" si="0"/>
        <v>3.6471065937815503E-2</v>
      </c>
      <c r="F18" s="125">
        <f t="shared" si="6"/>
        <v>3.5269818584532098E-2</v>
      </c>
      <c r="G18" s="69">
        <f>G17*(1-'Table 3. Fixed Assumptions'!$C$22)</f>
        <v>1466.8495987108365</v>
      </c>
      <c r="H18" s="27">
        <f t="shared" si="1"/>
        <v>53.497568435441131</v>
      </c>
      <c r="I18" s="27">
        <f t="shared" si="2"/>
        <v>51.735519237324908</v>
      </c>
      <c r="J18" s="67">
        <f t="shared" si="7"/>
        <v>0.574168668635755</v>
      </c>
      <c r="K18" s="27">
        <f t="shared" si="3"/>
        <v>30.716627643827426</v>
      </c>
      <c r="L18" s="28">
        <f t="shared" si="4"/>
        <v>29.704914201674335</v>
      </c>
      <c r="P18" s="95"/>
      <c r="Q18" s="132"/>
      <c r="R18" s="9"/>
    </row>
    <row r="19" spans="1:18" x14ac:dyDescent="0.3">
      <c r="A19" s="2">
        <v>13</v>
      </c>
      <c r="B19" s="308">
        <f t="shared" si="5"/>
        <v>2033</v>
      </c>
      <c r="C19" s="180">
        <f>IF(A19&gt;'Table 3. Fixed Assumptions'!$C$23,0,'Table 4. Enviroment Costs'!J18)</f>
        <v>4.9458712422955093</v>
      </c>
      <c r="D19" s="50">
        <f>D18*(1+'Table 5. VOS Data Table'!$G$9)</f>
        <v>7670.327811494426</v>
      </c>
      <c r="E19" s="84">
        <f t="shared" si="0"/>
        <v>3.7936453741849729E-2</v>
      </c>
      <c r="F19" s="125">
        <f t="shared" si="6"/>
        <v>3.5269818584532098E-2</v>
      </c>
      <c r="G19" s="69">
        <f>G18*(1-'Table 3. Fixed Assumptions'!$C$22)</f>
        <v>1459.5153507172822</v>
      </c>
      <c r="H19" s="27">
        <f t="shared" si="1"/>
        <v>55.368836588005763</v>
      </c>
      <c r="I19" s="27">
        <f t="shared" si="2"/>
        <v>51.476841641138286</v>
      </c>
      <c r="J19" s="67">
        <f t="shared" si="7"/>
        <v>0.54592626516022125</v>
      </c>
      <c r="K19" s="27">
        <f t="shared" si="3"/>
        <v>30.227302164756594</v>
      </c>
      <c r="L19" s="28">
        <f t="shared" si="4"/>
        <v>28.10255989939078</v>
      </c>
      <c r="P19" s="95"/>
      <c r="Q19" s="132"/>
      <c r="R19" s="9"/>
    </row>
    <row r="20" spans="1:18" x14ac:dyDescent="0.3">
      <c r="A20" s="2">
        <v>14</v>
      </c>
      <c r="B20" s="308">
        <f t="shared" si="5"/>
        <v>2034</v>
      </c>
      <c r="C20" s="180">
        <f>IF(A20&gt;'Table 3. Fixed Assumptions'!$C$23,0,'Table 4. Enviroment Costs'!J19)</f>
        <v>5.1379052126934006</v>
      </c>
      <c r="D20" s="50">
        <f>D19*(1+'Table 5. VOS Data Table'!$G$9)</f>
        <v>7677.9981393059197</v>
      </c>
      <c r="E20" s="84">
        <f t="shared" si="0"/>
        <v>3.944882666299012E-2</v>
      </c>
      <c r="F20" s="125">
        <f t="shared" si="6"/>
        <v>3.5269818584532098E-2</v>
      </c>
      <c r="G20" s="69">
        <f>G19*(1-'Table 3. Fixed Assumptions'!$C$22)</f>
        <v>1452.2177739636959</v>
      </c>
      <c r="H20" s="27">
        <f t="shared" si="1"/>
        <v>57.288287242007208</v>
      </c>
      <c r="I20" s="27">
        <f t="shared" si="2"/>
        <v>51.219457432932593</v>
      </c>
      <c r="J20" s="67">
        <f t="shared" si="7"/>
        <v>0.5190730586186999</v>
      </c>
      <c r="K20" s="27">
        <f t="shared" si="3"/>
        <v>29.736806481735325</v>
      </c>
      <c r="L20" s="28">
        <f t="shared" si="4"/>
        <v>26.586640430502623</v>
      </c>
      <c r="P20" s="95"/>
      <c r="Q20" s="132"/>
      <c r="R20" s="9"/>
    </row>
    <row r="21" spans="1:18" x14ac:dyDescent="0.3">
      <c r="A21" s="2">
        <v>15</v>
      </c>
      <c r="B21" s="308">
        <f t="shared" si="5"/>
        <v>2035</v>
      </c>
      <c r="C21" s="180">
        <f>IF(A21&gt;'Table 3. Fixed Assumptions'!$C$23,0,'Table 4. Enviroment Costs'!J20)</f>
        <v>5.3358410653063011</v>
      </c>
      <c r="D21" s="50">
        <f>D20*(1+'Table 5. VOS Data Table'!$G$9)</f>
        <v>7685.6761374452244</v>
      </c>
      <c r="E21" s="84">
        <f t="shared" si="0"/>
        <v>4.1009546348824942E-2</v>
      </c>
      <c r="F21" s="125">
        <f t="shared" si="6"/>
        <v>3.5269818584532098E-2</v>
      </c>
      <c r="G21" s="69">
        <f>G20*(1-'Table 3. Fixed Assumptions'!$C$22)</f>
        <v>1444.9566850938775</v>
      </c>
      <c r="H21" s="27">
        <f t="shared" si="1"/>
        <v>59.257018149401816</v>
      </c>
      <c r="I21" s="27">
        <f t="shared" si="2"/>
        <v>50.963360145767936</v>
      </c>
      <c r="J21" s="67">
        <f t="shared" si="7"/>
        <v>0.49354071672059352</v>
      </c>
      <c r="K21" s="27">
        <f t="shared" si="3"/>
        <v>29.245751208180991</v>
      </c>
      <c r="L21" s="28">
        <f t="shared" si="4"/>
        <v>25.152493292832037</v>
      </c>
      <c r="P21" s="95"/>
      <c r="Q21" s="132"/>
      <c r="R21" s="9"/>
    </row>
    <row r="22" spans="1:18" x14ac:dyDescent="0.3">
      <c r="A22" s="2">
        <v>16</v>
      </c>
      <c r="B22" s="308">
        <f t="shared" si="5"/>
        <v>2036</v>
      </c>
      <c r="C22" s="180">
        <f>IF(A22&gt;'Table 3. Fixed Assumptions'!$C$23,0,'Table 4. Enviroment Costs'!J21)</f>
        <v>5.5398423641197239</v>
      </c>
      <c r="D22" s="50">
        <f>D21*(1+'Table 5. VOS Data Table'!$G$9)</f>
        <v>7693.3618135826691</v>
      </c>
      <c r="E22" s="84">
        <f t="shared" si="0"/>
        <v>4.2620011697386218E-2</v>
      </c>
      <c r="F22" s="125">
        <f t="shared" si="6"/>
        <v>3.5269818584532098E-2</v>
      </c>
      <c r="G22" s="69">
        <f>G21*(1-'Table 3. Fixed Assumptions'!$C$22)</f>
        <v>1437.731901668408</v>
      </c>
      <c r="H22" s="27">
        <f t="shared" si="1"/>
        <v>61.276150466812879</v>
      </c>
      <c r="I22" s="27">
        <f t="shared" si="2"/>
        <v>50.708543345039089</v>
      </c>
      <c r="J22" s="67">
        <f t="shared" si="7"/>
        <v>0.46926426832722135</v>
      </c>
      <c r="K22" s="27">
        <f t="shared" si="3"/>
        <v>28.75470791471767</v>
      </c>
      <c r="L22" s="28">
        <f t="shared" si="4"/>
        <v>23.795707490748956</v>
      </c>
      <c r="P22" s="95"/>
      <c r="Q22" s="132"/>
      <c r="R22" s="9"/>
    </row>
    <row r="23" spans="1:18" x14ac:dyDescent="0.3">
      <c r="A23" s="2">
        <v>17</v>
      </c>
      <c r="B23" s="308">
        <f t="shared" si="5"/>
        <v>2037</v>
      </c>
      <c r="C23" s="180">
        <f>IF(A23&gt;'Table 3. Fixed Assumptions'!$C$23,0,'Table 4. Enviroment Costs'!J22)</f>
        <v>5.7500769479423885</v>
      </c>
      <c r="D23" s="50">
        <f>D22*(1+'Table 5. VOS Data Table'!$G$9)</f>
        <v>7701.0551753962509</v>
      </c>
      <c r="E23" s="84">
        <f t="shared" si="0"/>
        <v>4.4281659838878412E-2</v>
      </c>
      <c r="F23" s="125">
        <f t="shared" si="6"/>
        <v>3.5269818584532098E-2</v>
      </c>
      <c r="G23" s="69">
        <f>G22*(1-'Table 3. Fixed Assumptions'!$C$22)</f>
        <v>1430.543242160066</v>
      </c>
      <c r="H23" s="27">
        <f t="shared" si="1"/>
        <v>63.346829234138312</v>
      </c>
      <c r="I23" s="27">
        <f t="shared" si="2"/>
        <v>50.455000628313897</v>
      </c>
      <c r="J23" s="67">
        <f t="shared" si="7"/>
        <v>0.44618193812233842</v>
      </c>
      <c r="K23" s="27">
        <f t="shared" si="3"/>
        <v>28.264211041592638</v>
      </c>
      <c r="L23" s="28">
        <f t="shared" si="4"/>
        <v>22.512109968304898</v>
      </c>
      <c r="P23" s="95"/>
      <c r="Q23" s="132"/>
      <c r="R23" s="9"/>
    </row>
    <row r="24" spans="1:18" x14ac:dyDescent="0.3">
      <c r="A24" s="2">
        <v>18</v>
      </c>
      <c r="B24" s="308">
        <f t="shared" si="5"/>
        <v>2038</v>
      </c>
      <c r="C24" s="180">
        <f>IF(A24&gt;'Table 3. Fixed Assumptions'!$C$23,0,'Table 4. Enviroment Costs'!J23)</f>
        <v>5.9667170379834369</v>
      </c>
      <c r="D24" s="50">
        <f>D23*(1+'Table 5. VOS Data Table'!$G$9)</f>
        <v>7708.7562305716465</v>
      </c>
      <c r="E24" s="84">
        <f t="shared" si="0"/>
        <v>4.5995967142612823E-2</v>
      </c>
      <c r="F24" s="125">
        <f t="shared" si="6"/>
        <v>3.5269818584532098E-2</v>
      </c>
      <c r="G24" s="69">
        <f>G23*(1-'Table 3. Fixed Assumptions'!$C$22)</f>
        <v>1423.3905259492658</v>
      </c>
      <c r="H24" s="27">
        <f t="shared" si="1"/>
        <v>65.470223862668817</v>
      </c>
      <c r="I24" s="27">
        <f t="shared" si="2"/>
        <v>50.202725625172334</v>
      </c>
      <c r="J24" s="67">
        <f t="shared" si="7"/>
        <v>0.42423498941493554</v>
      </c>
      <c r="K24" s="27">
        <f t="shared" si="3"/>
        <v>27.774759727372764</v>
      </c>
      <c r="L24" s="28">
        <f t="shared" si="4"/>
        <v>21.297752774195899</v>
      </c>
      <c r="P24" s="95"/>
      <c r="Q24" s="132"/>
      <c r="R24" s="9"/>
    </row>
    <row r="25" spans="1:18" x14ac:dyDescent="0.3">
      <c r="A25" s="2">
        <v>19</v>
      </c>
      <c r="B25" s="308">
        <f t="shared" si="5"/>
        <v>2039</v>
      </c>
      <c r="C25" s="180">
        <f>IF(A25&gt;'Table 3. Fixed Assumptions'!$C$23,0,'Table 4. Enviroment Costs'!J24)</f>
        <v>6.1899393480662237</v>
      </c>
      <c r="D25" s="50">
        <f>D24*(1+'Table 5. VOS Data Table'!$G$9)</f>
        <v>7716.464986802217</v>
      </c>
      <c r="E25" s="84">
        <f t="shared" si="0"/>
        <v>4.7764450249782354E-2</v>
      </c>
      <c r="F25" s="125">
        <f t="shared" si="6"/>
        <v>3.5269818584532098E-2</v>
      </c>
      <c r="G25" s="69">
        <f>G24*(1-'Table 3. Fixed Assumptions'!$C$22)</f>
        <v>1416.2735733195195</v>
      </c>
      <c r="H25" s="27">
        <f t="shared" si="1"/>
        <v>67.647528632901668</v>
      </c>
      <c r="I25" s="27">
        <f t="shared" si="2"/>
        <v>49.951711997046473</v>
      </c>
      <c r="J25" s="67">
        <f t="shared" si="7"/>
        <v>0.40336757467430945</v>
      </c>
      <c r="K25" s="27">
        <f t="shared" si="3"/>
        <v>27.286819557364449</v>
      </c>
      <c r="L25" s="28">
        <f t="shared" si="4"/>
        <v>20.148900919078244</v>
      </c>
      <c r="P25" s="95"/>
      <c r="Q25" s="132"/>
      <c r="R25" s="9"/>
    </row>
    <row r="26" spans="1:18" x14ac:dyDescent="0.3">
      <c r="A26" s="2">
        <v>20</v>
      </c>
      <c r="B26" s="308">
        <f t="shared" si="5"/>
        <v>2040</v>
      </c>
      <c r="C26" s="180">
        <f>IF(A26&gt;'Table 3. Fixed Assumptions'!$C$23,0,'Table 4. Enviroment Costs'!J25)</f>
        <v>6.4199251975420246</v>
      </c>
      <c r="D26" s="50">
        <f>D25*(1+'Table 5. VOS Data Table'!$G$9)</f>
        <v>7724.181451789018</v>
      </c>
      <c r="E26" s="84">
        <f t="shared" si="0"/>
        <v>4.9588667132727055E-2</v>
      </c>
      <c r="F26" s="125">
        <f t="shared" si="6"/>
        <v>3.5269818584532098E-2</v>
      </c>
      <c r="G26" s="69">
        <f>G25*(1-'Table 3. Fixed Assumptions'!$C$22)</f>
        <v>1409.1922054529218</v>
      </c>
      <c r="H26" s="27">
        <f t="shared" si="1"/>
        <v>69.879963202238457</v>
      </c>
      <c r="I26" s="27">
        <f t="shared" si="2"/>
        <v>49.701953437061235</v>
      </c>
      <c r="J26" s="67">
        <f t="shared" si="7"/>
        <v>0.38352659341706447</v>
      </c>
      <c r="K26" s="27">
        <f t="shared" si="3"/>
        <v>26.800824235064336</v>
      </c>
      <c r="L26" s="28">
        <f t="shared" si="4"/>
        <v>19.062020887889656</v>
      </c>
      <c r="P26" s="95"/>
      <c r="Q26" s="132"/>
      <c r="R26" s="9"/>
    </row>
    <row r="27" spans="1:18" x14ac:dyDescent="0.3">
      <c r="A27" s="2">
        <v>21</v>
      </c>
      <c r="B27" s="308">
        <f t="shared" si="5"/>
        <v>2041</v>
      </c>
      <c r="C27" s="180">
        <f>IF(A27&gt;'Table 3. Fixed Assumptions'!$C$23,0,'Table 4. Enviroment Costs'!J26)</f>
        <v>6.636565625416873</v>
      </c>
      <c r="D27" s="50">
        <f>D26*(1+'Table 5. VOS Data Table'!$G$9)</f>
        <v>7731.9056332408063</v>
      </c>
      <c r="E27" s="84">
        <f t="shared" si="0"/>
        <v>5.131329914453301E-2</v>
      </c>
      <c r="F27" s="125">
        <f t="shared" si="6"/>
        <v>3.5269818584532098E-2</v>
      </c>
      <c r="G27" s="69">
        <f>G26*(1-'Table 3. Fixed Assumptions'!$C$22)</f>
        <v>1402.1462444256572</v>
      </c>
      <c r="H27" s="27">
        <f t="shared" si="1"/>
        <v>71.948749684597246</v>
      </c>
      <c r="I27" s="27">
        <f t="shared" si="2"/>
        <v>49.453443669875931</v>
      </c>
      <c r="J27" s="67">
        <f t="shared" si="7"/>
        <v>0.36466155708441633</v>
      </c>
      <c r="K27" s="27">
        <f t="shared" si="3"/>
        <v>26.236943090262141</v>
      </c>
      <c r="L27" s="28">
        <f t="shared" si="4"/>
        <v>18.033769771843428</v>
      </c>
      <c r="P27" s="95"/>
      <c r="Q27" s="132"/>
      <c r="R27" s="9"/>
    </row>
    <row r="28" spans="1:18" x14ac:dyDescent="0.3">
      <c r="A28" s="2">
        <v>22</v>
      </c>
      <c r="B28" s="308">
        <f t="shared" si="5"/>
        <v>2042</v>
      </c>
      <c r="C28" s="180">
        <f>IF(A28&gt;'Table 3. Fixed Assumptions'!$C$23,0,'Table 4. Enviroment Costs'!J27)</f>
        <v>6.8594900644508465</v>
      </c>
      <c r="D28" s="50">
        <f>D27*(1+'Table 5. VOS Data Table'!$G$9)</f>
        <v>7739.6375388740462</v>
      </c>
      <c r="E28" s="84">
        <f t="shared" si="0"/>
        <v>5.3089966800357324E-2</v>
      </c>
      <c r="F28" s="125">
        <f t="shared" si="6"/>
        <v>3.5269818584532098E-2</v>
      </c>
      <c r="G28" s="69">
        <f>G27*(1-'Table 3. Fixed Assumptions'!$C$22)</f>
        <v>1395.1355132035289</v>
      </c>
      <c r="H28" s="27">
        <f t="shared" si="1"/>
        <v>74.067698077974825</v>
      </c>
      <c r="I28" s="27">
        <f t="shared" si="2"/>
        <v>49.206176451526552</v>
      </c>
      <c r="J28" s="67">
        <f t="shared" si="7"/>
        <v>0.34672446056595763</v>
      </c>
      <c r="K28" s="27">
        <f t="shared" si="3"/>
        <v>25.681082661448038</v>
      </c>
      <c r="L28" s="28">
        <f t="shared" si="4"/>
        <v>17.060984986668871</v>
      </c>
      <c r="P28" s="95"/>
      <c r="Q28" s="132"/>
      <c r="R28" s="9"/>
    </row>
    <row r="29" spans="1:18" x14ac:dyDescent="0.3">
      <c r="A29" s="2">
        <v>23</v>
      </c>
      <c r="B29" s="308">
        <f t="shared" si="5"/>
        <v>2043</v>
      </c>
      <c r="C29" s="180">
        <f>IF(A29&gt;'Table 3. Fixed Assumptions'!$C$23,0,'Table 4. Enviroment Costs'!J28)</f>
        <v>7.0888672494299554</v>
      </c>
      <c r="D29" s="50">
        <f>D28*(1+'Table 5. VOS Data Table'!$G$9)</f>
        <v>7747.3771764129197</v>
      </c>
      <c r="E29" s="84">
        <f t="shared" si="0"/>
        <v>5.492012833485467E-2</v>
      </c>
      <c r="F29" s="125">
        <f t="shared" si="6"/>
        <v>3.5269818584532098E-2</v>
      </c>
      <c r="G29" s="69">
        <f>G28*(1-'Table 3. Fixed Assumptions'!$C$22)</f>
        <v>1388.1598356375114</v>
      </c>
      <c r="H29" s="27">
        <f t="shared" si="1"/>
        <v>76.237916322502898</v>
      </c>
      <c r="I29" s="27">
        <f t="shared" si="2"/>
        <v>48.960145569268924</v>
      </c>
      <c r="J29" s="67">
        <f t="shared" si="7"/>
        <v>0.32966966004295539</v>
      </c>
      <c r="K29" s="27">
        <f t="shared" si="3"/>
        <v>25.133327956422811</v>
      </c>
      <c r="L29" s="28">
        <f t="shared" si="4"/>
        <v>16.140674545474496</v>
      </c>
      <c r="P29" s="95"/>
      <c r="Q29" s="132"/>
      <c r="R29" s="9"/>
    </row>
    <row r="30" spans="1:18" x14ac:dyDescent="0.3">
      <c r="A30" s="2">
        <v>24</v>
      </c>
      <c r="B30" s="308">
        <f t="shared" si="5"/>
        <v>2044</v>
      </c>
      <c r="C30" s="180">
        <f>IF(A30&gt;'Table 3. Fixed Assumptions'!$C$23,0,'Table 4. Enviroment Costs'!J29)</f>
        <v>7.3248702380435944</v>
      </c>
      <c r="D30" s="50">
        <f>D29*(1+'Table 5. VOS Data Table'!$G$9)</f>
        <v>7755.1245535893313</v>
      </c>
      <c r="E30" s="84">
        <f t="shared" si="0"/>
        <v>5.6805281034907611E-2</v>
      </c>
      <c r="F30" s="125">
        <f t="shared" si="6"/>
        <v>3.5269818584532098E-2</v>
      </c>
      <c r="G30" s="69">
        <f>G29*(1-'Table 3. Fixed Assumptions'!$C$22)</f>
        <v>1381.2190364593239</v>
      </c>
      <c r="H30" s="27">
        <f t="shared" si="1"/>
        <v>78.46053553683619</v>
      </c>
      <c r="I30" s="27">
        <f t="shared" si="2"/>
        <v>48.715344841422578</v>
      </c>
      <c r="J30" s="67">
        <f t="shared" si="7"/>
        <v>0.31345375684033439</v>
      </c>
      <c r="K30" s="27">
        <f t="shared" si="3"/>
        <v>24.593749627725867</v>
      </c>
      <c r="L30" s="28">
        <f t="shared" si="4"/>
        <v>15.27000785631631</v>
      </c>
      <c r="P30" s="95"/>
      <c r="Q30" s="132"/>
      <c r="R30" s="9"/>
    </row>
    <row r="31" spans="1:18" x14ac:dyDescent="0.3">
      <c r="A31" s="2">
        <v>25</v>
      </c>
      <c r="B31" s="316">
        <f t="shared" si="5"/>
        <v>2045</v>
      </c>
      <c r="C31" s="181">
        <f>IF(A31&gt;'Table 3. Fixed Assumptions'!$C$23,0,'Table 4. Enviroment Costs'!J30)</f>
        <v>7.5676765181886099</v>
      </c>
      <c r="D31" s="54">
        <f>D30*(1+'Table 5. VOS Data Table'!$G$9)</f>
        <v>7762.8796781429201</v>
      </c>
      <c r="E31" s="85">
        <f>D31*C31/1000/1000</f>
        <v>5.8746962253805733E-2</v>
      </c>
      <c r="F31" s="137">
        <f t="shared" si="6"/>
        <v>3.5269818584532098E-2</v>
      </c>
      <c r="G31" s="70">
        <f>G30*(1-'Table 3. Fixed Assumptions'!$C$22)</f>
        <v>1374.3129412770272</v>
      </c>
      <c r="H31" s="29">
        <f t="shared" si="1"/>
        <v>80.736710486118255</v>
      </c>
      <c r="I31" s="29">
        <f t="shared" si="2"/>
        <v>48.471768117215461</v>
      </c>
      <c r="J31" s="140">
        <f t="shared" si="7"/>
        <v>0.29803548699178817</v>
      </c>
      <c r="K31" s="29">
        <f t="shared" si="3"/>
        <v>24.062404827845263</v>
      </c>
      <c r="L31" s="30">
        <f t="shared" si="4"/>
        <v>14.44630701616734</v>
      </c>
      <c r="P31" s="95"/>
      <c r="Q31" s="132"/>
      <c r="R31" s="9"/>
    </row>
    <row r="32" spans="1:18" ht="19.5" thickBot="1" x14ac:dyDescent="0.35">
      <c r="B32" s="2"/>
      <c r="D32" s="2"/>
      <c r="G32" s="2"/>
      <c r="P32" s="95"/>
      <c r="Q32" s="132"/>
      <c r="R32" s="9"/>
    </row>
    <row r="33" spans="2:18" ht="19.5" thickBot="1" x14ac:dyDescent="0.35">
      <c r="B33" s="2"/>
      <c r="G33" s="2"/>
      <c r="H33" s="56"/>
      <c r="I33" s="57"/>
      <c r="J33" s="58" t="s">
        <v>173</v>
      </c>
      <c r="K33" s="59">
        <f>SUM(K7:K31)</f>
        <v>760.0919092667458</v>
      </c>
      <c r="L33" s="60">
        <f>SUM(L7:L31)</f>
        <v>760.0919092667458</v>
      </c>
      <c r="P33" s="95"/>
      <c r="Q33" s="132"/>
      <c r="R33" s="9"/>
    </row>
    <row r="34" spans="2:18" x14ac:dyDescent="0.3">
      <c r="B34" s="2"/>
      <c r="D34" s="2"/>
      <c r="L34" s="5"/>
      <c r="P34" s="95"/>
      <c r="Q34" s="132"/>
      <c r="R34" s="9"/>
    </row>
    <row r="35" spans="2:18" x14ac:dyDescent="0.3">
      <c r="B35" s="2"/>
      <c r="D35" s="39"/>
      <c r="G35" s="2"/>
      <c r="L35" s="31"/>
      <c r="P35" s="95"/>
      <c r="Q35" s="132"/>
      <c r="R35" s="9"/>
    </row>
    <row r="36" spans="2:18" x14ac:dyDescent="0.3">
      <c r="B36" s="2"/>
      <c r="D36" s="2"/>
      <c r="G36" s="2"/>
      <c r="P36" s="95"/>
      <c r="Q36" s="132"/>
      <c r="R36" s="9"/>
    </row>
    <row r="37" spans="2:18" x14ac:dyDescent="0.3">
      <c r="B37" s="2"/>
      <c r="D37" s="2"/>
      <c r="G37" s="2"/>
      <c r="P37" s="95"/>
      <c r="Q37" s="132"/>
      <c r="R37" s="9"/>
    </row>
    <row r="38" spans="2:18" x14ac:dyDescent="0.3">
      <c r="B38" s="2"/>
      <c r="D38" s="2"/>
      <c r="G38" s="2"/>
      <c r="P38" s="102"/>
      <c r="Q38" s="102"/>
      <c r="R38" s="9"/>
    </row>
    <row r="39" spans="2:18" x14ac:dyDescent="0.3">
      <c r="B39" s="2"/>
      <c r="D39" s="2"/>
      <c r="G39" s="2"/>
    </row>
    <row r="40" spans="2:18" x14ac:dyDescent="0.3">
      <c r="B40" s="2"/>
      <c r="D40" s="2"/>
      <c r="G40" s="2"/>
    </row>
  </sheetData>
  <mergeCells count="3">
    <mergeCell ref="E4:F4"/>
    <mergeCell ref="H4:I4"/>
    <mergeCell ref="K4:L4"/>
  </mergeCells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  <colBreaks count="1" manualBreakCount="1">
    <brk id="13" max="3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tabColor indexed="13"/>
  </sheetPr>
  <dimension ref="A1:M32"/>
  <sheetViews>
    <sheetView view="pageBreakPreview" zoomScale="85" zoomScaleNormal="100" zoomScaleSheetLayoutView="85" workbookViewId="0">
      <selection activeCell="M5" sqref="M5"/>
    </sheetView>
  </sheetViews>
  <sheetFormatPr defaultRowHeight="18.75" x14ac:dyDescent="0.3"/>
  <cols>
    <col min="1" max="1" width="2.44140625" customWidth="1"/>
    <col min="2" max="2" width="10.6640625" style="2" customWidth="1"/>
    <col min="3" max="4" width="14.88671875" style="2" customWidth="1"/>
    <col min="5" max="5" width="17.77734375" style="2" customWidth="1"/>
    <col min="6" max="6" width="15" style="2" customWidth="1"/>
    <col min="7" max="7" width="16.109375" style="2" customWidth="1"/>
    <col min="8" max="8" width="19.88671875" style="2" customWidth="1"/>
    <col min="9" max="9" width="12.44140625" style="2" customWidth="1"/>
    <col min="10" max="10" width="3.109375" customWidth="1"/>
    <col min="11" max="11" width="30.44140625" customWidth="1"/>
    <col min="12" max="12" width="1.6640625" customWidth="1"/>
  </cols>
  <sheetData>
    <row r="1" spans="1:13" ht="26.25" x14ac:dyDescent="0.4">
      <c r="B1" s="114" t="s">
        <v>219</v>
      </c>
    </row>
    <row r="4" spans="1:13" ht="56.25" customHeight="1" x14ac:dyDescent="0.3">
      <c r="B4" s="36" t="s">
        <v>31</v>
      </c>
      <c r="C4" s="105" t="s">
        <v>32</v>
      </c>
      <c r="D4" s="416" t="s">
        <v>181</v>
      </c>
      <c r="E4" s="416" t="s">
        <v>220</v>
      </c>
      <c r="F4" s="416" t="s">
        <v>34</v>
      </c>
      <c r="G4" s="105" t="s">
        <v>35</v>
      </c>
      <c r="H4" s="33" t="s">
        <v>36</v>
      </c>
      <c r="I4" s="105" t="s">
        <v>37</v>
      </c>
    </row>
    <row r="5" spans="1:13" x14ac:dyDescent="0.3">
      <c r="B5" s="300">
        <f>'Table 5. VOS Data Table'!$C$5</f>
        <v>2021</v>
      </c>
      <c r="C5" s="106">
        <f>'Table 9. Avoided Fixed O&amp;M'!K6</f>
        <v>1</v>
      </c>
      <c r="D5" s="154">
        <f>'Table 17. Avoided Enviromental'!G7</f>
        <v>1550</v>
      </c>
      <c r="E5" s="106">
        <f>(1+'Table 3. Fixed Assumptions'!$G$10)^(B5-$B$5)</f>
        <v>1</v>
      </c>
      <c r="F5" s="119">
        <f>'Fig. ES-1'!G16</f>
        <v>0.1104</v>
      </c>
      <c r="G5" s="25">
        <f>F5*C5*D5</f>
        <v>171.12</v>
      </c>
      <c r="H5" s="417">
        <f>SUMPRODUCT($F$5:$F$29,$C$5:$C$29,'Table 8. Avoided Fuel Costs'!$H$7:$H$31)/SUMPRODUCT($E$5:$E$29,$C$5:$C$29,'Table 8. Avoided Fuel Costs'!$H$7:$H$31)</f>
        <v>9.1135760851573128E-2</v>
      </c>
      <c r="I5" s="108">
        <f>H5*C5*D5</f>
        <v>141.26042931993834</v>
      </c>
    </row>
    <row r="6" spans="1:13" x14ac:dyDescent="0.3">
      <c r="B6" s="308">
        <f>B5+1</f>
        <v>2022</v>
      </c>
      <c r="C6" s="104">
        <f>'Table 9. Avoided Fixed O&amp;M'!K7</f>
        <v>0.94020308386611495</v>
      </c>
      <c r="D6" s="155">
        <f>'Table 17. Avoided Enviromental'!G8</f>
        <v>1542.25</v>
      </c>
      <c r="E6" s="104">
        <f>(1+'Table 3. Fixed Assumptions'!$G$10)^(B6-$B$5)</f>
        <v>1.0210999999999999</v>
      </c>
      <c r="F6" s="99">
        <f t="shared" ref="F6:F29" si="0">F5</f>
        <v>0.1104</v>
      </c>
      <c r="G6" s="165">
        <f t="shared" ref="G6:G29" si="1">F6*C6*D6</f>
        <v>160.08311395261373</v>
      </c>
      <c r="H6" s="204">
        <f t="shared" ref="H6:H29" si="2">$H$5*E6</f>
        <v>9.3058725405541318E-2</v>
      </c>
      <c r="I6" s="109">
        <f t="shared" ref="I6:I29" si="3">H6*C6*D6</f>
        <v>134.93777666105308</v>
      </c>
    </row>
    <row r="7" spans="1:13" x14ac:dyDescent="0.3">
      <c r="A7" s="117"/>
      <c r="B7" s="308">
        <f t="shared" ref="B7:B29" si="4">B6+1</f>
        <v>2023</v>
      </c>
      <c r="C7" s="104">
        <f>'Table 9. Avoided Fixed O&amp;M'!K8</f>
        <v>0.88398183891135285</v>
      </c>
      <c r="D7" s="155">
        <f>'Table 17. Avoided Enviromental'!G9</f>
        <v>1534.5387499999999</v>
      </c>
      <c r="E7" s="104">
        <f>(1+'Table 3. Fixed Assumptions'!$G$10)^(B7-$B$5)</f>
        <v>1.0426452099999999</v>
      </c>
      <c r="F7" s="99">
        <f t="shared" si="0"/>
        <v>0.1104</v>
      </c>
      <c r="G7" s="27">
        <f t="shared" si="1"/>
        <v>149.75808422607244</v>
      </c>
      <c r="H7" s="204">
        <f t="shared" si="2"/>
        <v>9.5022264511598231E-2</v>
      </c>
      <c r="I7" s="109">
        <f t="shared" si="3"/>
        <v>128.89811858768175</v>
      </c>
      <c r="M7" s="3"/>
    </row>
    <row r="8" spans="1:13" x14ac:dyDescent="0.3">
      <c r="A8" s="117"/>
      <c r="B8" s="308">
        <f t="shared" si="4"/>
        <v>2024</v>
      </c>
      <c r="C8" s="104">
        <f>'Table 9. Avoided Fixed O&amp;M'!K9</f>
        <v>0.83112245102609328</v>
      </c>
      <c r="D8" s="155">
        <f>'Table 17. Avoided Enviromental'!G10</f>
        <v>1526.8660562499999</v>
      </c>
      <c r="E8" s="104">
        <f>(1+'Table 3. Fixed Assumptions'!$G$10)^(B8-$B$5)</f>
        <v>1.0646450239309997</v>
      </c>
      <c r="F8" s="99">
        <f t="shared" si="0"/>
        <v>0.1104</v>
      </c>
      <c r="G8" s="27">
        <f t="shared" si="1"/>
        <v>140.09899756011853</v>
      </c>
      <c r="H8" s="204">
        <f t="shared" si="2"/>
        <v>9.7027234292792933E-2</v>
      </c>
      <c r="I8" s="109">
        <f t="shared" si="3"/>
        <v>123.1287885910421</v>
      </c>
    </row>
    <row r="9" spans="1:13" x14ac:dyDescent="0.3">
      <c r="B9" s="308">
        <f t="shared" si="4"/>
        <v>2025</v>
      </c>
      <c r="C9" s="104">
        <f>'Table 9. Avoided Fixed O&amp;M'!K10</f>
        <v>0.78142389152509684</v>
      </c>
      <c r="D9" s="155">
        <f>'Table 17. Avoided Enviromental'!G11</f>
        <v>1519.23172596875</v>
      </c>
      <c r="E9" s="104">
        <f>(1+'Table 3. Fixed Assumptions'!$G$10)^(B9-$B$5)</f>
        <v>1.0871090339359439</v>
      </c>
      <c r="F9" s="99">
        <f t="shared" si="0"/>
        <v>0.1104</v>
      </c>
      <c r="G9" s="27">
        <f t="shared" si="1"/>
        <v>131.06290200481186</v>
      </c>
      <c r="H9" s="204">
        <f t="shared" si="2"/>
        <v>9.9074508936370875E-2</v>
      </c>
      <c r="I9" s="109">
        <f t="shared" si="3"/>
        <v>117.61768710056552</v>
      </c>
    </row>
    <row r="10" spans="1:13" x14ac:dyDescent="0.3">
      <c r="B10" s="308">
        <f t="shared" si="4"/>
        <v>2026</v>
      </c>
      <c r="C10" s="104">
        <f>'Table 9. Avoided Fixed O&amp;M'!K11</f>
        <v>0.7346971526185565</v>
      </c>
      <c r="D10" s="155">
        <f>'Table 17. Avoided Enviromental'!G12</f>
        <v>1511.6355673389062</v>
      </c>
      <c r="E10" s="104">
        <f>(1+'Table 3. Fixed Assumptions'!$G$10)^(B10-$B$5)</f>
        <v>1.1100470345519922</v>
      </c>
      <c r="F10" s="99">
        <f t="shared" si="0"/>
        <v>0.1104</v>
      </c>
      <c r="G10" s="27">
        <f t="shared" si="1"/>
        <v>122.6096159221397</v>
      </c>
      <c r="H10" s="204">
        <f t="shared" si="2"/>
        <v>0.10116498107492829</v>
      </c>
      <c r="I10" s="109">
        <f t="shared" si="3"/>
        <v>112.35325610840115</v>
      </c>
      <c r="K10" s="213"/>
    </row>
    <row r="11" spans="1:13" x14ac:dyDescent="0.3">
      <c r="B11" s="308">
        <f t="shared" si="4"/>
        <v>2027</v>
      </c>
      <c r="C11" s="104">
        <f>'Table 9. Avoided Fixed O&amp;M'!K12</f>
        <v>0.69076452859962056</v>
      </c>
      <c r="D11" s="155">
        <f>'Table 17. Avoided Enviromental'!G13</f>
        <v>1504.0773895022116</v>
      </c>
      <c r="E11" s="104">
        <f>(1+'Table 3. Fixed Assumptions'!$G$10)^(B11-$B$5)</f>
        <v>1.1334690269810392</v>
      </c>
      <c r="F11" s="99">
        <f t="shared" si="0"/>
        <v>0.1104</v>
      </c>
      <c r="G11" s="27">
        <f t="shared" si="1"/>
        <v>114.70154930662748</v>
      </c>
      <c r="H11" s="204">
        <f t="shared" si="2"/>
        <v>0.10329956217560927</v>
      </c>
      <c r="I11" s="109">
        <f t="shared" si="3"/>
        <v>107.32445492969818</v>
      </c>
      <c r="K11" s="213"/>
    </row>
    <row r="12" spans="1:13" x14ac:dyDescent="0.3">
      <c r="A12" s="117"/>
      <c r="B12" s="308">
        <f t="shared" si="4"/>
        <v>2028</v>
      </c>
      <c r="C12" s="104">
        <f>'Table 9. Avoided Fixed O&amp;M'!K13</f>
        <v>0.64945894001468651</v>
      </c>
      <c r="D12" s="155">
        <f>'Table 17. Avoided Enviromental'!G14</f>
        <v>1496.5570025547006</v>
      </c>
      <c r="E12" s="104">
        <f>(1+'Table 3. Fixed Assumptions'!$G$10)^(B12-$B$5)</f>
        <v>1.157385223450339</v>
      </c>
      <c r="F12" s="99">
        <f t="shared" si="0"/>
        <v>0.1104</v>
      </c>
      <c r="G12" s="27">
        <f t="shared" si="1"/>
        <v>107.30353663040084</v>
      </c>
      <c r="H12" s="204">
        <f t="shared" si="2"/>
        <v>0.10547918293751463</v>
      </c>
      <c r="I12" s="109">
        <f t="shared" si="3"/>
        <v>102.52073704782929</v>
      </c>
      <c r="K12" s="213"/>
    </row>
    <row r="13" spans="1:13" x14ac:dyDescent="0.3">
      <c r="A13" s="117"/>
      <c r="B13" s="308">
        <f t="shared" si="4"/>
        <v>2029</v>
      </c>
      <c r="C13" s="104">
        <f>'Table 9. Avoided Fixed O&amp;M'!K14</f>
        <v>0.6106232982462263</v>
      </c>
      <c r="D13" s="155">
        <f>'Table 17. Avoided Enviromental'!G15</f>
        <v>1489.0742175419271</v>
      </c>
      <c r="E13" s="104">
        <f>(1+'Table 3. Fixed Assumptions'!$G$10)^(B13-$B$5)</f>
        <v>1.1818060516651414</v>
      </c>
      <c r="F13" s="99">
        <f t="shared" si="0"/>
        <v>0.1104</v>
      </c>
      <c r="G13" s="27">
        <f t="shared" si="1"/>
        <v>100.38268046939527</v>
      </c>
      <c r="H13" s="204">
        <f t="shared" si="2"/>
        <v>0.10770479369749621</v>
      </c>
      <c r="I13" s="109">
        <f t="shared" si="3"/>
        <v>97.932027995995455</v>
      </c>
      <c r="K13" s="213"/>
    </row>
    <row r="14" spans="1:13" x14ac:dyDescent="0.3">
      <c r="B14" s="308">
        <f t="shared" si="4"/>
        <v>2030</v>
      </c>
      <c r="C14" s="104">
        <f>'Table 9. Avoided Fixed O&amp;M'!K15</f>
        <v>0.57410990809160045</v>
      </c>
      <c r="D14" s="155">
        <f>'Table 17. Avoided Enviromental'!G16</f>
        <v>1481.6288464542174</v>
      </c>
      <c r="E14" s="104">
        <f>(1+'Table 3. Fixed Assumptions'!$G$10)^(B14-$B$5)</f>
        <v>1.2067421593552758</v>
      </c>
      <c r="F14" s="99">
        <f t="shared" si="0"/>
        <v>0.1104</v>
      </c>
      <c r="G14" s="27">
        <f t="shared" si="1"/>
        <v>93.908205215351913</v>
      </c>
      <c r="H14" s="204">
        <f t="shared" si="2"/>
        <v>0.10997736484451337</v>
      </c>
      <c r="I14" s="109">
        <f t="shared" si="3"/>
        <v>93.548704228824164</v>
      </c>
      <c r="K14" s="213"/>
    </row>
    <row r="15" spans="1:13" x14ac:dyDescent="0.3">
      <c r="B15" s="308">
        <f t="shared" si="4"/>
        <v>2031</v>
      </c>
      <c r="C15" s="104">
        <f>'Table 9. Avoided Fixed O&amp;M'!K16</f>
        <v>0.5397799060658145</v>
      </c>
      <c r="D15" s="155">
        <f>'Table 17. Avoided Enviromental'!G17</f>
        <v>1474.2207022219463</v>
      </c>
      <c r="E15" s="104">
        <f>(1+'Table 3. Fixed Assumptions'!$G$10)^(B15-$B$5)</f>
        <v>1.232204418917672</v>
      </c>
      <c r="F15" s="99">
        <f t="shared" si="0"/>
        <v>0.1104</v>
      </c>
      <c r="G15" s="27">
        <f t="shared" si="1"/>
        <v>87.851320223086802</v>
      </c>
      <c r="H15" s="204">
        <f t="shared" si="2"/>
        <v>0.11229788724273258</v>
      </c>
      <c r="I15" s="109">
        <f t="shared" si="3"/>
        <v>89.361572939650301</v>
      </c>
      <c r="K15" s="213"/>
    </row>
    <row r="16" spans="1:13" x14ac:dyDescent="0.3">
      <c r="B16" s="308">
        <f t="shared" si="4"/>
        <v>2032</v>
      </c>
      <c r="C16" s="104">
        <f>'Table 9. Avoided Fixed O&amp;M'!K17</f>
        <v>0.50750273229204079</v>
      </c>
      <c r="D16" s="155">
        <f>'Table 17. Avoided Enviromental'!G18</f>
        <v>1466.8495987108365</v>
      </c>
      <c r="E16" s="104">
        <f>(1+'Table 3. Fixed Assumptions'!$G$10)^(B16-$B$5)</f>
        <v>1.2582039321568348</v>
      </c>
      <c r="F16" s="99">
        <f t="shared" si="0"/>
        <v>0.1104</v>
      </c>
      <c r="G16" s="27">
        <f t="shared" si="1"/>
        <v>82.18509178447853</v>
      </c>
      <c r="H16" s="204">
        <f t="shared" si="2"/>
        <v>0.11466737266355423</v>
      </c>
      <c r="I16" s="109">
        <f t="shared" si="3"/>
        <v>85.361852781152265</v>
      </c>
      <c r="K16" s="213"/>
    </row>
    <row r="17" spans="1:11" ht="16.5" customHeight="1" x14ac:dyDescent="0.3">
      <c r="B17" s="308">
        <f t="shared" si="4"/>
        <v>2033</v>
      </c>
      <c r="C17" s="104">
        <f>'Table 9. Avoided Fixed O&amp;M'!K18</f>
        <v>0.47715563397145594</v>
      </c>
      <c r="D17" s="155">
        <f>'Table 17. Avoided Enviromental'!G19</f>
        <v>1459.5153507172822</v>
      </c>
      <c r="E17" s="104">
        <f>(1+'Table 3. Fixed Assumptions'!$G$10)^(B17-$B$5)</f>
        <v>1.2847520351253441</v>
      </c>
      <c r="F17" s="99">
        <f t="shared" si="0"/>
        <v>0.1104</v>
      </c>
      <c r="G17" s="27">
        <f t="shared" si="1"/>
        <v>76.884323359868461</v>
      </c>
      <c r="H17" s="204">
        <f t="shared" si="2"/>
        <v>0.11708685422675524</v>
      </c>
      <c r="I17" s="109">
        <f t="shared" si="3"/>
        <v>81.541155448909706</v>
      </c>
      <c r="K17" s="213"/>
    </row>
    <row r="18" spans="1:11" x14ac:dyDescent="0.3">
      <c r="B18" s="308">
        <f t="shared" si="4"/>
        <v>2034</v>
      </c>
      <c r="C18" s="104">
        <f>'Table 9. Avoided Fixed O&amp;M'!K19</f>
        <v>0.44862319854405402</v>
      </c>
      <c r="D18" s="155">
        <f>'Table 17. Avoided Enviromental'!G20</f>
        <v>1452.2177739636959</v>
      </c>
      <c r="E18" s="104">
        <f>(1+'Table 3. Fixed Assumptions'!$G$10)^(B18-$B$5)</f>
        <v>1.3118603030664886</v>
      </c>
      <c r="F18" s="99">
        <f t="shared" si="0"/>
        <v>0.1104</v>
      </c>
      <c r="G18" s="27">
        <f t="shared" si="1"/>
        <v>71.925443534288377</v>
      </c>
      <c r="H18" s="204">
        <f t="shared" si="2"/>
        <v>0.11955738685093975</v>
      </c>
      <c r="I18" s="109">
        <f t="shared" si="3"/>
        <v>77.891468089260314</v>
      </c>
      <c r="K18" s="213"/>
    </row>
    <row r="19" spans="1:11" x14ac:dyDescent="0.3">
      <c r="B19" s="308">
        <f t="shared" si="4"/>
        <v>2035</v>
      </c>
      <c r="C19" s="104">
        <f>'Table 9. Avoided Fixed O&amp;M'!K20</f>
        <v>0.42179691476499998</v>
      </c>
      <c r="D19" s="155">
        <f>'Table 17. Avoided Enviromental'!G21</f>
        <v>1444.9566850938775</v>
      </c>
      <c r="E19" s="104">
        <f>(1+'Table 3. Fixed Assumptions'!$G$10)^(B19-$B$5)</f>
        <v>1.3395405554611917</v>
      </c>
      <c r="F19" s="99">
        <f t="shared" si="0"/>
        <v>0.1104</v>
      </c>
      <c r="G19" s="27">
        <f t="shared" si="1"/>
        <v>67.286401200279172</v>
      </c>
      <c r="H19" s="204">
        <f t="shared" si="2"/>
        <v>0.12208004771349459</v>
      </c>
      <c r="I19" s="109">
        <f t="shared" si="3"/>
        <v>74.405136494559969</v>
      </c>
      <c r="K19" s="213"/>
    </row>
    <row r="20" spans="1:11" x14ac:dyDescent="0.3">
      <c r="B20" s="308">
        <f t="shared" si="4"/>
        <v>2036</v>
      </c>
      <c r="C20" s="104">
        <f>'Table 9. Avoided Fixed O&amp;M'!K21</f>
        <v>0.39657476002726588</v>
      </c>
      <c r="D20" s="155">
        <f>'Table 17. Avoided Enviromental'!G22</f>
        <v>1437.731901668408</v>
      </c>
      <c r="E20" s="104">
        <f>(1+'Table 3. Fixed Assumptions'!$G$10)^(B20-$B$5)</f>
        <v>1.3678048611814226</v>
      </c>
      <c r="F20" s="99">
        <f t="shared" si="0"/>
        <v>0.1104</v>
      </c>
      <c r="G20" s="27">
        <f t="shared" si="1"/>
        <v>62.946567501201365</v>
      </c>
      <c r="H20" s="204">
        <f t="shared" si="2"/>
        <v>0.12465593672024931</v>
      </c>
      <c r="I20" s="109">
        <f t="shared" si="3"/>
        <v>71.074849050603802</v>
      </c>
      <c r="K20" s="213"/>
    </row>
    <row r="21" spans="1:11" x14ac:dyDescent="0.3">
      <c r="A21" s="117"/>
      <c r="B21" s="308">
        <f t="shared" si="4"/>
        <v>2037</v>
      </c>
      <c r="C21" s="104">
        <f>'Table 9. Avoided Fixed O&amp;M'!K22</f>
        <v>0.39657476002726588</v>
      </c>
      <c r="D21" s="155">
        <f>'Table 17. Avoided Enviromental'!G23</f>
        <v>1430.543242160066</v>
      </c>
      <c r="E21" s="104">
        <f>(1+'Table 3. Fixed Assumptions'!$G$10)^(B21-$B$5)</f>
        <v>1.396665543752351</v>
      </c>
      <c r="F21" s="99">
        <f t="shared" si="0"/>
        <v>0.1104</v>
      </c>
      <c r="G21" s="27">
        <f t="shared" si="1"/>
        <v>62.631834663695358</v>
      </c>
      <c r="H21" s="204">
        <f t="shared" si="2"/>
        <v>0.1272861769850466</v>
      </c>
      <c r="I21" s="109">
        <f t="shared" si="3"/>
        <v>72.211655723743689</v>
      </c>
      <c r="K21" s="213"/>
    </row>
    <row r="22" spans="1:11" x14ac:dyDescent="0.3">
      <c r="B22" s="308">
        <f t="shared" si="4"/>
        <v>2038</v>
      </c>
      <c r="C22" s="104">
        <f>'Table 9. Avoided Fixed O&amp;M'!K23</f>
        <v>0.35056488563473087</v>
      </c>
      <c r="D22" s="155">
        <f>'Table 17. Avoided Enviromental'!G24</f>
        <v>1423.3905259492658</v>
      </c>
      <c r="E22" s="104">
        <f>(1+'Table 3. Fixed Assumptions'!$G$10)^(B22-$B$5)</f>
        <v>1.4261351867255254</v>
      </c>
      <c r="F22" s="99">
        <f t="shared" si="0"/>
        <v>0.1104</v>
      </c>
      <c r="G22" s="27">
        <f t="shared" si="1"/>
        <v>55.088577358503201</v>
      </c>
      <c r="H22" s="204">
        <f t="shared" si="2"/>
        <v>0.12997191531943106</v>
      </c>
      <c r="I22" s="109">
        <f t="shared" si="3"/>
        <v>64.854781807131388</v>
      </c>
      <c r="K22" s="102"/>
    </row>
    <row r="23" spans="1:11" x14ac:dyDescent="0.3">
      <c r="B23" s="308">
        <f t="shared" si="4"/>
        <v>2039</v>
      </c>
      <c r="C23" s="104">
        <f>'Table 9. Avoided Fixed O&amp;M'!K24</f>
        <v>0.32960218656894585</v>
      </c>
      <c r="D23" s="155">
        <f>'Table 17. Avoided Enviromental'!G25</f>
        <v>1416.2735733195195</v>
      </c>
      <c r="E23" s="104">
        <f>(1+'Table 3. Fixed Assumptions'!$G$10)^(B23-$B$5)</f>
        <v>1.4562266391654339</v>
      </c>
      <c r="F23" s="99">
        <f t="shared" si="0"/>
        <v>0.1104</v>
      </c>
      <c r="G23" s="27">
        <f t="shared" si="1"/>
        <v>51.535478066670436</v>
      </c>
      <c r="H23" s="204">
        <f t="shared" si="2"/>
        <v>0.13271432273267106</v>
      </c>
      <c r="I23" s="109">
        <f t="shared" si="3"/>
        <v>61.951957140603184</v>
      </c>
    </row>
    <row r="24" spans="1:11" x14ac:dyDescent="0.3">
      <c r="B24" s="308">
        <f t="shared" si="4"/>
        <v>2040</v>
      </c>
      <c r="C24" s="104">
        <f>'Table 9. Avoided Fixed O&amp;M'!K25</f>
        <v>0.30989299226113753</v>
      </c>
      <c r="D24" s="155">
        <f>'Table 17. Avoided Enviromental'!G26</f>
        <v>1409.1922054529218</v>
      </c>
      <c r="E24" s="104">
        <f>(1+'Table 3. Fixed Assumptions'!$G$10)^(B24-$B$5)</f>
        <v>1.4869530212518245</v>
      </c>
      <c r="F24" s="99">
        <f t="shared" si="0"/>
        <v>0.1104</v>
      </c>
      <c r="G24" s="27">
        <f t="shared" si="1"/>
        <v>48.211546329764097</v>
      </c>
      <c r="H24" s="204">
        <f t="shared" si="2"/>
        <v>0.13551459494233042</v>
      </c>
      <c r="I24" s="109">
        <f t="shared" si="3"/>
        <v>59.179059532802334</v>
      </c>
    </row>
    <row r="25" spans="1:11" x14ac:dyDescent="0.3">
      <c r="B25" s="308">
        <f t="shared" si="4"/>
        <v>2041</v>
      </c>
      <c r="C25" s="104">
        <f>'Table 9. Avoided Fixed O&amp;M'!K26</f>
        <v>0.29136234699241953</v>
      </c>
      <c r="D25" s="155">
        <f>'Table 17. Avoided Enviromental'!G27</f>
        <v>1402.1462444256572</v>
      </c>
      <c r="E25" s="104">
        <f>(1+'Table 3. Fixed Assumptions'!$G$10)^(B25-$B$5)</f>
        <v>1.518327730000238</v>
      </c>
      <c r="F25" s="99">
        <f t="shared" si="0"/>
        <v>0.1104</v>
      </c>
      <c r="G25" s="27">
        <f t="shared" si="1"/>
        <v>45.102001314512265</v>
      </c>
      <c r="H25" s="204">
        <f t="shared" si="2"/>
        <v>0.13837395289561358</v>
      </c>
      <c r="I25" s="109">
        <f t="shared" si="3"/>
        <v>56.530273599567231</v>
      </c>
    </row>
    <row r="26" spans="1:11" x14ac:dyDescent="0.3">
      <c r="B26" s="308">
        <f t="shared" si="4"/>
        <v>2042</v>
      </c>
      <c r="C26" s="104">
        <f>'Table 9. Avoided Fixed O&amp;M'!K27</f>
        <v>0.27393977716474194</v>
      </c>
      <c r="D26" s="155">
        <f>'Table 17. Avoided Enviromental'!G28</f>
        <v>1395.1355132035289</v>
      </c>
      <c r="E26" s="104">
        <f>(1+'Table 3. Fixed Assumptions'!$G$10)^(B26-$B$5)</f>
        <v>1.5503644451032428</v>
      </c>
      <c r="F26" s="99">
        <f t="shared" si="0"/>
        <v>0.1104</v>
      </c>
      <c r="G26" s="27">
        <f t="shared" si="1"/>
        <v>42.193015520815827</v>
      </c>
      <c r="H26" s="204">
        <f t="shared" si="2"/>
        <v>0.14129364330171101</v>
      </c>
      <c r="I26" s="109">
        <f t="shared" si="3"/>
        <v>54.000044246573438</v>
      </c>
    </row>
    <row r="27" spans="1:11" x14ac:dyDescent="0.3">
      <c r="B27" s="308">
        <f t="shared" si="4"/>
        <v>2043</v>
      </c>
      <c r="C27" s="104">
        <f>'Table 9. Avoided Fixed O&amp;M'!K28</f>
        <v>0.25755902328388669</v>
      </c>
      <c r="D27" s="155">
        <f>'Table 17. Avoided Enviromental'!G29</f>
        <v>1388.1598356375114</v>
      </c>
      <c r="E27" s="104">
        <f>(1+'Table 3. Fixed Assumptions'!$G$10)^(B27-$B$5)</f>
        <v>1.5830771348949213</v>
      </c>
      <c r="F27" s="99">
        <f t="shared" si="0"/>
        <v>0.1104</v>
      </c>
      <c r="G27" s="27">
        <f t="shared" si="1"/>
        <v>39.471653293730483</v>
      </c>
      <c r="H27" s="204">
        <f t="shared" si="2"/>
        <v>0.14427493917537712</v>
      </c>
      <c r="I27" s="109">
        <f t="shared" si="3"/>
        <v>51.58306501906285</v>
      </c>
    </row>
    <row r="28" spans="1:11" x14ac:dyDescent="0.3">
      <c r="B28" s="308">
        <f t="shared" si="4"/>
        <v>2044</v>
      </c>
      <c r="C28" s="104">
        <f>'Table 9. Avoided Fixed O&amp;M'!K29</f>
        <v>0.24215778796905479</v>
      </c>
      <c r="D28" s="155">
        <f>'Table 17. Avoided Enviromental'!G30</f>
        <v>1381.2190364593239</v>
      </c>
      <c r="E28" s="104">
        <f>(1+'Table 3. Fixed Assumptions'!$G$10)^(B28-$B$5)</f>
        <v>1.6164800624412039</v>
      </c>
      <c r="F28" s="99">
        <f t="shared" si="0"/>
        <v>0.1104</v>
      </c>
      <c r="G28" s="27">
        <f t="shared" si="1"/>
        <v>36.9258133012992</v>
      </c>
      <c r="H28" s="204">
        <f t="shared" si="2"/>
        <v>0.14731914039197755</v>
      </c>
      <c r="I28" s="109">
        <f t="shared" si="3"/>
        <v>49.274266973025803</v>
      </c>
    </row>
    <row r="29" spans="1:11" x14ac:dyDescent="0.3">
      <c r="B29" s="316">
        <f t="shared" si="4"/>
        <v>2045</v>
      </c>
      <c r="C29" s="110">
        <f>'Table 9. Avoided Fixed O&amp;M'!K30</f>
        <v>0.22767749903070209</v>
      </c>
      <c r="D29" s="156">
        <f>'Table 17. Avoided Enviromental'!G31</f>
        <v>1374.3129412770272</v>
      </c>
      <c r="E29" s="110">
        <f>(1+'Table 3. Fixed Assumptions'!$G$10)^(B29-$B$5)</f>
        <v>1.6505877917587137</v>
      </c>
      <c r="F29" s="120">
        <f t="shared" si="0"/>
        <v>0.1104</v>
      </c>
      <c r="G29" s="29">
        <f t="shared" si="1"/>
        <v>34.544174722445177</v>
      </c>
      <c r="H29" s="205">
        <f t="shared" si="2"/>
        <v>0.15042757425424833</v>
      </c>
      <c r="I29" s="112">
        <f t="shared" si="3"/>
        <v>47.068808044495924</v>
      </c>
    </row>
    <row r="30" spans="1:11" x14ac:dyDescent="0.3">
      <c r="G30" s="157">
        <f>SUM(G5:G29)</f>
        <v>2155.8119274621704</v>
      </c>
      <c r="H30" s="203"/>
      <c r="I30" s="157">
        <f>SUM(I5:I29)</f>
        <v>2155.8119274621713</v>
      </c>
    </row>
    <row r="31" spans="1:11" x14ac:dyDescent="0.3">
      <c r="H31" s="178"/>
    </row>
    <row r="32" spans="1:11" x14ac:dyDescent="0.3">
      <c r="H32" s="178"/>
    </row>
  </sheetData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  <colBreaks count="1" manualBreakCount="1">
    <brk id="9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4"/>
  <sheetViews>
    <sheetView view="pageBreakPreview" zoomScale="60" zoomScaleNormal="100" workbookViewId="0">
      <selection activeCell="W34" sqref="W34"/>
    </sheetView>
  </sheetViews>
  <sheetFormatPr defaultRowHeight="18.75" x14ac:dyDescent="0.3"/>
  <sheetData>
    <row r="2" spans="1:1" ht="26.25" x14ac:dyDescent="0.4">
      <c r="A2" s="114" t="s">
        <v>10</v>
      </c>
    </row>
    <row r="4" spans="1:1" x14ac:dyDescent="0.3">
      <c r="A4" s="117" t="s">
        <v>11</v>
      </c>
    </row>
    <row r="5" spans="1:1" x14ac:dyDescent="0.3">
      <c r="A5" s="117" t="s">
        <v>12</v>
      </c>
    </row>
    <row r="6" spans="1:1" x14ac:dyDescent="0.3">
      <c r="A6" t="s">
        <v>13</v>
      </c>
    </row>
    <row r="7" spans="1:1" x14ac:dyDescent="0.3">
      <c r="A7" t="s">
        <v>14</v>
      </c>
    </row>
    <row r="8" spans="1:1" x14ac:dyDescent="0.3">
      <c r="A8" t="s">
        <v>15</v>
      </c>
    </row>
    <row r="9" spans="1:1" x14ac:dyDescent="0.3">
      <c r="A9" t="s">
        <v>16</v>
      </c>
    </row>
    <row r="10" spans="1:1" x14ac:dyDescent="0.3">
      <c r="A10" t="s">
        <v>17</v>
      </c>
    </row>
    <row r="11" spans="1:1" x14ac:dyDescent="0.3">
      <c r="A11" t="s">
        <v>18</v>
      </c>
    </row>
    <row r="12" spans="1:1" x14ac:dyDescent="0.3">
      <c r="A12" t="s">
        <v>19</v>
      </c>
    </row>
    <row r="13" spans="1:1" x14ac:dyDescent="0.3">
      <c r="A13" t="s">
        <v>20</v>
      </c>
    </row>
    <row r="14" spans="1:1" x14ac:dyDescent="0.3">
      <c r="A14" t="s">
        <v>21</v>
      </c>
    </row>
    <row r="15" spans="1:1" x14ac:dyDescent="0.3">
      <c r="A15" t="s">
        <v>22</v>
      </c>
    </row>
    <row r="16" spans="1:1" x14ac:dyDescent="0.3">
      <c r="A16" t="s">
        <v>23</v>
      </c>
    </row>
    <row r="17" spans="1:1" x14ac:dyDescent="0.3">
      <c r="A17" t="s">
        <v>23</v>
      </c>
    </row>
    <row r="18" spans="1:1" x14ac:dyDescent="0.3">
      <c r="A18" t="s">
        <v>24</v>
      </c>
    </row>
    <row r="19" spans="1:1" x14ac:dyDescent="0.3">
      <c r="A19" s="117" t="s">
        <v>25</v>
      </c>
    </row>
    <row r="20" spans="1:1" x14ac:dyDescent="0.3">
      <c r="A20" t="s">
        <v>26</v>
      </c>
    </row>
    <row r="21" spans="1:1" x14ac:dyDescent="0.3">
      <c r="A21" t="s">
        <v>27</v>
      </c>
    </row>
    <row r="23" spans="1:1" x14ac:dyDescent="0.3">
      <c r="A23" t="s">
        <v>28</v>
      </c>
    </row>
    <row r="24" spans="1:1" x14ac:dyDescent="0.3">
      <c r="A24" t="s">
        <v>29</v>
      </c>
    </row>
  </sheetData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indexed="13"/>
  </sheetPr>
  <dimension ref="A1:Y27"/>
  <sheetViews>
    <sheetView view="pageBreakPreview" zoomScale="80" zoomScaleNormal="100" zoomScaleSheetLayoutView="80" workbookViewId="0">
      <selection activeCell="B26" sqref="B26"/>
    </sheetView>
  </sheetViews>
  <sheetFormatPr defaultRowHeight="18.75" x14ac:dyDescent="0.3"/>
  <cols>
    <col min="1" max="1" width="1.33203125" customWidth="1"/>
    <col min="2" max="2" width="30.5546875" customWidth="1"/>
    <col min="3" max="3" width="20.88671875" style="2" customWidth="1"/>
    <col min="4" max="4" width="21.109375" style="2" customWidth="1"/>
    <col min="5" max="5" width="9.88671875" style="2" customWidth="1"/>
    <col min="6" max="6" width="22.77734375" style="2" customWidth="1"/>
    <col min="7" max="7" width="11.88671875" style="2" customWidth="1"/>
  </cols>
  <sheetData>
    <row r="1" spans="1:25" ht="144.75" customHeight="1" x14ac:dyDescent="0.3"/>
    <row r="2" spans="1:25" ht="24.75" x14ac:dyDescent="0.4">
      <c r="B2" s="135" t="s">
        <v>62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7" customHeight="1" thickBot="1" x14ac:dyDescent="0.45">
      <c r="B3" s="114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41.25" customHeight="1" x14ac:dyDescent="0.35">
      <c r="B4" s="150"/>
      <c r="C4" s="96" t="s">
        <v>63</v>
      </c>
      <c r="D4" s="96" t="s">
        <v>64</v>
      </c>
      <c r="E4" s="96"/>
      <c r="F4" s="96" t="s">
        <v>65</v>
      </c>
      <c r="G4" s="191" t="s">
        <v>66</v>
      </c>
      <c r="K4" s="9"/>
      <c r="L4" s="209"/>
      <c r="M4" s="9"/>
      <c r="N4" s="209"/>
      <c r="O4" s="9"/>
      <c r="P4" s="9"/>
      <c r="Q4" s="9"/>
      <c r="R4" s="209"/>
      <c r="S4" s="9"/>
      <c r="T4" s="209"/>
      <c r="U4" s="9"/>
      <c r="V4" s="209"/>
      <c r="W4" s="9"/>
      <c r="X4" s="9"/>
      <c r="Y4" s="9"/>
    </row>
    <row r="5" spans="1:25" ht="19.5" customHeight="1" thickBot="1" x14ac:dyDescent="0.35">
      <c r="B5" s="151" t="str">
        <f>'Table 3. Fixed Assumptions'!C23&amp;" Year Levelized Values"</f>
        <v>25 Year Levelized Values</v>
      </c>
      <c r="C5" s="133" t="s">
        <v>67</v>
      </c>
      <c r="D5" s="133" t="s">
        <v>68</v>
      </c>
      <c r="E5" s="133"/>
      <c r="F5" s="133" t="s">
        <v>68</v>
      </c>
      <c r="G5" s="192" t="s">
        <v>67</v>
      </c>
      <c r="K5" s="9"/>
      <c r="L5" s="209"/>
      <c r="M5" s="9"/>
      <c r="N5" s="9"/>
      <c r="O5" s="9"/>
      <c r="P5" s="209"/>
      <c r="Q5" s="9"/>
      <c r="R5" s="209"/>
      <c r="S5" s="9"/>
      <c r="T5" s="209"/>
      <c r="U5" s="9"/>
      <c r="V5" s="209"/>
      <c r="W5" s="9"/>
      <c r="X5" s="9"/>
      <c r="Y5" s="9"/>
    </row>
    <row r="6" spans="1:25" x14ac:dyDescent="0.3">
      <c r="A6" s="117"/>
      <c r="B6" s="13" t="s">
        <v>69</v>
      </c>
      <c r="C6" s="124">
        <f>'Table 8. Avoided Fuel Costs'!G7</f>
        <v>2.1516690228396723E-2</v>
      </c>
      <c r="D6" s="10"/>
      <c r="E6" s="10"/>
      <c r="F6" s="138">
        <f>'Table 5. VOS Data Table'!C11</f>
        <v>9.8298934978443331E-2</v>
      </c>
      <c r="G6" s="193">
        <f>ROUND(C6*(1+F6),4)</f>
        <v>2.3599999999999999E-2</v>
      </c>
      <c r="K6" s="9"/>
      <c r="L6" s="208"/>
      <c r="M6" s="134"/>
      <c r="N6" s="208"/>
      <c r="O6" s="9"/>
      <c r="P6" s="208"/>
      <c r="Q6" s="9"/>
      <c r="R6" s="208"/>
      <c r="S6" s="134"/>
      <c r="T6" s="208"/>
      <c r="U6" s="9"/>
      <c r="V6" s="208"/>
      <c r="W6" s="9"/>
      <c r="X6" s="9"/>
      <c r="Y6" s="9"/>
    </row>
    <row r="7" spans="1:25" x14ac:dyDescent="0.3">
      <c r="A7" s="117"/>
      <c r="B7" s="201" t="s">
        <v>70</v>
      </c>
      <c r="C7" s="124">
        <f>'Table 9. Avoided Fixed O&amp;M'!G31</f>
        <v>2.7735856263190616E-3</v>
      </c>
      <c r="D7" s="138">
        <f>'Table 5. VOS Data Table'!C9</f>
        <v>0.48679868375271623</v>
      </c>
      <c r="E7" s="138"/>
      <c r="F7" s="138">
        <f>'Table 5. VOS Data Table'!C13</f>
        <v>0.10641630238537347</v>
      </c>
      <c r="G7" s="193">
        <f>ROUND(C7*D7*(1+F7),4)</f>
        <v>1.5E-3</v>
      </c>
      <c r="K7" s="9"/>
      <c r="L7" s="208"/>
      <c r="M7" s="134"/>
      <c r="N7" s="208"/>
      <c r="O7" s="9"/>
      <c r="P7" s="208"/>
      <c r="Q7" s="9"/>
      <c r="R7" s="208"/>
      <c r="S7" s="134"/>
      <c r="T7" s="208"/>
      <c r="U7" s="9"/>
      <c r="V7" s="208"/>
      <c r="W7" s="9"/>
      <c r="X7" s="9"/>
      <c r="Y7" s="9"/>
    </row>
    <row r="8" spans="1:25" x14ac:dyDescent="0.3">
      <c r="B8" s="201" t="s">
        <v>71</v>
      </c>
      <c r="C8" s="124">
        <f>'Table 10. Avoided Variable O&amp;M'!D7</f>
        <v>1.2560579046396343E-3</v>
      </c>
      <c r="D8" s="138"/>
      <c r="E8" s="138"/>
      <c r="F8" s="138">
        <f>'Table 5. VOS Data Table'!C11</f>
        <v>9.8298934978443331E-2</v>
      </c>
      <c r="G8" s="194">
        <f>ROUND(C8*(1+F8),4)</f>
        <v>1.4E-3</v>
      </c>
      <c r="K8" s="9"/>
      <c r="L8" s="208"/>
      <c r="M8" s="124"/>
      <c r="N8" s="208"/>
      <c r="O8" s="9"/>
      <c r="P8" s="208"/>
      <c r="Q8" s="9"/>
      <c r="R8" s="208"/>
      <c r="S8" s="124"/>
      <c r="T8" s="208"/>
      <c r="U8" s="9"/>
      <c r="V8" s="208"/>
      <c r="W8" s="9"/>
      <c r="X8" s="9"/>
      <c r="Y8" s="9"/>
    </row>
    <row r="9" spans="1:25" x14ac:dyDescent="0.3">
      <c r="B9" s="201" t="s">
        <v>72</v>
      </c>
      <c r="C9" s="124">
        <f>'Table 11. Avoided Gen. Cap.'!$G$31</f>
        <v>3.9534695041892838E-2</v>
      </c>
      <c r="D9" s="138">
        <f>'Table 5. VOS Data Table'!C9</f>
        <v>0.48679868375271623</v>
      </c>
      <c r="E9" s="138"/>
      <c r="F9" s="138">
        <f>'Table 5. VOS Data Table'!C13</f>
        <v>0.10641630238537347</v>
      </c>
      <c r="G9" s="194">
        <f>ROUND(C9*D9*(1+F9),4)</f>
        <v>2.1299999999999999E-2</v>
      </c>
      <c r="K9" s="9"/>
      <c r="L9" s="208"/>
      <c r="M9" s="124"/>
      <c r="N9" s="208"/>
      <c r="O9" s="9"/>
      <c r="P9" s="208"/>
      <c r="Q9" s="9"/>
      <c r="R9" s="208"/>
      <c r="S9" s="124"/>
      <c r="T9" s="208"/>
      <c r="U9" s="9"/>
      <c r="V9" s="208"/>
      <c r="W9" s="9"/>
      <c r="X9" s="9"/>
      <c r="Y9" s="9"/>
    </row>
    <row r="10" spans="1:25" x14ac:dyDescent="0.3">
      <c r="B10" s="13" t="s">
        <v>73</v>
      </c>
      <c r="C10" s="124">
        <f>'Table 12. Avoided Reserve Cap. '!$H$31</f>
        <v>3.5185878587284639E-3</v>
      </c>
      <c r="D10" s="138">
        <f>'Table 5. VOS Data Table'!C9</f>
        <v>0.48679868375271623</v>
      </c>
      <c r="E10" s="138"/>
      <c r="F10" s="138">
        <f>'Table 5. VOS Data Table'!C13</f>
        <v>0.10641630238537347</v>
      </c>
      <c r="G10" s="194">
        <f>ROUND(C10*D10*(1+F10),4)</f>
        <v>1.9E-3</v>
      </c>
      <c r="K10" s="9"/>
      <c r="L10" s="208"/>
      <c r="M10" s="124"/>
      <c r="N10" s="208"/>
      <c r="O10" s="9"/>
      <c r="P10" s="208"/>
      <c r="Q10" s="9"/>
      <c r="R10" s="208"/>
      <c r="S10" s="124"/>
      <c r="T10" s="208"/>
      <c r="U10" s="9"/>
      <c r="V10" s="208"/>
      <c r="W10" s="9"/>
      <c r="X10" s="9"/>
      <c r="Y10" s="9"/>
    </row>
    <row r="11" spans="1:25" x14ac:dyDescent="0.3">
      <c r="A11" s="117"/>
      <c r="B11" s="201" t="s">
        <v>74</v>
      </c>
      <c r="C11" s="124">
        <f>'Table 13. Avoided Trans. Cap.'!$G$31</f>
        <v>3.252637852886716E-2</v>
      </c>
      <c r="D11" s="138">
        <f>'Table 5. VOS Data Table'!C9</f>
        <v>0.48679868375271623</v>
      </c>
      <c r="E11" s="138"/>
      <c r="F11" s="138">
        <f>'Table 5. VOS Data Table'!C13</f>
        <v>0.10641630238537347</v>
      </c>
      <c r="G11" s="194">
        <f>ROUND(C11*D11*(1+F11),4)</f>
        <v>1.7500000000000002E-2</v>
      </c>
      <c r="K11" s="9"/>
      <c r="L11" s="208"/>
      <c r="M11" s="124"/>
      <c r="N11" s="208"/>
      <c r="O11" s="9"/>
      <c r="P11" s="208"/>
      <c r="Q11" s="9"/>
      <c r="R11" s="208"/>
      <c r="S11" s="124"/>
      <c r="T11" s="208"/>
      <c r="U11" s="9"/>
      <c r="V11" s="208"/>
      <c r="W11" s="9"/>
      <c r="X11" s="9"/>
      <c r="Y11" s="9"/>
    </row>
    <row r="12" spans="1:25" x14ac:dyDescent="0.3">
      <c r="A12" s="117"/>
      <c r="B12" s="98" t="s">
        <v>75</v>
      </c>
      <c r="C12" s="134">
        <f>'Table 15. Avoided Dist - System'!$O$32</f>
        <v>7.9637509474049448E-3</v>
      </c>
      <c r="D12" s="139">
        <f>'Table 5. VOS Data Table'!C10</f>
        <v>0.54536579951205566</v>
      </c>
      <c r="E12" s="139"/>
      <c r="F12" s="139">
        <f>'Table 5. VOS Data Table'!C12</f>
        <v>3.1E-2</v>
      </c>
      <c r="G12" s="193">
        <f>ROUND(C12*D12*(1+F12),4)</f>
        <v>4.4999999999999997E-3</v>
      </c>
      <c r="K12" s="9"/>
      <c r="L12" s="208"/>
      <c r="M12" s="134"/>
      <c r="N12" s="208"/>
      <c r="O12" s="9"/>
      <c r="P12" s="208"/>
      <c r="Q12" s="9"/>
      <c r="R12" s="208"/>
      <c r="S12" s="134"/>
      <c r="T12" s="208"/>
      <c r="U12" s="9"/>
      <c r="V12" s="208"/>
      <c r="W12" s="9"/>
      <c r="X12" s="9"/>
      <c r="Y12" s="9"/>
    </row>
    <row r="13" spans="1:25" x14ac:dyDescent="0.3">
      <c r="B13" s="13" t="s">
        <v>76</v>
      </c>
      <c r="C13" s="124">
        <f>'Table 17. Avoided Enviromental'!F7</f>
        <v>3.5269818584532098E-2</v>
      </c>
      <c r="D13" s="10"/>
      <c r="E13" s="10"/>
      <c r="F13" s="138">
        <f>'Table 5. VOS Data Table'!C11</f>
        <v>9.8298934978443331E-2</v>
      </c>
      <c r="G13" s="194">
        <f>ROUND(C13*(1+F13),5)</f>
        <v>3.8739999999999997E-2</v>
      </c>
      <c r="K13" s="9"/>
      <c r="L13" s="208"/>
      <c r="M13" s="124"/>
      <c r="N13" s="208"/>
      <c r="O13" s="9"/>
      <c r="P13" s="208"/>
      <c r="Q13" s="9"/>
      <c r="R13" s="208"/>
      <c r="S13" s="124"/>
      <c r="T13" s="208"/>
      <c r="U13" s="9"/>
      <c r="V13" s="208"/>
      <c r="W13" s="9"/>
      <c r="X13" s="9"/>
      <c r="Y13" s="9"/>
    </row>
    <row r="14" spans="1:25" x14ac:dyDescent="0.3">
      <c r="B14" s="13" t="s">
        <v>77</v>
      </c>
      <c r="C14" s="10"/>
      <c r="D14" s="10"/>
      <c r="E14" s="10"/>
      <c r="F14" s="10"/>
      <c r="G14" s="12"/>
      <c r="K14" s="9"/>
      <c r="L14" s="9"/>
      <c r="M14" s="10"/>
      <c r="N14" s="208"/>
      <c r="O14" s="9"/>
      <c r="P14" s="208"/>
      <c r="Q14" s="9"/>
      <c r="R14" s="208"/>
      <c r="S14" s="10"/>
      <c r="T14" s="208"/>
      <c r="U14" s="9"/>
      <c r="V14" s="208"/>
      <c r="W14" s="9"/>
      <c r="X14" s="9"/>
      <c r="Y14" s="9"/>
    </row>
    <row r="15" spans="1:25" x14ac:dyDescent="0.3">
      <c r="B15" s="100" t="s">
        <v>78</v>
      </c>
      <c r="C15" s="101"/>
      <c r="D15" s="101"/>
      <c r="E15" s="101"/>
      <c r="F15" s="101"/>
      <c r="G15" s="195"/>
      <c r="K15" s="9"/>
      <c r="L15" s="9"/>
      <c r="M15" s="101"/>
      <c r="N15" s="208"/>
      <c r="O15" s="9"/>
      <c r="P15" s="208"/>
      <c r="Q15" s="9"/>
      <c r="R15" s="208"/>
      <c r="S15" s="101"/>
      <c r="T15" s="208"/>
      <c r="U15" s="9"/>
      <c r="V15" s="208"/>
      <c r="W15" s="9"/>
      <c r="X15" s="9"/>
      <c r="Y15" s="9"/>
    </row>
    <row r="16" spans="1:25" x14ac:dyDescent="0.3">
      <c r="B16" s="8" t="s">
        <v>79</v>
      </c>
      <c r="C16" s="10"/>
      <c r="D16" s="10"/>
      <c r="E16" s="10"/>
      <c r="F16" s="10"/>
      <c r="G16" s="196">
        <f>ROUND(SUM(G6:G15),4)</f>
        <v>0.1104</v>
      </c>
      <c r="K16" s="9"/>
      <c r="L16" s="9"/>
      <c r="M16" s="264"/>
      <c r="N16" s="208"/>
      <c r="O16" s="9"/>
      <c r="P16" s="208"/>
      <c r="Q16" s="9"/>
      <c r="R16" s="208"/>
      <c r="S16" s="264"/>
      <c r="T16" s="208"/>
      <c r="U16" s="9"/>
      <c r="V16" s="208"/>
      <c r="W16" s="9"/>
      <c r="X16" s="9"/>
      <c r="Y16" s="9"/>
    </row>
    <row r="17" spans="2:25" ht="11.25" customHeight="1" thickBot="1" x14ac:dyDescent="0.35">
      <c r="B17" s="113"/>
      <c r="C17" s="121"/>
      <c r="D17" s="121"/>
      <c r="E17" s="121"/>
      <c r="F17" s="121"/>
      <c r="G17" s="19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2:25" x14ac:dyDescent="0.3">
      <c r="B18" s="122"/>
      <c r="C18" s="149">
        <f>SUM(C6:C15)</f>
        <v>0.14435956472078093</v>
      </c>
      <c r="D18" s="118"/>
      <c r="E18" s="118"/>
      <c r="F18" s="118"/>
      <c r="G18" s="11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2:25" x14ac:dyDescent="0.3">
      <c r="B19" s="1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2:25" x14ac:dyDescent="0.3">
      <c r="B20" s="170"/>
      <c r="G20" s="16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2:25" x14ac:dyDescent="0.3">
      <c r="B21" s="266"/>
      <c r="G21" s="169"/>
    </row>
    <row r="22" spans="2:25" x14ac:dyDescent="0.3">
      <c r="B22" s="171"/>
      <c r="G22" s="169"/>
    </row>
    <row r="23" spans="2:25" x14ac:dyDescent="0.3">
      <c r="B23" s="175"/>
      <c r="G23" s="169"/>
    </row>
    <row r="24" spans="2:25" x14ac:dyDescent="0.3">
      <c r="B24" s="266"/>
      <c r="G24" s="169"/>
    </row>
    <row r="25" spans="2:25" x14ac:dyDescent="0.3">
      <c r="B25" s="266"/>
      <c r="G25" s="169"/>
    </row>
    <row r="27" spans="2:25" x14ac:dyDescent="0.3">
      <c r="B27" s="266"/>
      <c r="G27" s="169"/>
    </row>
  </sheetData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  <ignoredErrors>
    <ignoredError sqref="F7:G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indexed="13"/>
  </sheetPr>
  <dimension ref="A1:M59"/>
  <sheetViews>
    <sheetView view="pageBreakPreview" zoomScale="90" zoomScaleNormal="100" zoomScaleSheetLayoutView="90" workbookViewId="0">
      <selection activeCell="W34" sqref="W34"/>
    </sheetView>
  </sheetViews>
  <sheetFormatPr defaultRowHeight="18.75" x14ac:dyDescent="0.3"/>
  <cols>
    <col min="1" max="1" width="2.44140625" customWidth="1"/>
    <col min="2" max="2" width="10.6640625" style="2" customWidth="1"/>
    <col min="3" max="3" width="14.88671875" style="2" customWidth="1"/>
    <col min="4" max="4" width="17.77734375" style="2" customWidth="1"/>
    <col min="5" max="5" width="15" style="2" customWidth="1"/>
    <col min="6" max="6" width="16.109375" style="2" customWidth="1"/>
    <col min="7" max="7" width="19.88671875" style="2" customWidth="1"/>
    <col min="8" max="8" width="12.44140625" style="2" customWidth="1"/>
    <col min="9" max="11" width="0.44140625" customWidth="1"/>
    <col min="12" max="12" width="0.44140625" style="102" customWidth="1"/>
    <col min="13" max="13" width="8.5546875" style="9" customWidth="1"/>
  </cols>
  <sheetData>
    <row r="1" spans="1:13" ht="26.25" x14ac:dyDescent="0.4">
      <c r="B1" s="114" t="s">
        <v>30</v>
      </c>
    </row>
    <row r="3" spans="1:13" x14ac:dyDescent="0.3">
      <c r="M3" s="102"/>
    </row>
    <row r="4" spans="1:13" ht="75.75" customHeight="1" thickBot="1" x14ac:dyDescent="0.5">
      <c r="B4" s="36" t="s">
        <v>31</v>
      </c>
      <c r="C4" s="105" t="s">
        <v>32</v>
      </c>
      <c r="D4" s="105" t="s">
        <v>33</v>
      </c>
      <c r="E4" s="33" t="s">
        <v>34</v>
      </c>
      <c r="F4" s="105" t="s">
        <v>35</v>
      </c>
      <c r="G4" s="21" t="s">
        <v>36</v>
      </c>
      <c r="H4" s="105" t="s">
        <v>37</v>
      </c>
      <c r="L4" s="202"/>
      <c r="M4" s="222"/>
    </row>
    <row r="5" spans="1:13" ht="19.5" thickBot="1" x14ac:dyDescent="0.35">
      <c r="B5" s="22">
        <f>'Table 8. Avoided Fuel Costs'!B7</f>
        <v>2021</v>
      </c>
      <c r="C5" s="106">
        <f>'Table 9. Avoided Fixed O&amp;M'!K6</f>
        <v>1</v>
      </c>
      <c r="D5" s="106">
        <f>(1+'Table 3. Fixed Assumptions'!$G$10)^(B5-$B$5)</f>
        <v>1</v>
      </c>
      <c r="E5" s="119">
        <f>'Fig. ES-1'!G16</f>
        <v>0.1104</v>
      </c>
      <c r="F5" s="107">
        <f>E5*C5</f>
        <v>0.1104</v>
      </c>
      <c r="G5" s="265">
        <f>SUMPRODUCT($E$5:$E$29,$C$5:$C$29,'Table 8. Avoided Fuel Costs'!$H$7:$H$31)/SUMPRODUCT($D$5:$D$29,$C$5:$C$29,'Table 8. Avoided Fuel Costs'!$H$7:$H$31)</f>
        <v>9.1135760851573128E-2</v>
      </c>
      <c r="H5" s="108">
        <f>G5*C5</f>
        <v>9.1135760851573128E-2</v>
      </c>
      <c r="L5" s="204"/>
      <c r="M5" s="134"/>
    </row>
    <row r="6" spans="1:13" x14ac:dyDescent="0.3">
      <c r="B6" s="23">
        <f>'Table 8. Avoided Fuel Costs'!B8</f>
        <v>2022</v>
      </c>
      <c r="C6" s="104">
        <f>'Table 9. Avoided Fixed O&amp;M'!K7</f>
        <v>0.94020308386611495</v>
      </c>
      <c r="D6" s="104">
        <f>(1+'Table 3. Fixed Assumptions'!$G$10)^(B6-$B$5)</f>
        <v>1.0210999999999999</v>
      </c>
      <c r="E6" s="99">
        <f t="shared" ref="E6:E29" si="0">E5</f>
        <v>0.1104</v>
      </c>
      <c r="F6" s="97">
        <f t="shared" ref="F6:F29" si="1">E6*C6</f>
        <v>0.10379842045881908</v>
      </c>
      <c r="G6" s="198">
        <f>$G$5*D6</f>
        <v>9.3058725405541318E-2</v>
      </c>
      <c r="H6" s="109">
        <f t="shared" ref="H6:H29" si="2">G6*C6</f>
        <v>8.749410060693992E-2</v>
      </c>
      <c r="L6" s="204"/>
      <c r="M6" s="134"/>
    </row>
    <row r="7" spans="1:13" x14ac:dyDescent="0.3">
      <c r="A7" s="117"/>
      <c r="B7" s="23">
        <f>'Table 8. Avoided Fuel Costs'!B9</f>
        <v>2023</v>
      </c>
      <c r="C7" s="104">
        <f>'Table 9. Avoided Fixed O&amp;M'!K8</f>
        <v>0.88398183891135285</v>
      </c>
      <c r="D7" s="104">
        <f>(1+'Table 3. Fixed Assumptions'!$G$10)^(B7-$B$5)</f>
        <v>1.0426452099999999</v>
      </c>
      <c r="E7" s="99">
        <f t="shared" si="0"/>
        <v>0.1104</v>
      </c>
      <c r="F7" s="97">
        <f t="shared" si="1"/>
        <v>9.7591595015813354E-2</v>
      </c>
      <c r="G7" s="199">
        <f t="shared" ref="G7:G29" si="3">$G$5*D7</f>
        <v>9.5022264511598231E-2</v>
      </c>
      <c r="H7" s="109">
        <f t="shared" si="2"/>
        <v>8.3997956120483594E-2</v>
      </c>
      <c r="L7" s="204"/>
      <c r="M7" s="134"/>
    </row>
    <row r="8" spans="1:13" x14ac:dyDescent="0.3">
      <c r="A8" s="117"/>
      <c r="B8" s="23">
        <f>'Table 8. Avoided Fuel Costs'!B10</f>
        <v>2024</v>
      </c>
      <c r="C8" s="104">
        <f>'Table 9. Avoided Fixed O&amp;M'!K9</f>
        <v>0.83112245102609328</v>
      </c>
      <c r="D8" s="104">
        <f>(1+'Table 3. Fixed Assumptions'!$G$10)^(B8-$B$5)</f>
        <v>1.0646450239309997</v>
      </c>
      <c r="E8" s="99">
        <f t="shared" si="0"/>
        <v>0.1104</v>
      </c>
      <c r="F8" s="97">
        <f t="shared" si="1"/>
        <v>9.1755918593280694E-2</v>
      </c>
      <c r="G8" s="199">
        <f t="shared" si="3"/>
        <v>9.7027234292792933E-2</v>
      </c>
      <c r="H8" s="109">
        <f t="shared" si="2"/>
        <v>8.0641512781709071E-2</v>
      </c>
      <c r="L8" s="204"/>
      <c r="M8" s="134"/>
    </row>
    <row r="9" spans="1:13" x14ac:dyDescent="0.3">
      <c r="B9" s="23">
        <f>'Table 8. Avoided Fuel Costs'!B11</f>
        <v>2025</v>
      </c>
      <c r="C9" s="104">
        <f>'Table 9. Avoided Fixed O&amp;M'!K10</f>
        <v>0.78142389152509684</v>
      </c>
      <c r="D9" s="104">
        <f>(1+'Table 3. Fixed Assumptions'!$G$10)^(B9-$B$5)</f>
        <v>1.0871090339359439</v>
      </c>
      <c r="E9" s="99">
        <f t="shared" si="0"/>
        <v>0.1104</v>
      </c>
      <c r="F9" s="97">
        <f t="shared" si="1"/>
        <v>8.6269197624370686E-2</v>
      </c>
      <c r="G9" s="199">
        <f t="shared" si="3"/>
        <v>9.9074508936370875E-2</v>
      </c>
      <c r="H9" s="109">
        <f t="shared" si="2"/>
        <v>7.7419188323996913E-2</v>
      </c>
      <c r="L9" s="204"/>
      <c r="M9" s="134"/>
    </row>
    <row r="10" spans="1:13" x14ac:dyDescent="0.3">
      <c r="B10" s="23">
        <f>'Table 8. Avoided Fuel Costs'!B12</f>
        <v>2026</v>
      </c>
      <c r="C10" s="104">
        <f>'Table 9. Avoided Fixed O&amp;M'!K11</f>
        <v>0.7346971526185565</v>
      </c>
      <c r="D10" s="104">
        <f>(1+'Table 3. Fixed Assumptions'!$G$10)^(B10-$B$5)</f>
        <v>1.1100470345519922</v>
      </c>
      <c r="E10" s="99">
        <f t="shared" si="0"/>
        <v>0.1104</v>
      </c>
      <c r="F10" s="97">
        <f t="shared" si="1"/>
        <v>8.111056564908864E-2</v>
      </c>
      <c r="G10" s="199">
        <f t="shared" si="3"/>
        <v>0.10116498107492829</v>
      </c>
      <c r="H10" s="109">
        <f t="shared" si="2"/>
        <v>7.4325623540459962E-2</v>
      </c>
      <c r="I10" s="213"/>
      <c r="L10" s="204"/>
      <c r="M10" s="134"/>
    </row>
    <row r="11" spans="1:13" x14ac:dyDescent="0.3">
      <c r="B11" s="23">
        <f>'Table 8. Avoided Fuel Costs'!B13</f>
        <v>2027</v>
      </c>
      <c r="C11" s="104">
        <f>'Table 9. Avoided Fixed O&amp;M'!K12</f>
        <v>0.69076452859962056</v>
      </c>
      <c r="D11" s="104">
        <f>(1+'Table 3. Fixed Assumptions'!$G$10)^(B11-$B$5)</f>
        <v>1.1334690269810392</v>
      </c>
      <c r="E11" s="99">
        <f t="shared" si="0"/>
        <v>0.1104</v>
      </c>
      <c r="F11" s="97">
        <f t="shared" si="1"/>
        <v>7.626040395739811E-2</v>
      </c>
      <c r="G11" s="199">
        <f t="shared" si="3"/>
        <v>0.10329956217560927</v>
      </c>
      <c r="H11" s="109">
        <f t="shared" si="2"/>
        <v>7.1355673370781941E-2</v>
      </c>
      <c r="I11" s="213"/>
      <c r="L11" s="204"/>
      <c r="M11" s="134"/>
    </row>
    <row r="12" spans="1:13" x14ac:dyDescent="0.3">
      <c r="A12" s="117"/>
      <c r="B12" s="23">
        <f>'Table 8. Avoided Fuel Costs'!B14</f>
        <v>2028</v>
      </c>
      <c r="C12" s="104">
        <f>'Table 9. Avoided Fixed O&amp;M'!K13</f>
        <v>0.64945894001468651</v>
      </c>
      <c r="D12" s="104">
        <f>(1+'Table 3. Fixed Assumptions'!$G$10)^(B12-$B$5)</f>
        <v>1.157385223450339</v>
      </c>
      <c r="E12" s="99">
        <f t="shared" si="0"/>
        <v>0.1104</v>
      </c>
      <c r="F12" s="97">
        <f t="shared" si="1"/>
        <v>7.1700266977621385E-2</v>
      </c>
      <c r="G12" s="199">
        <f t="shared" si="3"/>
        <v>0.10547918293751463</v>
      </c>
      <c r="H12" s="109">
        <f t="shared" si="2"/>
        <v>6.8504398344213457E-2</v>
      </c>
      <c r="I12" s="213"/>
      <c r="L12" s="204"/>
      <c r="M12" s="134"/>
    </row>
    <row r="13" spans="1:13" x14ac:dyDescent="0.3">
      <c r="A13" s="117"/>
      <c r="B13" s="23">
        <f>'Table 8. Avoided Fuel Costs'!B15</f>
        <v>2029</v>
      </c>
      <c r="C13" s="104">
        <f>'Table 9. Avoided Fixed O&amp;M'!K14</f>
        <v>0.6106232982462263</v>
      </c>
      <c r="D13" s="104">
        <f>(1+'Table 3. Fixed Assumptions'!$G$10)^(B13-$B$5)</f>
        <v>1.1818060516651414</v>
      </c>
      <c r="E13" s="99">
        <f t="shared" si="0"/>
        <v>0.1104</v>
      </c>
      <c r="F13" s="97">
        <f t="shared" si="1"/>
        <v>6.7412812126383378E-2</v>
      </c>
      <c r="G13" s="199">
        <f t="shared" si="3"/>
        <v>0.10770479369749621</v>
      </c>
      <c r="H13" s="109">
        <f t="shared" si="2"/>
        <v>6.5767056364494494E-2</v>
      </c>
      <c r="I13" s="213"/>
      <c r="L13" s="204"/>
      <c r="M13" s="134"/>
    </row>
    <row r="14" spans="1:13" x14ac:dyDescent="0.3">
      <c r="B14" s="23">
        <f>'Table 8. Avoided Fuel Costs'!B16</f>
        <v>2030</v>
      </c>
      <c r="C14" s="104">
        <f>'Table 9. Avoided Fixed O&amp;M'!K15</f>
        <v>0.57410990809160045</v>
      </c>
      <c r="D14" s="104">
        <f>(1+'Table 3. Fixed Assumptions'!$G$10)^(B14-$B$5)</f>
        <v>1.2067421593552758</v>
      </c>
      <c r="E14" s="99">
        <f t="shared" si="0"/>
        <v>0.1104</v>
      </c>
      <c r="F14" s="97">
        <f t="shared" si="1"/>
        <v>6.3381733853312694E-2</v>
      </c>
      <c r="G14" s="199">
        <f t="shared" si="3"/>
        <v>0.10997736484451337</v>
      </c>
      <c r="H14" s="109">
        <f t="shared" si="2"/>
        <v>6.3139094823039976E-2</v>
      </c>
      <c r="I14" s="213"/>
      <c r="L14" s="204"/>
      <c r="M14" s="134"/>
    </row>
    <row r="15" spans="1:13" x14ac:dyDescent="0.3">
      <c r="B15" s="23">
        <f>'Table 8. Avoided Fuel Costs'!B17</f>
        <v>2031</v>
      </c>
      <c r="C15" s="104">
        <f>'Table 9. Avoided Fixed O&amp;M'!K16</f>
        <v>0.5397799060658145</v>
      </c>
      <c r="D15" s="104">
        <f>(1+'Table 3. Fixed Assumptions'!$G$10)^(B15-$B$5)</f>
        <v>1.232204418917672</v>
      </c>
      <c r="E15" s="99">
        <f t="shared" si="0"/>
        <v>0.1104</v>
      </c>
      <c r="F15" s="97">
        <f t="shared" si="1"/>
        <v>5.959170162966592E-2</v>
      </c>
      <c r="G15" s="199">
        <f t="shared" si="3"/>
        <v>0.11229788724273258</v>
      </c>
      <c r="H15" s="109">
        <f t="shared" si="2"/>
        <v>6.061614302727162E-2</v>
      </c>
      <c r="I15" s="213"/>
      <c r="L15" s="204"/>
      <c r="M15" s="134"/>
    </row>
    <row r="16" spans="1:13" x14ac:dyDescent="0.3">
      <c r="B16" s="23">
        <f>'Table 8. Avoided Fuel Costs'!B18</f>
        <v>2032</v>
      </c>
      <c r="C16" s="104">
        <f>'Table 9. Avoided Fixed O&amp;M'!K17</f>
        <v>0.50750273229204079</v>
      </c>
      <c r="D16" s="104">
        <f>(1+'Table 3. Fixed Assumptions'!$G$10)^(B16-$B$5)</f>
        <v>1.2582039321568348</v>
      </c>
      <c r="E16" s="99">
        <f t="shared" si="0"/>
        <v>0.1104</v>
      </c>
      <c r="F16" s="97">
        <f t="shared" si="1"/>
        <v>5.6028301645041301E-2</v>
      </c>
      <c r="G16" s="199">
        <f t="shared" si="3"/>
        <v>0.11466737266355423</v>
      </c>
      <c r="H16" s="109">
        <f t="shared" si="2"/>
        <v>5.8194004931503437E-2</v>
      </c>
      <c r="I16" s="213"/>
      <c r="L16" s="204"/>
      <c r="M16" s="134"/>
    </row>
    <row r="17" spans="1:13" ht="16.5" customHeight="1" x14ac:dyDescent="0.3">
      <c r="B17" s="23">
        <f>'Table 8. Avoided Fuel Costs'!B19</f>
        <v>2033</v>
      </c>
      <c r="C17" s="104">
        <f>'Table 9. Avoided Fixed O&amp;M'!K18</f>
        <v>0.47715563397145594</v>
      </c>
      <c r="D17" s="104">
        <f>(1+'Table 3. Fixed Assumptions'!$G$10)^(B17-$B$5)</f>
        <v>1.2847520351253441</v>
      </c>
      <c r="E17" s="99">
        <f t="shared" si="0"/>
        <v>0.1104</v>
      </c>
      <c r="F17" s="97">
        <f t="shared" si="1"/>
        <v>5.2677981990448736E-2</v>
      </c>
      <c r="G17" s="199">
        <f t="shared" si="3"/>
        <v>0.11708685422675524</v>
      </c>
      <c r="H17" s="109">
        <f t="shared" si="2"/>
        <v>5.5868652158290844E-2</v>
      </c>
      <c r="I17" s="213"/>
      <c r="L17" s="204"/>
      <c r="M17" s="134"/>
    </row>
    <row r="18" spans="1:13" x14ac:dyDescent="0.3">
      <c r="B18" s="23">
        <f>'Table 8. Avoided Fuel Costs'!B20</f>
        <v>2034</v>
      </c>
      <c r="C18" s="104">
        <f>'Table 9. Avoided Fixed O&amp;M'!K19</f>
        <v>0.44862319854405402</v>
      </c>
      <c r="D18" s="104">
        <f>(1+'Table 3. Fixed Assumptions'!$G$10)^(B18-$B$5)</f>
        <v>1.3118603030664886</v>
      </c>
      <c r="E18" s="99">
        <f t="shared" si="0"/>
        <v>0.1104</v>
      </c>
      <c r="F18" s="97">
        <f t="shared" si="1"/>
        <v>4.9528001119263566E-2</v>
      </c>
      <c r="G18" s="199">
        <f t="shared" si="3"/>
        <v>0.11955738685093975</v>
      </c>
      <c r="H18" s="109">
        <f t="shared" si="2"/>
        <v>5.363621729863742E-2</v>
      </c>
      <c r="I18" s="213"/>
      <c r="L18" s="204"/>
      <c r="M18" s="134"/>
    </row>
    <row r="19" spans="1:13" x14ac:dyDescent="0.3">
      <c r="B19" s="23">
        <f>'Table 8. Avoided Fuel Costs'!B21</f>
        <v>2035</v>
      </c>
      <c r="C19" s="104">
        <f>'Table 9. Avoided Fixed O&amp;M'!K20</f>
        <v>0.42179691476499998</v>
      </c>
      <c r="D19" s="104">
        <f>(1+'Table 3. Fixed Assumptions'!$G$10)^(B19-$B$5)</f>
        <v>1.3395405554611917</v>
      </c>
      <c r="E19" s="99">
        <f t="shared" si="0"/>
        <v>0.1104</v>
      </c>
      <c r="F19" s="97">
        <f t="shared" si="1"/>
        <v>4.6566379390055999E-2</v>
      </c>
      <c r="G19" s="199">
        <f t="shared" si="3"/>
        <v>0.12208004771349459</v>
      </c>
      <c r="H19" s="109">
        <f t="shared" si="2"/>
        <v>5.1492987479916007E-2</v>
      </c>
      <c r="I19" s="213"/>
      <c r="L19" s="134"/>
      <c r="M19" s="134"/>
    </row>
    <row r="20" spans="1:13" x14ac:dyDescent="0.3">
      <c r="B20" s="23">
        <f>'Table 8. Avoided Fuel Costs'!B22</f>
        <v>2036</v>
      </c>
      <c r="C20" s="104">
        <f>'Table 9. Avoided Fixed O&amp;M'!K21</f>
        <v>0.39657476002726588</v>
      </c>
      <c r="D20" s="104">
        <f>(1+'Table 3. Fixed Assumptions'!$G$10)^(B20-$B$5)</f>
        <v>1.3678048611814226</v>
      </c>
      <c r="E20" s="99">
        <f t="shared" si="0"/>
        <v>0.1104</v>
      </c>
      <c r="F20" s="97">
        <f t="shared" si="1"/>
        <v>4.3781853507010152E-2</v>
      </c>
      <c r="G20" s="199">
        <f t="shared" si="3"/>
        <v>0.12465593672024931</v>
      </c>
      <c r="H20" s="109">
        <f t="shared" si="2"/>
        <v>4.943539819080691E-2</v>
      </c>
      <c r="I20" s="213"/>
      <c r="M20" s="134"/>
    </row>
    <row r="21" spans="1:13" x14ac:dyDescent="0.3">
      <c r="A21" s="117"/>
      <c r="B21" s="23">
        <f>'Table 8. Avoided Fuel Costs'!B23</f>
        <v>2037</v>
      </c>
      <c r="C21" s="104">
        <f>'Table 9. Avoided Fixed O&amp;M'!K22</f>
        <v>0.39657476002726588</v>
      </c>
      <c r="D21" s="104">
        <f>(1+'Table 3. Fixed Assumptions'!$G$10)^(B21-$B$5)</f>
        <v>1.396665543752351</v>
      </c>
      <c r="E21" s="99">
        <f t="shared" si="0"/>
        <v>0.1104</v>
      </c>
      <c r="F21" s="97">
        <f t="shared" si="1"/>
        <v>4.3781853507010152E-2</v>
      </c>
      <c r="G21" s="199">
        <f t="shared" si="3"/>
        <v>0.1272861769850466</v>
      </c>
      <c r="H21" s="109">
        <f t="shared" si="2"/>
        <v>5.0478485092632946E-2</v>
      </c>
      <c r="I21" s="213"/>
      <c r="M21" s="134"/>
    </row>
    <row r="22" spans="1:13" x14ac:dyDescent="0.3">
      <c r="B22" s="23">
        <f>'Table 8. Avoided Fuel Costs'!B24</f>
        <v>2038</v>
      </c>
      <c r="C22" s="104">
        <f>'Table 9. Avoided Fixed O&amp;M'!K23</f>
        <v>0.35056488563473087</v>
      </c>
      <c r="D22" s="104">
        <f>(1+'Table 3. Fixed Assumptions'!$G$10)^(B22-$B$5)</f>
        <v>1.4261351867255254</v>
      </c>
      <c r="E22" s="99">
        <f t="shared" si="0"/>
        <v>0.1104</v>
      </c>
      <c r="F22" s="97">
        <f t="shared" si="1"/>
        <v>3.8702363374074289E-2</v>
      </c>
      <c r="G22" s="199">
        <f t="shared" si="3"/>
        <v>0.12997191531943106</v>
      </c>
      <c r="H22" s="109">
        <f t="shared" si="2"/>
        <v>4.5563589629683272E-2</v>
      </c>
      <c r="I22" s="102"/>
      <c r="M22" s="134"/>
    </row>
    <row r="23" spans="1:13" x14ac:dyDescent="0.3">
      <c r="B23" s="23">
        <f>'Table 8. Avoided Fuel Costs'!B25</f>
        <v>2039</v>
      </c>
      <c r="C23" s="104">
        <f>'Table 9. Avoided Fixed O&amp;M'!K24</f>
        <v>0.32960218656894585</v>
      </c>
      <c r="D23" s="104">
        <f>(1+'Table 3. Fixed Assumptions'!$G$10)^(B23-$B$5)</f>
        <v>1.4562266391654339</v>
      </c>
      <c r="E23" s="99">
        <f t="shared" si="0"/>
        <v>0.1104</v>
      </c>
      <c r="F23" s="97">
        <f t="shared" si="1"/>
        <v>3.638808139721162E-2</v>
      </c>
      <c r="G23" s="199">
        <f t="shared" si="3"/>
        <v>0.13271432273267106</v>
      </c>
      <c r="H23" s="109">
        <f t="shared" si="2"/>
        <v>4.3742930961705138E-2</v>
      </c>
      <c r="M23" s="134"/>
    </row>
    <row r="24" spans="1:13" x14ac:dyDescent="0.3">
      <c r="B24" s="23">
        <f>'Table 8. Avoided Fuel Costs'!B26</f>
        <v>2040</v>
      </c>
      <c r="C24" s="104">
        <f>'Table 9. Avoided Fixed O&amp;M'!K25</f>
        <v>0.30989299226113753</v>
      </c>
      <c r="D24" s="104">
        <f>(1+'Table 3. Fixed Assumptions'!$G$10)^(B24-$B$5)</f>
        <v>1.4869530212518245</v>
      </c>
      <c r="E24" s="99">
        <f t="shared" si="0"/>
        <v>0.1104</v>
      </c>
      <c r="F24" s="97">
        <f t="shared" si="1"/>
        <v>3.4212186345629586E-2</v>
      </c>
      <c r="G24" s="199">
        <f t="shared" si="3"/>
        <v>0.13551459494233042</v>
      </c>
      <c r="H24" s="109">
        <f t="shared" si="2"/>
        <v>4.1995023321734791E-2</v>
      </c>
      <c r="M24" s="134"/>
    </row>
    <row r="25" spans="1:13" x14ac:dyDescent="0.3">
      <c r="B25" s="23">
        <f>'Table 8. Avoided Fuel Costs'!B27</f>
        <v>2041</v>
      </c>
      <c r="C25" s="104">
        <f>'Table 9. Avoided Fixed O&amp;M'!K26</f>
        <v>0.29136234699241953</v>
      </c>
      <c r="D25" s="104">
        <f>(1+'Table 3. Fixed Assumptions'!$G$10)^(B25-$B$5)</f>
        <v>1.518327730000238</v>
      </c>
      <c r="E25" s="99">
        <f t="shared" si="0"/>
        <v>0.1104</v>
      </c>
      <c r="F25" s="97">
        <f t="shared" si="1"/>
        <v>3.2166403107963114E-2</v>
      </c>
      <c r="G25" s="199">
        <f t="shared" si="3"/>
        <v>0.13837395289561358</v>
      </c>
      <c r="H25" s="109">
        <f t="shared" si="2"/>
        <v>4.0316959678284477E-2</v>
      </c>
      <c r="M25" s="134"/>
    </row>
    <row r="26" spans="1:13" x14ac:dyDescent="0.3">
      <c r="B26" s="23">
        <f>'Table 8. Avoided Fuel Costs'!B28</f>
        <v>2042</v>
      </c>
      <c r="C26" s="104">
        <f>'Table 9. Avoided Fixed O&amp;M'!K27</f>
        <v>0.27393977716474194</v>
      </c>
      <c r="D26" s="104">
        <f>(1+'Table 3. Fixed Assumptions'!$G$10)^(B26-$B$5)</f>
        <v>1.5503644451032428</v>
      </c>
      <c r="E26" s="99">
        <f t="shared" si="0"/>
        <v>0.1104</v>
      </c>
      <c r="F26" s="97">
        <f t="shared" si="1"/>
        <v>3.024295139898751E-2</v>
      </c>
      <c r="G26" s="199">
        <f t="shared" si="3"/>
        <v>0.14129364330171101</v>
      </c>
      <c r="H26" s="109">
        <f t="shared" si="2"/>
        <v>3.8705949160865248E-2</v>
      </c>
      <c r="M26" s="134"/>
    </row>
    <row r="27" spans="1:13" x14ac:dyDescent="0.3">
      <c r="B27" s="23">
        <f>'Table 8. Avoided Fuel Costs'!B29</f>
        <v>2043</v>
      </c>
      <c r="C27" s="104">
        <f>'Table 9. Avoided Fixed O&amp;M'!K28</f>
        <v>0.25755902328388669</v>
      </c>
      <c r="D27" s="104">
        <f>(1+'Table 3. Fixed Assumptions'!$G$10)^(B27-$B$5)</f>
        <v>1.5830771348949213</v>
      </c>
      <c r="E27" s="99">
        <f t="shared" si="0"/>
        <v>0.1104</v>
      </c>
      <c r="F27" s="97">
        <f t="shared" si="1"/>
        <v>2.8434516170541092E-2</v>
      </c>
      <c r="G27" s="199">
        <f t="shared" si="3"/>
        <v>0.14427493917537712</v>
      </c>
      <c r="H27" s="109">
        <f t="shared" si="2"/>
        <v>3.715931241835229E-2</v>
      </c>
      <c r="M27" s="134"/>
    </row>
    <row r="28" spans="1:13" x14ac:dyDescent="0.3">
      <c r="B28" s="23">
        <f>'Table 8. Avoided Fuel Costs'!B30</f>
        <v>2044</v>
      </c>
      <c r="C28" s="104">
        <f>'Table 9. Avoided Fixed O&amp;M'!K29</f>
        <v>0.24215778796905479</v>
      </c>
      <c r="D28" s="104">
        <f>(1+'Table 3. Fixed Assumptions'!$G$10)^(B28-$B$5)</f>
        <v>1.6164800624412039</v>
      </c>
      <c r="E28" s="99">
        <f t="shared" si="0"/>
        <v>0.1104</v>
      </c>
      <c r="F28" s="97">
        <f t="shared" si="1"/>
        <v>2.6734219791783649E-2</v>
      </c>
      <c r="G28" s="199">
        <f t="shared" si="3"/>
        <v>0.14731914039197755</v>
      </c>
      <c r="H28" s="109">
        <f t="shared" si="2"/>
        <v>3.5674477162823917E-2</v>
      </c>
      <c r="M28" s="134"/>
    </row>
    <row r="29" spans="1:13" ht="19.5" thickBot="1" x14ac:dyDescent="0.35">
      <c r="B29" s="24">
        <f>'Table 8. Avoided Fuel Costs'!B31</f>
        <v>2045</v>
      </c>
      <c r="C29" s="110">
        <f>'Table 9. Avoided Fixed O&amp;M'!K30</f>
        <v>0.22767749903070209</v>
      </c>
      <c r="D29" s="110">
        <f>(1+'Table 3. Fixed Assumptions'!$G$10)^(B29-$B$5)</f>
        <v>1.6505877917587137</v>
      </c>
      <c r="E29" s="120">
        <f t="shared" si="0"/>
        <v>0.1104</v>
      </c>
      <c r="F29" s="111">
        <f t="shared" si="1"/>
        <v>2.5135595892989509E-2</v>
      </c>
      <c r="G29" s="200">
        <f t="shared" si="3"/>
        <v>0.15042757425424833</v>
      </c>
      <c r="H29" s="112">
        <f t="shared" si="2"/>
        <v>3.4248973891462489E-2</v>
      </c>
      <c r="M29" s="134"/>
    </row>
    <row r="30" spans="1:13" x14ac:dyDescent="0.3">
      <c r="F30" s="103">
        <f>SUM(F5:F29)</f>
        <v>1.4536533045237643</v>
      </c>
      <c r="H30" s="103">
        <f>SUM(H5:H29)</f>
        <v>1.4609094695316631</v>
      </c>
    </row>
    <row r="35" spans="6:7" x14ac:dyDescent="0.3">
      <c r="F35" s="116"/>
      <c r="G35" s="169"/>
    </row>
    <row r="36" spans="6:7" x14ac:dyDescent="0.3">
      <c r="F36" s="116"/>
      <c r="G36" s="169"/>
    </row>
    <row r="37" spans="6:7" x14ac:dyDescent="0.3">
      <c r="F37" s="116"/>
      <c r="G37" s="169"/>
    </row>
    <row r="38" spans="6:7" x14ac:dyDescent="0.3">
      <c r="F38" s="116"/>
      <c r="G38" s="169"/>
    </row>
    <row r="39" spans="6:7" x14ac:dyDescent="0.3">
      <c r="F39" s="116"/>
      <c r="G39" s="169"/>
    </row>
    <row r="40" spans="6:7" x14ac:dyDescent="0.3">
      <c r="F40" s="116"/>
      <c r="G40" s="169"/>
    </row>
    <row r="41" spans="6:7" x14ac:dyDescent="0.3">
      <c r="F41" s="116"/>
      <c r="G41" s="169"/>
    </row>
    <row r="42" spans="6:7" x14ac:dyDescent="0.3">
      <c r="F42" s="116"/>
      <c r="G42" s="169"/>
    </row>
    <row r="43" spans="6:7" x14ac:dyDescent="0.3">
      <c r="F43" s="116"/>
      <c r="G43" s="169"/>
    </row>
    <row r="44" spans="6:7" x14ac:dyDescent="0.3">
      <c r="F44" s="116"/>
      <c r="G44" s="169"/>
    </row>
    <row r="45" spans="6:7" x14ac:dyDescent="0.3">
      <c r="F45" s="116"/>
      <c r="G45" s="169"/>
    </row>
    <row r="46" spans="6:7" x14ac:dyDescent="0.3">
      <c r="F46" s="116"/>
      <c r="G46" s="169"/>
    </row>
    <row r="47" spans="6:7" x14ac:dyDescent="0.3">
      <c r="F47" s="116"/>
      <c r="G47" s="169"/>
    </row>
    <row r="48" spans="6:7" x14ac:dyDescent="0.3">
      <c r="F48" s="116"/>
      <c r="G48" s="169"/>
    </row>
    <row r="49" spans="6:7" x14ac:dyDescent="0.3">
      <c r="F49" s="116"/>
      <c r="G49" s="169"/>
    </row>
    <row r="50" spans="6:7" x14ac:dyDescent="0.3">
      <c r="F50" s="116"/>
      <c r="G50" s="169"/>
    </row>
    <row r="51" spans="6:7" x14ac:dyDescent="0.3">
      <c r="F51" s="116"/>
      <c r="G51" s="169"/>
    </row>
    <row r="52" spans="6:7" x14ac:dyDescent="0.3">
      <c r="F52" s="116"/>
      <c r="G52" s="169"/>
    </row>
    <row r="53" spans="6:7" x14ac:dyDescent="0.3">
      <c r="F53" s="116"/>
      <c r="G53" s="169"/>
    </row>
    <row r="54" spans="6:7" x14ac:dyDescent="0.3">
      <c r="F54" s="116"/>
      <c r="G54" s="169"/>
    </row>
    <row r="55" spans="6:7" x14ac:dyDescent="0.3">
      <c r="F55" s="116"/>
      <c r="G55" s="169"/>
    </row>
    <row r="56" spans="6:7" x14ac:dyDescent="0.3">
      <c r="F56" s="116"/>
      <c r="G56" s="169"/>
    </row>
    <row r="57" spans="6:7" x14ac:dyDescent="0.3">
      <c r="F57" s="116"/>
      <c r="G57" s="169"/>
    </row>
    <row r="58" spans="6:7" x14ac:dyDescent="0.3">
      <c r="F58" s="116"/>
      <c r="G58" s="169"/>
    </row>
    <row r="59" spans="6:7" x14ac:dyDescent="0.3">
      <c r="F59" s="116"/>
      <c r="G59" s="169"/>
    </row>
  </sheetData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3" tint="0.59999389629810485"/>
  </sheetPr>
  <dimension ref="A2:P24"/>
  <sheetViews>
    <sheetView view="pageBreakPreview" zoomScale="80" zoomScaleNormal="50" zoomScaleSheetLayoutView="80" workbookViewId="0">
      <selection activeCell="B3" sqref="B2:H3"/>
    </sheetView>
  </sheetViews>
  <sheetFormatPr defaultRowHeight="18.75" x14ac:dyDescent="0.3"/>
  <cols>
    <col min="2" max="2" width="33" customWidth="1"/>
    <col min="4" max="4" width="12.5546875" customWidth="1"/>
    <col min="5" max="5" width="3.21875" customWidth="1"/>
    <col min="6" max="6" width="27.109375" customWidth="1"/>
    <col min="7" max="7" width="9.21875" bestFit="1" customWidth="1"/>
    <col min="8" max="8" width="10.44140625" style="2" customWidth="1"/>
    <col min="9" max="10" width="8.88671875" style="9"/>
  </cols>
  <sheetData>
    <row r="2" spans="1:16" ht="26.25" x14ac:dyDescent="0.4">
      <c r="B2" s="429" t="s">
        <v>38</v>
      </c>
      <c r="C2" s="9"/>
      <c r="D2" s="9"/>
      <c r="E2" s="9"/>
      <c r="F2" s="9"/>
      <c r="G2" s="9"/>
      <c r="H2" s="10"/>
    </row>
    <row r="3" spans="1:16" ht="19.5" thickBot="1" x14ac:dyDescent="0.35">
      <c r="B3" s="430"/>
      <c r="C3" s="430"/>
      <c r="D3" s="430"/>
      <c r="E3" s="430"/>
      <c r="F3" s="430"/>
      <c r="G3" s="430"/>
      <c r="H3" s="431"/>
      <c r="K3" s="9"/>
      <c r="L3" s="9"/>
      <c r="M3" s="9"/>
      <c r="N3" s="9"/>
      <c r="O3" s="9"/>
      <c r="P3" s="9"/>
    </row>
    <row r="4" spans="1:16" x14ac:dyDescent="0.3">
      <c r="B4" s="15" t="s">
        <v>39</v>
      </c>
      <c r="C4" s="251"/>
      <c r="D4" s="251"/>
      <c r="E4" s="251"/>
      <c r="F4" s="251"/>
      <c r="G4" s="251"/>
      <c r="H4" s="427"/>
      <c r="K4" s="9"/>
      <c r="L4" s="9"/>
      <c r="M4" s="9"/>
      <c r="N4" s="9"/>
      <c r="O4" s="9"/>
      <c r="P4" s="9"/>
    </row>
    <row r="5" spans="1:16" x14ac:dyDescent="0.3">
      <c r="B5" s="201" t="s">
        <v>40</v>
      </c>
      <c r="C5" s="102"/>
      <c r="D5" s="102"/>
      <c r="E5" s="102"/>
      <c r="F5" s="122" t="s">
        <v>41</v>
      </c>
      <c r="G5" s="102"/>
      <c r="H5" s="428"/>
      <c r="K5" s="9"/>
      <c r="L5" s="9"/>
      <c r="M5" s="9"/>
      <c r="N5" s="9"/>
      <c r="O5" s="9"/>
      <c r="P5" s="9"/>
    </row>
    <row r="6" spans="1:16" x14ac:dyDescent="0.3">
      <c r="B6" s="18">
        <f>'Table 5. VOS Data Table'!C5</f>
        <v>2021</v>
      </c>
      <c r="C6" s="252">
        <v>2.579359803921569</v>
      </c>
      <c r="D6" s="95" t="s">
        <v>42</v>
      </c>
      <c r="E6" s="102"/>
      <c r="F6" s="102" t="s">
        <v>43</v>
      </c>
      <c r="G6" s="253">
        <f>1.03*(1+G10)-1</f>
        <v>5.1733000000000029E-2</v>
      </c>
      <c r="H6" s="428" t="s">
        <v>44</v>
      </c>
      <c r="J6" s="206"/>
      <c r="K6" s="9"/>
      <c r="L6" s="9"/>
      <c r="M6" s="9"/>
      <c r="N6" s="9"/>
      <c r="O6" s="9"/>
      <c r="P6" s="9"/>
    </row>
    <row r="7" spans="1:16" x14ac:dyDescent="0.3">
      <c r="A7" s="117"/>
      <c r="B7" s="18">
        <f>B6+1</f>
        <v>2022</v>
      </c>
      <c r="C7" s="252">
        <v>2.445879411764706</v>
      </c>
      <c r="D7" s="95" t="s">
        <v>42</v>
      </c>
      <c r="E7" s="102"/>
      <c r="F7" s="102" t="s">
        <v>45</v>
      </c>
      <c r="G7" s="102" t="s">
        <v>46</v>
      </c>
      <c r="H7" s="428"/>
      <c r="J7" s="206"/>
      <c r="K7" s="9"/>
      <c r="L7" s="9"/>
      <c r="M7" s="9"/>
      <c r="N7" s="9"/>
      <c r="O7" s="9"/>
      <c r="P7" s="9"/>
    </row>
    <row r="8" spans="1:16" x14ac:dyDescent="0.3">
      <c r="A8" s="117"/>
      <c r="B8" s="18">
        <f t="shared" ref="B8:B17" si="0">B7+1</f>
        <v>2023</v>
      </c>
      <c r="C8" s="252">
        <v>2.4135196078431376</v>
      </c>
      <c r="D8" s="95" t="s">
        <v>42</v>
      </c>
      <c r="E8" s="102"/>
      <c r="F8" s="102"/>
      <c r="G8" s="102"/>
      <c r="H8" s="428"/>
      <c r="J8" s="206"/>
      <c r="K8" s="9"/>
      <c r="L8" s="9"/>
      <c r="M8" s="9"/>
      <c r="N8" s="9"/>
      <c r="O8" s="9"/>
      <c r="P8" s="9"/>
    </row>
    <row r="9" spans="1:16" x14ac:dyDescent="0.3">
      <c r="B9" s="18">
        <f t="shared" si="0"/>
        <v>2024</v>
      </c>
      <c r="C9" s="252">
        <v>2.4188911764705883</v>
      </c>
      <c r="D9" s="95" t="s">
        <v>42</v>
      </c>
      <c r="E9" s="102"/>
      <c r="F9" s="122" t="s">
        <v>47</v>
      </c>
      <c r="G9" s="102"/>
      <c r="H9" s="428"/>
      <c r="J9" s="206"/>
      <c r="K9" s="9"/>
      <c r="L9" s="9"/>
      <c r="M9" s="9"/>
      <c r="N9" s="9"/>
      <c r="O9" s="9"/>
      <c r="P9" s="9"/>
    </row>
    <row r="10" spans="1:16" x14ac:dyDescent="0.3">
      <c r="B10" s="18">
        <f t="shared" si="0"/>
        <v>2025</v>
      </c>
      <c r="C10" s="252">
        <v>2.4316049019607844</v>
      </c>
      <c r="D10" s="95" t="s">
        <v>42</v>
      </c>
      <c r="E10" s="102"/>
      <c r="F10" s="102" t="s">
        <v>48</v>
      </c>
      <c r="G10" s="258">
        <v>2.1100000000000001E-2</v>
      </c>
      <c r="H10" s="428" t="s">
        <v>44</v>
      </c>
      <c r="J10" s="206"/>
      <c r="K10" s="9"/>
      <c r="L10" s="9"/>
      <c r="M10" s="9"/>
      <c r="N10" s="9"/>
      <c r="O10" s="9"/>
      <c r="P10" s="9"/>
    </row>
    <row r="11" spans="1:16" x14ac:dyDescent="0.3">
      <c r="B11" s="18">
        <f t="shared" si="0"/>
        <v>2026</v>
      </c>
      <c r="C11" s="252">
        <v>2.4568392156862746</v>
      </c>
      <c r="D11" s="95" t="s">
        <v>42</v>
      </c>
      <c r="E11" s="102"/>
      <c r="F11" s="102"/>
      <c r="G11" s="102"/>
      <c r="H11" s="428"/>
      <c r="J11" s="206"/>
      <c r="K11" s="9"/>
      <c r="L11" s="9"/>
      <c r="M11" s="9"/>
      <c r="N11" s="9"/>
      <c r="O11" s="9"/>
      <c r="P11" s="9"/>
    </row>
    <row r="12" spans="1:16" x14ac:dyDescent="0.3">
      <c r="A12" s="117"/>
      <c r="B12" s="18">
        <f t="shared" si="0"/>
        <v>2027</v>
      </c>
      <c r="C12" s="252">
        <v>2.4823264705882351</v>
      </c>
      <c r="D12" s="95" t="s">
        <v>42</v>
      </c>
      <c r="E12" s="102"/>
      <c r="F12" s="122" t="s">
        <v>49</v>
      </c>
      <c r="G12" s="102"/>
      <c r="H12" s="428"/>
      <c r="J12" s="206"/>
      <c r="K12" s="9"/>
      <c r="L12" s="9"/>
      <c r="M12" s="9"/>
      <c r="N12" s="9"/>
      <c r="O12" s="9"/>
      <c r="P12" s="9"/>
    </row>
    <row r="13" spans="1:16" x14ac:dyDescent="0.3">
      <c r="A13" s="117"/>
      <c r="B13" s="18">
        <f t="shared" si="0"/>
        <v>2028</v>
      </c>
      <c r="C13" s="252">
        <v>2.5156598039215683</v>
      </c>
      <c r="D13" s="95" t="s">
        <v>42</v>
      </c>
      <c r="E13" s="102"/>
      <c r="F13" s="214" t="s">
        <v>50</v>
      </c>
      <c r="G13" s="253">
        <v>2.1494252873563231E-3</v>
      </c>
      <c r="H13" s="428"/>
      <c r="I13" s="207"/>
      <c r="J13" s="206"/>
      <c r="K13" s="9"/>
      <c r="L13" s="9"/>
      <c r="M13" s="9"/>
      <c r="N13" s="9"/>
      <c r="O13" s="9"/>
      <c r="P13" s="9"/>
    </row>
    <row r="14" spans="1:16" x14ac:dyDescent="0.3">
      <c r="B14" s="18">
        <f t="shared" si="0"/>
        <v>2029</v>
      </c>
      <c r="C14" s="252">
        <v>2.552198039215686</v>
      </c>
      <c r="D14" s="95" t="s">
        <v>42</v>
      </c>
      <c r="E14" s="102"/>
      <c r="F14" s="214" t="s">
        <v>51</v>
      </c>
      <c r="G14" s="253">
        <v>2.5816091954023023E-3</v>
      </c>
      <c r="H14" s="428"/>
      <c r="I14" s="207"/>
      <c r="J14" s="206"/>
      <c r="K14" s="9"/>
      <c r="L14" s="9"/>
      <c r="M14" s="9"/>
      <c r="N14" s="9"/>
      <c r="O14" s="9"/>
      <c r="P14" s="9"/>
    </row>
    <row r="15" spans="1:16" x14ac:dyDescent="0.3">
      <c r="B15" s="18">
        <f t="shared" si="0"/>
        <v>2030</v>
      </c>
      <c r="C15" s="252">
        <v>2.6144921568627448</v>
      </c>
      <c r="D15" s="95" t="s">
        <v>42</v>
      </c>
      <c r="E15" s="102"/>
      <c r="F15" s="214" t="s">
        <v>52</v>
      </c>
      <c r="G15" s="253">
        <v>3.0747126436781584E-3</v>
      </c>
      <c r="H15" s="428"/>
      <c r="I15" s="207"/>
      <c r="J15" s="206"/>
      <c r="K15" s="9"/>
      <c r="L15" s="9"/>
      <c r="M15" s="9"/>
      <c r="N15" s="9"/>
      <c r="O15" s="9"/>
      <c r="P15" s="9"/>
    </row>
    <row r="16" spans="1:16" x14ac:dyDescent="0.3">
      <c r="B16" s="18">
        <f t="shared" si="0"/>
        <v>2031</v>
      </c>
      <c r="C16" s="252">
        <v>2.7207539215686278</v>
      </c>
      <c r="D16" s="95" t="s">
        <v>42</v>
      </c>
      <c r="E16" s="102"/>
      <c r="F16" s="214" t="s">
        <v>53</v>
      </c>
      <c r="G16" s="253">
        <v>4.1712643678160919E-3</v>
      </c>
      <c r="H16" s="428"/>
      <c r="I16" s="207"/>
      <c r="J16" s="206"/>
      <c r="K16" s="9"/>
      <c r="L16" s="9"/>
      <c r="M16" s="9"/>
      <c r="N16" s="9"/>
      <c r="O16" s="9"/>
      <c r="P16" s="9"/>
    </row>
    <row r="17" spans="1:16" x14ac:dyDescent="0.3">
      <c r="B17" s="18">
        <f t="shared" si="0"/>
        <v>2032</v>
      </c>
      <c r="C17" s="252">
        <v>2.8258362745098045</v>
      </c>
      <c r="D17" s="95" t="s">
        <v>42</v>
      </c>
      <c r="E17" s="102"/>
      <c r="F17" s="214" t="s">
        <v>54</v>
      </c>
      <c r="G17" s="253">
        <v>6.026436781609198E-3</v>
      </c>
      <c r="H17" s="428"/>
      <c r="I17" s="207"/>
      <c r="J17" s="206"/>
      <c r="K17" s="9"/>
      <c r="L17" s="9"/>
      <c r="M17" s="9"/>
      <c r="N17" s="9"/>
      <c r="O17" s="9"/>
      <c r="P17" s="9"/>
    </row>
    <row r="18" spans="1:16" x14ac:dyDescent="0.3">
      <c r="B18" s="13"/>
      <c r="C18" s="102"/>
      <c r="D18" s="102"/>
      <c r="E18" s="102"/>
      <c r="F18" s="214" t="s">
        <v>55</v>
      </c>
      <c r="G18" s="253">
        <v>7.339080459770113E-3</v>
      </c>
      <c r="H18" s="428"/>
      <c r="I18" s="207"/>
      <c r="K18" s="9"/>
      <c r="L18" s="9"/>
      <c r="M18" s="9"/>
      <c r="N18" s="9"/>
      <c r="O18" s="9"/>
      <c r="P18" s="9"/>
    </row>
    <row r="19" spans="1:16" x14ac:dyDescent="0.3">
      <c r="B19" s="201" t="s">
        <v>56</v>
      </c>
      <c r="C19" s="253">
        <f>G10</f>
        <v>2.1100000000000001E-2</v>
      </c>
      <c r="D19" s="102"/>
      <c r="E19" s="102"/>
      <c r="F19" s="214" t="s">
        <v>57</v>
      </c>
      <c r="G19" s="253">
        <v>1.1796551724137927E-2</v>
      </c>
      <c r="H19" s="428"/>
      <c r="I19" s="207"/>
      <c r="K19" s="9"/>
      <c r="L19" s="9"/>
      <c r="M19" s="9"/>
      <c r="N19" s="9"/>
      <c r="O19" s="9"/>
      <c r="P19" s="9"/>
    </row>
    <row r="20" spans="1:16" x14ac:dyDescent="0.3">
      <c r="B20" s="13"/>
      <c r="C20" s="102"/>
      <c r="D20" s="102"/>
      <c r="E20" s="102"/>
      <c r="F20" s="214" t="s">
        <v>58</v>
      </c>
      <c r="G20" s="253">
        <v>1.3990804597701155E-2</v>
      </c>
      <c r="H20" s="428"/>
      <c r="I20" s="207"/>
      <c r="K20" s="9"/>
      <c r="L20" s="9"/>
      <c r="M20" s="9"/>
      <c r="N20" s="9"/>
      <c r="O20" s="9"/>
      <c r="P20" s="9"/>
    </row>
    <row r="21" spans="1:16" x14ac:dyDescent="0.3">
      <c r="A21" s="117"/>
      <c r="B21" s="8" t="s">
        <v>59</v>
      </c>
      <c r="C21" s="102"/>
      <c r="D21" s="102"/>
      <c r="E21" s="102"/>
      <c r="F21" s="102"/>
      <c r="G21" s="102"/>
      <c r="H21" s="428"/>
    </row>
    <row r="22" spans="1:16" x14ac:dyDescent="0.3">
      <c r="B22" s="13" t="s">
        <v>60</v>
      </c>
      <c r="C22" s="253">
        <v>5.0000000000000001E-3</v>
      </c>
      <c r="D22" s="102"/>
      <c r="E22" s="102"/>
      <c r="F22" s="102"/>
      <c r="G22" s="102"/>
      <c r="H22" s="428"/>
    </row>
    <row r="23" spans="1:16" x14ac:dyDescent="0.3">
      <c r="B23" s="13" t="s">
        <v>61</v>
      </c>
      <c r="C23" s="37">
        <v>25</v>
      </c>
      <c r="D23" s="102"/>
      <c r="E23" s="102"/>
      <c r="F23" s="102"/>
      <c r="G23" s="102"/>
      <c r="H23" s="428"/>
    </row>
    <row r="24" spans="1:16" ht="19.5" thickBot="1" x14ac:dyDescent="0.35">
      <c r="B24" s="14"/>
      <c r="C24" s="217"/>
      <c r="D24" s="217"/>
      <c r="E24" s="217"/>
      <c r="F24" s="217"/>
      <c r="G24" s="217"/>
      <c r="H24" s="197"/>
    </row>
  </sheetData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3" tint="0.59999389629810485"/>
  </sheetPr>
  <dimension ref="A2:Y30"/>
  <sheetViews>
    <sheetView view="pageBreakPreview" zoomScale="70" zoomScaleNormal="55" zoomScaleSheetLayoutView="70" workbookViewId="0">
      <selection activeCell="W34" sqref="W34"/>
    </sheetView>
  </sheetViews>
  <sheetFormatPr defaultRowHeight="18.75" x14ac:dyDescent="0.3"/>
  <cols>
    <col min="1" max="2" width="8.88671875" style="224"/>
    <col min="3" max="3" width="12.5546875" style="224" customWidth="1"/>
    <col min="4" max="10" width="11.77734375" style="224" customWidth="1"/>
    <col min="11" max="11" width="3.77734375" style="224" customWidth="1"/>
    <col min="12" max="18" width="11.77734375" style="225" customWidth="1"/>
    <col min="19" max="25" width="8.88671875" style="225"/>
    <col min="26" max="16384" width="8.88671875" style="224"/>
  </cols>
  <sheetData>
    <row r="2" spans="1:25" ht="26.25" x14ac:dyDescent="0.4">
      <c r="B2" s="223" t="s">
        <v>80</v>
      </c>
    </row>
    <row r="3" spans="1:25" ht="19.5" thickBot="1" x14ac:dyDescent="0.35"/>
    <row r="4" spans="1:25" ht="37.5" x14ac:dyDescent="0.3">
      <c r="B4" s="226" t="s">
        <v>31</v>
      </c>
      <c r="C4" s="227" t="s">
        <v>81</v>
      </c>
      <c r="D4" s="227" t="s">
        <v>82</v>
      </c>
      <c r="E4" s="227" t="s">
        <v>83</v>
      </c>
      <c r="F4" s="227" t="s">
        <v>84</v>
      </c>
      <c r="G4" s="227" t="s">
        <v>85</v>
      </c>
      <c r="H4" s="227" t="s">
        <v>86</v>
      </c>
      <c r="I4" s="227" t="s">
        <v>87</v>
      </c>
      <c r="J4" s="228" t="s">
        <v>88</v>
      </c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</row>
    <row r="5" spans="1:25" x14ac:dyDescent="0.3">
      <c r="B5" s="267"/>
      <c r="C5" s="268"/>
      <c r="D5" s="268" t="s">
        <v>42</v>
      </c>
      <c r="E5" s="268" t="s">
        <v>42</v>
      </c>
      <c r="F5" s="268" t="s">
        <v>42</v>
      </c>
      <c r="G5" s="268" t="s">
        <v>42</v>
      </c>
      <c r="H5" s="268" t="s">
        <v>42</v>
      </c>
      <c r="I5" s="268" t="s">
        <v>42</v>
      </c>
      <c r="J5" s="269" t="s">
        <v>42</v>
      </c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</row>
    <row r="6" spans="1:25" x14ac:dyDescent="0.3">
      <c r="B6" s="271">
        <f>'Table 5. VOS Data Table'!C5</f>
        <v>2021</v>
      </c>
      <c r="C6" s="272">
        <v>0</v>
      </c>
      <c r="D6" s="273">
        <v>2.8604696115630186</v>
      </c>
      <c r="E6" s="273">
        <v>2.0369979932725969E-2</v>
      </c>
      <c r="F6" s="273">
        <v>5.264678496395058E-5</v>
      </c>
      <c r="G6" s="273">
        <v>0.28358137006457868</v>
      </c>
      <c r="H6" s="273">
        <v>0</v>
      </c>
      <c r="I6" s="273">
        <v>3.4955927211258861E-3</v>
      </c>
      <c r="J6" s="274">
        <f>SUM(D6:I6)</f>
        <v>3.1679692010664136</v>
      </c>
      <c r="L6" s="234"/>
      <c r="M6" s="234"/>
      <c r="N6" s="234"/>
      <c r="O6" s="234"/>
      <c r="P6" s="234"/>
      <c r="Q6" s="234"/>
      <c r="R6" s="275"/>
      <c r="S6" s="229"/>
      <c r="T6" s="229"/>
      <c r="U6" s="229"/>
      <c r="V6" s="229"/>
      <c r="W6" s="229"/>
      <c r="X6" s="229"/>
      <c r="Y6" s="229"/>
    </row>
    <row r="7" spans="1:25" x14ac:dyDescent="0.3">
      <c r="A7" s="276"/>
      <c r="B7" s="277">
        <f>B6+1</f>
        <v>2022</v>
      </c>
      <c r="C7" s="278">
        <v>1</v>
      </c>
      <c r="D7" s="273">
        <v>2.9754203899065681</v>
      </c>
      <c r="E7" s="273">
        <v>2.0799786509306487E-2</v>
      </c>
      <c r="F7" s="273">
        <v>5.3757632126689948E-5</v>
      </c>
      <c r="G7" s="273">
        <v>0.28956493697294128</v>
      </c>
      <c r="H7" s="273">
        <v>0</v>
      </c>
      <c r="I7" s="273">
        <v>3.5693497275416418E-3</v>
      </c>
      <c r="J7" s="279">
        <f t="shared" ref="J7:J30" si="0">SUM(D7:I7)</f>
        <v>3.2894082207484843</v>
      </c>
      <c r="L7" s="234"/>
      <c r="M7" s="234"/>
      <c r="N7" s="234"/>
      <c r="O7" s="234"/>
      <c r="P7" s="234"/>
      <c r="Q7" s="234"/>
      <c r="R7" s="275"/>
      <c r="S7" s="229"/>
      <c r="T7" s="229"/>
      <c r="U7" s="229"/>
      <c r="V7" s="229"/>
      <c r="W7" s="229"/>
      <c r="X7" s="229"/>
      <c r="Y7" s="229"/>
    </row>
    <row r="8" spans="1:25" x14ac:dyDescent="0.3">
      <c r="A8" s="276"/>
      <c r="B8" s="277">
        <f t="shared" ref="B8:B30" si="1">B7+1</f>
        <v>2023</v>
      </c>
      <c r="C8" s="278">
        <v>2</v>
      </c>
      <c r="D8" s="273">
        <v>3.0939485814204515</v>
      </c>
      <c r="E8" s="273">
        <v>2.1238662004652849E-2</v>
      </c>
      <c r="F8" s="273">
        <v>5.4891918164563097E-5</v>
      </c>
      <c r="G8" s="273">
        <v>0.29567475714307023</v>
      </c>
      <c r="H8" s="273">
        <v>0</v>
      </c>
      <c r="I8" s="273">
        <v>3.6446630067927701E-3</v>
      </c>
      <c r="J8" s="279">
        <f t="shared" si="0"/>
        <v>3.4145615554931319</v>
      </c>
      <c r="L8" s="234"/>
      <c r="M8" s="234"/>
      <c r="N8" s="234"/>
      <c r="O8" s="234"/>
      <c r="P8" s="234"/>
      <c r="Q8" s="234"/>
      <c r="R8" s="275"/>
      <c r="S8" s="229"/>
      <c r="T8" s="229"/>
      <c r="U8" s="229"/>
      <c r="V8" s="229"/>
      <c r="W8" s="229"/>
      <c r="X8" s="229"/>
      <c r="Y8" s="229"/>
    </row>
    <row r="9" spans="1:25" x14ac:dyDescent="0.3">
      <c r="B9" s="277">
        <f t="shared" si="1"/>
        <v>2024</v>
      </c>
      <c r="C9" s="278">
        <v>3</v>
      </c>
      <c r="D9" s="273">
        <v>3.2161539757044308</v>
      </c>
      <c r="E9" s="273">
        <v>2.1686797772951027E-2</v>
      </c>
      <c r="F9" s="273">
        <v>5.6050137637835381E-5</v>
      </c>
      <c r="G9" s="273">
        <v>0.30191349451878907</v>
      </c>
      <c r="H9" s="273">
        <v>0</v>
      </c>
      <c r="I9" s="273">
        <v>3.7215653962360978E-3</v>
      </c>
      <c r="J9" s="279">
        <f t="shared" si="0"/>
        <v>3.5435318835300449</v>
      </c>
      <c r="L9" s="234"/>
      <c r="M9" s="234"/>
      <c r="N9" s="234"/>
      <c r="O9" s="234"/>
      <c r="P9" s="234"/>
      <c r="Q9" s="234"/>
      <c r="R9" s="275"/>
      <c r="S9" s="229"/>
      <c r="T9" s="229"/>
      <c r="U9" s="229"/>
      <c r="V9" s="229"/>
      <c r="W9" s="229"/>
      <c r="X9" s="229"/>
      <c r="Y9" s="229"/>
    </row>
    <row r="10" spans="1:25" x14ac:dyDescent="0.3">
      <c r="B10" s="277">
        <f t="shared" si="1"/>
        <v>2025</v>
      </c>
      <c r="C10" s="278">
        <v>4</v>
      </c>
      <c r="D10" s="273">
        <v>3.3421389807792594</v>
      </c>
      <c r="E10" s="273">
        <v>2.2144389205960291E-2</v>
      </c>
      <c r="F10" s="273">
        <v>5.7232795541993701E-5</v>
      </c>
      <c r="G10" s="273">
        <v>0.3082838692531355</v>
      </c>
      <c r="H10" s="273">
        <v>0</v>
      </c>
      <c r="I10" s="273">
        <v>3.8000904260966787E-3</v>
      </c>
      <c r="J10" s="279">
        <f t="shared" si="0"/>
        <v>3.676424562459994</v>
      </c>
      <c r="L10" s="234"/>
      <c r="M10" s="234"/>
      <c r="N10" s="234"/>
      <c r="O10" s="234"/>
      <c r="P10" s="234"/>
      <c r="Q10" s="234"/>
      <c r="R10" s="275"/>
      <c r="S10" s="229"/>
      <c r="T10" s="229"/>
      <c r="U10" s="229"/>
      <c r="V10" s="229"/>
      <c r="W10" s="229"/>
      <c r="X10" s="229"/>
      <c r="Y10" s="229"/>
    </row>
    <row r="11" spans="1:25" x14ac:dyDescent="0.3">
      <c r="B11" s="277">
        <f t="shared" si="1"/>
        <v>2026</v>
      </c>
      <c r="C11" s="278">
        <v>5</v>
      </c>
      <c r="D11" s="273">
        <v>3.4720086891567226</v>
      </c>
      <c r="E11" s="273">
        <v>2.2611635818206053E-2</v>
      </c>
      <c r="F11" s="273">
        <v>5.8440407527929774E-5</v>
      </c>
      <c r="G11" s="273">
        <v>0.31478865889437668</v>
      </c>
      <c r="H11" s="273">
        <v>0</v>
      </c>
      <c r="I11" s="273">
        <v>3.8802723340873187E-3</v>
      </c>
      <c r="J11" s="279">
        <f t="shared" si="0"/>
        <v>3.8133476966109203</v>
      </c>
      <c r="L11" s="234"/>
      <c r="M11" s="234"/>
      <c r="N11" s="234"/>
      <c r="O11" s="234"/>
      <c r="P11" s="234"/>
      <c r="Q11" s="234"/>
      <c r="R11" s="275"/>
      <c r="S11" s="229"/>
      <c r="T11" s="229"/>
      <c r="U11" s="229"/>
      <c r="V11" s="229"/>
      <c r="W11" s="229"/>
      <c r="X11" s="229"/>
      <c r="Y11" s="229"/>
    </row>
    <row r="12" spans="1:25" x14ac:dyDescent="0.3">
      <c r="A12" s="276"/>
      <c r="B12" s="277">
        <f t="shared" si="1"/>
        <v>2027</v>
      </c>
      <c r="C12" s="278">
        <v>6</v>
      </c>
      <c r="D12" s="273">
        <v>3.6058709455320814</v>
      </c>
      <c r="E12" s="273">
        <v>2.3088741333970198E-2</v>
      </c>
      <c r="F12" s="273">
        <v>5.9673500126769083E-5</v>
      </c>
      <c r="G12" s="273">
        <v>0.32143069959704795</v>
      </c>
      <c r="H12" s="273">
        <v>0</v>
      </c>
      <c r="I12" s="273">
        <v>3.9621460803365609E-3</v>
      </c>
      <c r="J12" s="279">
        <f t="shared" si="0"/>
        <v>3.9544122060435631</v>
      </c>
      <c r="L12" s="234"/>
      <c r="M12" s="234"/>
      <c r="N12" s="234"/>
      <c r="O12" s="234"/>
      <c r="P12" s="234"/>
      <c r="Q12" s="234"/>
      <c r="R12" s="275"/>
      <c r="S12" s="229"/>
      <c r="T12" s="229"/>
      <c r="U12" s="229"/>
      <c r="V12" s="229"/>
      <c r="W12" s="229"/>
      <c r="X12" s="229"/>
      <c r="Y12" s="229"/>
    </row>
    <row r="13" spans="1:25" x14ac:dyDescent="0.3">
      <c r="A13" s="276"/>
      <c r="B13" s="277">
        <f t="shared" si="1"/>
        <v>2028</v>
      </c>
      <c r="C13" s="278">
        <v>7</v>
      </c>
      <c r="D13" s="273">
        <v>3.7438364161379827</v>
      </c>
      <c r="E13" s="273">
        <v>2.3575913776116973E-2</v>
      </c>
      <c r="F13" s="273">
        <v>6.0932610979443923E-5</v>
      </c>
      <c r="G13" s="273">
        <v>0.32821288735854576</v>
      </c>
      <c r="H13" s="273">
        <v>0</v>
      </c>
      <c r="I13" s="273">
        <v>4.0457473626316631E-3</v>
      </c>
      <c r="J13" s="279">
        <f t="shared" si="0"/>
        <v>4.0997318972462571</v>
      </c>
      <c r="L13" s="234"/>
      <c r="M13" s="234"/>
      <c r="N13" s="234"/>
      <c r="O13" s="234"/>
      <c r="P13" s="234"/>
      <c r="Q13" s="234"/>
      <c r="R13" s="275"/>
      <c r="S13" s="229"/>
      <c r="T13" s="229"/>
      <c r="U13" s="229"/>
      <c r="V13" s="229"/>
      <c r="W13" s="229"/>
      <c r="X13" s="229"/>
      <c r="Y13" s="229"/>
    </row>
    <row r="14" spans="1:25" x14ac:dyDescent="0.3">
      <c r="B14" s="277">
        <f t="shared" si="1"/>
        <v>2029</v>
      </c>
      <c r="C14" s="278">
        <v>8</v>
      </c>
      <c r="D14" s="273">
        <v>3.8860186597997908</v>
      </c>
      <c r="E14" s="273">
        <v>2.4073365556793038E-2</v>
      </c>
      <c r="F14" s="273">
        <v>6.2218289071110181E-5</v>
      </c>
      <c r="G14" s="273">
        <v>0.335138179281811</v>
      </c>
      <c r="H14" s="273">
        <v>0</v>
      </c>
      <c r="I14" s="273">
        <v>4.1311126319831908E-3</v>
      </c>
      <c r="J14" s="279">
        <f t="shared" si="0"/>
        <v>4.2494235355594485</v>
      </c>
      <c r="L14" s="234"/>
      <c r="M14" s="234"/>
      <c r="N14" s="234"/>
      <c r="O14" s="234"/>
      <c r="P14" s="234"/>
      <c r="Q14" s="234"/>
      <c r="R14" s="275"/>
      <c r="S14" s="229"/>
      <c r="T14" s="229"/>
      <c r="U14" s="229"/>
      <c r="V14" s="229"/>
      <c r="W14" s="229"/>
      <c r="X14" s="229"/>
      <c r="Y14" s="229"/>
    </row>
    <row r="15" spans="1:25" x14ac:dyDescent="0.3">
      <c r="B15" s="277">
        <f t="shared" si="1"/>
        <v>2030</v>
      </c>
      <c r="C15" s="278">
        <v>9</v>
      </c>
      <c r="D15" s="273">
        <v>4.0325342007332994</v>
      </c>
      <c r="E15" s="273">
        <v>2.4581313570041372E-2</v>
      </c>
      <c r="F15" s="273">
        <v>6.3531094970510608E-5</v>
      </c>
      <c r="G15" s="273">
        <v>0.34220959486465719</v>
      </c>
      <c r="H15" s="273">
        <v>0</v>
      </c>
      <c r="I15" s="273">
        <v>4.2182791085180358E-3</v>
      </c>
      <c r="J15" s="279">
        <f t="shared" si="0"/>
        <v>4.4036069193714873</v>
      </c>
      <c r="L15" s="234"/>
      <c r="M15" s="234"/>
      <c r="N15" s="234"/>
      <c r="O15" s="234"/>
      <c r="P15" s="234"/>
      <c r="Q15" s="234"/>
      <c r="R15" s="275"/>
      <c r="S15" s="229"/>
      <c r="T15" s="229"/>
      <c r="U15" s="229"/>
      <c r="V15" s="229"/>
      <c r="W15" s="229"/>
      <c r="X15" s="229"/>
      <c r="Y15" s="229"/>
    </row>
    <row r="16" spans="1:25" x14ac:dyDescent="0.3">
      <c r="B16" s="277">
        <f t="shared" si="1"/>
        <v>2031</v>
      </c>
      <c r="C16" s="278">
        <v>10</v>
      </c>
      <c r="D16" s="273">
        <v>4.1999730858161479</v>
      </c>
      <c r="E16" s="273">
        <v>2.5099979286369242E-2</v>
      </c>
      <c r="F16" s="273">
        <v>6.4871601074388365E-5</v>
      </c>
      <c r="G16" s="273">
        <v>0.34943021731630142</v>
      </c>
      <c r="H16" s="273">
        <v>0</v>
      </c>
      <c r="I16" s="273">
        <v>4.3072847977077659E-3</v>
      </c>
      <c r="J16" s="279">
        <f t="shared" si="0"/>
        <v>4.578875438817601</v>
      </c>
      <c r="L16" s="234"/>
      <c r="M16" s="234"/>
      <c r="N16" s="234"/>
      <c r="O16" s="234"/>
      <c r="P16" s="234"/>
      <c r="Q16" s="234"/>
      <c r="R16" s="275"/>
      <c r="S16" s="229"/>
      <c r="T16" s="229"/>
      <c r="U16" s="229"/>
      <c r="V16" s="229"/>
      <c r="W16" s="229"/>
      <c r="X16" s="229"/>
      <c r="Y16" s="229"/>
    </row>
    <row r="17" spans="1:25" x14ac:dyDescent="0.3">
      <c r="B17" s="277">
        <f t="shared" si="1"/>
        <v>2032</v>
      </c>
      <c r="C17" s="278">
        <v>11</v>
      </c>
      <c r="D17" s="273">
        <v>4.372682567297983</v>
      </c>
      <c r="E17" s="273">
        <v>2.5629588849311633E-2</v>
      </c>
      <c r="F17" s="273">
        <v>6.6240391857057967E-5</v>
      </c>
      <c r="G17" s="273">
        <v>0.35680319490167545</v>
      </c>
      <c r="H17" s="273">
        <v>0</v>
      </c>
      <c r="I17" s="273">
        <v>4.3981685069394002E-3</v>
      </c>
      <c r="J17" s="279">
        <f t="shared" si="0"/>
        <v>4.7595797599477665</v>
      </c>
      <c r="L17" s="234"/>
      <c r="M17" s="234"/>
      <c r="N17" s="234"/>
      <c r="O17" s="234"/>
      <c r="P17" s="234"/>
      <c r="Q17" s="234"/>
      <c r="R17" s="275"/>
      <c r="S17" s="229"/>
      <c r="T17" s="229"/>
      <c r="U17" s="229"/>
      <c r="V17" s="229"/>
      <c r="W17" s="229"/>
      <c r="X17" s="229"/>
      <c r="Y17" s="229"/>
    </row>
    <row r="18" spans="1:25" x14ac:dyDescent="0.3">
      <c r="B18" s="277">
        <f t="shared" si="1"/>
        <v>2033</v>
      </c>
      <c r="C18" s="278">
        <v>12</v>
      </c>
      <c r="D18" s="273">
        <v>4.550810518880815</v>
      </c>
      <c r="E18" s="273">
        <v>2.6170373174032105E-2</v>
      </c>
      <c r="F18" s="273">
        <v>6.7638064125241879E-5</v>
      </c>
      <c r="G18" s="273">
        <v>0.3643317423141007</v>
      </c>
      <c r="H18" s="273">
        <v>0</v>
      </c>
      <c r="I18" s="273">
        <v>4.4909698624358216E-3</v>
      </c>
      <c r="J18" s="279">
        <f t="shared" si="0"/>
        <v>4.9458712422955093</v>
      </c>
      <c r="L18" s="234"/>
      <c r="M18" s="234"/>
      <c r="N18" s="234"/>
      <c r="O18" s="234"/>
      <c r="P18" s="234"/>
      <c r="Q18" s="234"/>
      <c r="R18" s="275"/>
      <c r="S18" s="229"/>
      <c r="T18" s="229"/>
      <c r="U18" s="229"/>
      <c r="V18" s="229"/>
      <c r="W18" s="229"/>
      <c r="X18" s="229"/>
      <c r="Y18" s="229"/>
    </row>
    <row r="19" spans="1:25" x14ac:dyDescent="0.3">
      <c r="B19" s="277">
        <f t="shared" si="1"/>
        <v>2034</v>
      </c>
      <c r="C19" s="278">
        <v>13</v>
      </c>
      <c r="D19" s="273">
        <v>4.7345087080146566</v>
      </c>
      <c r="E19" s="273">
        <v>2.6722568048004186E-2</v>
      </c>
      <c r="F19" s="273">
        <v>6.9065227278284494E-5</v>
      </c>
      <c r="G19" s="273">
        <v>0.37201914207692827</v>
      </c>
      <c r="H19" s="273">
        <v>0</v>
      </c>
      <c r="I19" s="273">
        <v>4.5857293265332173E-3</v>
      </c>
      <c r="J19" s="279">
        <f t="shared" si="0"/>
        <v>5.1379052126934006</v>
      </c>
      <c r="L19" s="234"/>
      <c r="M19" s="234"/>
      <c r="N19" s="234"/>
      <c r="O19" s="234"/>
      <c r="P19" s="234"/>
      <c r="Q19" s="234"/>
      <c r="R19" s="275"/>
      <c r="S19" s="229"/>
      <c r="T19" s="229"/>
      <c r="U19" s="229"/>
      <c r="V19" s="229"/>
      <c r="W19" s="229"/>
      <c r="X19" s="229"/>
      <c r="Y19" s="229"/>
    </row>
    <row r="20" spans="1:25" x14ac:dyDescent="0.3">
      <c r="B20" s="277">
        <f t="shared" si="1"/>
        <v>2035</v>
      </c>
      <c r="C20" s="278">
        <v>14</v>
      </c>
      <c r="D20" s="273">
        <v>4.9239328943788356</v>
      </c>
      <c r="E20" s="273">
        <v>2.7286414233817075E-2</v>
      </c>
      <c r="F20" s="273">
        <v>7.052250357385628E-5</v>
      </c>
      <c r="G20" s="273">
        <v>0.37986874597475145</v>
      </c>
      <c r="H20" s="273">
        <v>0</v>
      </c>
      <c r="I20" s="273">
        <v>4.6824882153230678E-3</v>
      </c>
      <c r="J20" s="279">
        <f t="shared" si="0"/>
        <v>5.3358410653063011</v>
      </c>
      <c r="L20" s="234"/>
      <c r="M20" s="234"/>
      <c r="N20" s="234"/>
      <c r="O20" s="234"/>
      <c r="P20" s="234"/>
      <c r="Q20" s="234"/>
      <c r="R20" s="275"/>
      <c r="S20" s="229"/>
      <c r="T20" s="229"/>
      <c r="U20" s="229"/>
      <c r="V20" s="229"/>
      <c r="W20" s="229"/>
      <c r="X20" s="229"/>
      <c r="Y20" s="229"/>
    </row>
    <row r="21" spans="1:25" x14ac:dyDescent="0.3">
      <c r="A21" s="276"/>
      <c r="B21" s="277">
        <f t="shared" si="1"/>
        <v>2036</v>
      </c>
      <c r="C21" s="278">
        <v>15</v>
      </c>
      <c r="D21" s="273">
        <v>5.1192429307856893</v>
      </c>
      <c r="E21" s="273">
        <v>2.7862157574150618E-2</v>
      </c>
      <c r="F21" s="273">
        <v>7.2010528399264675E-5</v>
      </c>
      <c r="G21" s="273">
        <v>0.38788397651481871</v>
      </c>
      <c r="H21" s="273">
        <v>0</v>
      </c>
      <c r="I21" s="273">
        <v>4.7812887166663849E-3</v>
      </c>
      <c r="J21" s="279">
        <f t="shared" si="0"/>
        <v>5.5398423641197239</v>
      </c>
      <c r="L21" s="234"/>
      <c r="M21" s="234"/>
      <c r="N21" s="234"/>
      <c r="O21" s="234"/>
      <c r="P21" s="234"/>
      <c r="Q21" s="234"/>
      <c r="R21" s="275"/>
      <c r="S21" s="229"/>
      <c r="T21" s="229"/>
      <c r="U21" s="229"/>
      <c r="V21" s="229"/>
      <c r="W21" s="229"/>
      <c r="X21" s="229"/>
      <c r="Y21" s="229"/>
    </row>
    <row r="22" spans="1:25" x14ac:dyDescent="0.3">
      <c r="B22" s="277">
        <f t="shared" si="1"/>
        <v>2037</v>
      </c>
      <c r="C22" s="278">
        <v>16</v>
      </c>
      <c r="D22" s="273">
        <v>5.3206028665650047</v>
      </c>
      <c r="E22" s="273">
        <v>2.8450049098965192E-2</v>
      </c>
      <c r="F22" s="273">
        <v>7.3529950548489143E-5</v>
      </c>
      <c r="G22" s="273">
        <v>0.39606832841928141</v>
      </c>
      <c r="H22" s="273">
        <v>0</v>
      </c>
      <c r="I22" s="273">
        <v>4.8821739085880451E-3</v>
      </c>
      <c r="J22" s="279">
        <f t="shared" si="0"/>
        <v>5.7500769479423885</v>
      </c>
      <c r="L22" s="234"/>
      <c r="M22" s="234"/>
      <c r="N22" s="234"/>
      <c r="O22" s="234"/>
      <c r="P22" s="234"/>
      <c r="Q22" s="234"/>
      <c r="R22" s="275"/>
      <c r="S22" s="229"/>
      <c r="T22" s="229"/>
      <c r="U22" s="229"/>
      <c r="V22" s="229"/>
      <c r="W22" s="229"/>
      <c r="X22" s="229"/>
      <c r="Y22" s="229"/>
    </row>
    <row r="23" spans="1:25" x14ac:dyDescent="0.3">
      <c r="B23" s="277">
        <f t="shared" si="1"/>
        <v>2038</v>
      </c>
      <c r="C23" s="278">
        <v>17</v>
      </c>
      <c r="D23" s="273">
        <v>5.528181053488991</v>
      </c>
      <c r="E23" s="273">
        <v>2.9050345134953359E-2</v>
      </c>
      <c r="F23" s="273">
        <v>7.5081432505062263E-5</v>
      </c>
      <c r="G23" s="273">
        <v>0.40442537014892826</v>
      </c>
      <c r="H23" s="273">
        <v>0</v>
      </c>
      <c r="I23" s="273">
        <v>4.9851877780592527E-3</v>
      </c>
      <c r="J23" s="279">
        <f t="shared" si="0"/>
        <v>5.9667170379834369</v>
      </c>
      <c r="L23" s="234"/>
      <c r="M23" s="234"/>
      <c r="N23" s="234"/>
      <c r="O23" s="234"/>
      <c r="P23" s="234"/>
      <c r="Q23" s="234"/>
      <c r="R23" s="275"/>
      <c r="S23" s="229"/>
      <c r="T23" s="229"/>
      <c r="U23" s="229"/>
      <c r="V23" s="229"/>
      <c r="W23" s="229"/>
      <c r="X23" s="229"/>
      <c r="Y23" s="229"/>
    </row>
    <row r="24" spans="1:25" x14ac:dyDescent="0.3">
      <c r="B24" s="277">
        <f t="shared" si="1"/>
        <v>2039</v>
      </c>
      <c r="C24" s="278">
        <v>18</v>
      </c>
      <c r="D24" s="273">
        <v>5.742150254298946</v>
      </c>
      <c r="E24" s="273">
        <v>2.9663307417300867E-2</v>
      </c>
      <c r="F24" s="273">
        <v>7.6665650730919072E-5</v>
      </c>
      <c r="G24" s="273">
        <v>0.41295874545907058</v>
      </c>
      <c r="H24" s="273">
        <v>0</v>
      </c>
      <c r="I24" s="273">
        <v>5.0903752401763027E-3</v>
      </c>
      <c r="J24" s="279">
        <f t="shared" si="0"/>
        <v>6.1899393480662237</v>
      </c>
      <c r="L24" s="234"/>
      <c r="M24" s="234"/>
      <c r="N24" s="234"/>
      <c r="O24" s="234"/>
      <c r="P24" s="234"/>
      <c r="Q24" s="234"/>
      <c r="R24" s="275"/>
      <c r="S24" s="229"/>
      <c r="T24" s="229"/>
      <c r="U24" s="229"/>
      <c r="V24" s="229"/>
      <c r="W24" s="229"/>
      <c r="X24" s="229"/>
      <c r="Y24" s="229"/>
    </row>
    <row r="25" spans="1:25" x14ac:dyDescent="0.3">
      <c r="B25" s="277">
        <f t="shared" si="1"/>
        <v>2040</v>
      </c>
      <c r="C25" s="278">
        <v>19</v>
      </c>
      <c r="D25" s="273">
        <v>5.9626877538962573</v>
      </c>
      <c r="E25" s="273">
        <v>3.0289203203805921E-2</v>
      </c>
      <c r="F25" s="273">
        <v>7.8283295961341476E-5</v>
      </c>
      <c r="G25" s="273">
        <v>0.42167217498825693</v>
      </c>
      <c r="H25" s="273">
        <v>0</v>
      </c>
      <c r="I25" s="273">
        <v>5.1977821577440233E-3</v>
      </c>
      <c r="J25" s="279">
        <f t="shared" si="0"/>
        <v>6.4199251975420246</v>
      </c>
      <c r="L25" s="234"/>
      <c r="M25" s="234"/>
      <c r="N25" s="234"/>
      <c r="O25" s="234"/>
      <c r="P25" s="234"/>
      <c r="Q25" s="234"/>
      <c r="R25" s="275"/>
      <c r="S25" s="229"/>
      <c r="T25" s="229"/>
      <c r="U25" s="229"/>
      <c r="V25" s="229"/>
      <c r="W25" s="229"/>
      <c r="X25" s="229"/>
      <c r="Y25" s="229"/>
    </row>
    <row r="26" spans="1:25" x14ac:dyDescent="0.3">
      <c r="B26" s="277">
        <f t="shared" si="1"/>
        <v>2041</v>
      </c>
      <c r="C26" s="278">
        <v>20</v>
      </c>
      <c r="D26" s="273">
        <v>6.1696804717101799</v>
      </c>
      <c r="E26" s="273">
        <v>3.092830539140622E-2</v>
      </c>
      <c r="F26" s="273">
        <v>7.993507350612576E-5</v>
      </c>
      <c r="G26" s="273">
        <v>0.43056945788050915</v>
      </c>
      <c r="H26" s="273">
        <v>0</v>
      </c>
      <c r="I26" s="273">
        <v>5.3074553612724208E-3</v>
      </c>
      <c r="J26" s="279">
        <f t="shared" si="0"/>
        <v>6.636565625416873</v>
      </c>
      <c r="L26" s="234"/>
      <c r="M26" s="234"/>
      <c r="N26" s="234"/>
      <c r="O26" s="234"/>
      <c r="P26" s="234"/>
      <c r="Q26" s="234"/>
      <c r="R26" s="275"/>
      <c r="S26" s="229"/>
      <c r="T26" s="229"/>
      <c r="U26" s="229"/>
      <c r="V26" s="229"/>
      <c r="W26" s="229"/>
      <c r="X26" s="229"/>
      <c r="Y26" s="229"/>
    </row>
    <row r="27" spans="1:25" x14ac:dyDescent="0.3">
      <c r="B27" s="277">
        <f t="shared" si="1"/>
        <v>2042</v>
      </c>
      <c r="C27" s="278">
        <v>21</v>
      </c>
      <c r="D27" s="273">
        <v>6.3827536340009416</v>
      </c>
      <c r="E27" s="273">
        <v>3.1580892635164892E-2</v>
      </c>
      <c r="F27" s="273">
        <v>8.1621703557105014E-5</v>
      </c>
      <c r="G27" s="273">
        <v>0.43965447344178787</v>
      </c>
      <c r="H27" s="273">
        <v>0</v>
      </c>
      <c r="I27" s="273">
        <v>5.4194426693952693E-3</v>
      </c>
      <c r="J27" s="279">
        <f t="shared" si="0"/>
        <v>6.8594900644508465</v>
      </c>
      <c r="L27" s="234"/>
      <c r="M27" s="234"/>
      <c r="N27" s="234"/>
      <c r="O27" s="234"/>
      <c r="P27" s="234"/>
      <c r="Q27" s="234"/>
      <c r="R27" s="275"/>
      <c r="S27" s="229"/>
      <c r="T27" s="229"/>
      <c r="U27" s="229"/>
      <c r="V27" s="229"/>
      <c r="W27" s="229"/>
      <c r="X27" s="229"/>
      <c r="Y27" s="229"/>
    </row>
    <row r="28" spans="1:25" x14ac:dyDescent="0.3">
      <c r="B28" s="277">
        <f t="shared" si="1"/>
        <v>2043</v>
      </c>
      <c r="C28" s="278">
        <v>22</v>
      </c>
      <c r="D28" s="273">
        <v>6.6020716802975574</v>
      </c>
      <c r="E28" s="273">
        <v>3.2247249469766863E-2</v>
      </c>
      <c r="F28" s="273">
        <v>8.3343921502159916E-5</v>
      </c>
      <c r="G28" s="273">
        <v>0.44893118283140948</v>
      </c>
      <c r="H28" s="273">
        <v>0</v>
      </c>
      <c r="I28" s="273">
        <v>5.533792909719509E-3</v>
      </c>
      <c r="J28" s="279">
        <f t="shared" si="0"/>
        <v>7.0888672494299554</v>
      </c>
      <c r="L28" s="234"/>
      <c r="M28" s="234"/>
      <c r="N28" s="234"/>
      <c r="O28" s="234"/>
      <c r="P28" s="234"/>
      <c r="Q28" s="234"/>
      <c r="R28" s="275"/>
      <c r="S28" s="229"/>
      <c r="T28" s="229"/>
      <c r="U28" s="229"/>
      <c r="V28" s="229"/>
      <c r="W28" s="229"/>
      <c r="X28" s="229"/>
      <c r="Y28" s="229"/>
    </row>
    <row r="29" spans="1:25" x14ac:dyDescent="0.3">
      <c r="B29" s="277">
        <f t="shared" si="1"/>
        <v>2044</v>
      </c>
      <c r="C29" s="278">
        <v>23</v>
      </c>
      <c r="D29" s="273">
        <v>6.8278032824025026</v>
      </c>
      <c r="E29" s="273">
        <v>3.2927666433578959E-2</v>
      </c>
      <c r="F29" s="273">
        <v>8.5102478245855515E-5</v>
      </c>
      <c r="G29" s="273">
        <v>0.45840363078915242</v>
      </c>
      <c r="H29" s="273">
        <v>0</v>
      </c>
      <c r="I29" s="273">
        <v>5.6505559401145928E-3</v>
      </c>
      <c r="J29" s="279">
        <f t="shared" si="0"/>
        <v>7.3248702380435944</v>
      </c>
      <c r="L29" s="234"/>
      <c r="M29" s="234"/>
      <c r="N29" s="234"/>
      <c r="O29" s="234"/>
      <c r="P29" s="234"/>
      <c r="Q29" s="234"/>
      <c r="R29" s="275"/>
      <c r="S29" s="229"/>
      <c r="T29" s="229"/>
      <c r="U29" s="229"/>
      <c r="V29" s="229"/>
      <c r="W29" s="229"/>
      <c r="X29" s="229"/>
      <c r="Y29" s="229"/>
    </row>
    <row r="30" spans="1:25" ht="19.5" thickBot="1" x14ac:dyDescent="0.35">
      <c r="B30" s="280">
        <f t="shared" si="1"/>
        <v>2045</v>
      </c>
      <c r="C30" s="281">
        <v>24</v>
      </c>
      <c r="D30" s="282">
        <v>7.060121449783491</v>
      </c>
      <c r="E30" s="283">
        <v>3.3622440195327473E-2</v>
      </c>
      <c r="F30" s="283">
        <v>8.6898140536843075E-5</v>
      </c>
      <c r="G30" s="283">
        <v>0.46807594739880348</v>
      </c>
      <c r="H30" s="283">
        <v>0</v>
      </c>
      <c r="I30" s="283">
        <v>5.76978267045101E-3</v>
      </c>
      <c r="J30" s="284">
        <f t="shared" si="0"/>
        <v>7.5676765181886099</v>
      </c>
      <c r="L30" s="234"/>
      <c r="M30" s="234"/>
      <c r="N30" s="234"/>
      <c r="O30" s="234"/>
      <c r="P30" s="234"/>
      <c r="Q30" s="234"/>
      <c r="R30" s="275"/>
      <c r="S30" s="229"/>
      <c r="T30" s="229"/>
      <c r="U30" s="229"/>
      <c r="V30" s="229"/>
      <c r="W30" s="229"/>
      <c r="X30" s="229"/>
      <c r="Y30" s="229"/>
    </row>
  </sheetData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59999389629810485"/>
  </sheetPr>
  <dimension ref="A1:K38"/>
  <sheetViews>
    <sheetView tabSelected="1" view="pageBreakPreview" zoomScale="75" zoomScaleNormal="60" zoomScaleSheetLayoutView="75" workbookViewId="0">
      <selection activeCell="F17" sqref="F17"/>
    </sheetView>
  </sheetViews>
  <sheetFormatPr defaultRowHeight="18.75" x14ac:dyDescent="0.3"/>
  <cols>
    <col min="2" max="2" width="34.88671875" customWidth="1"/>
    <col min="3" max="3" width="13.77734375" customWidth="1"/>
    <col min="4" max="4" width="15.109375" style="2" customWidth="1"/>
    <col min="5" max="5" width="3.109375" customWidth="1"/>
    <col min="6" max="6" width="43.77734375" customWidth="1"/>
    <col min="7" max="7" width="13.77734375" customWidth="1"/>
    <col min="8" max="8" width="13.44140625" style="2" customWidth="1"/>
    <col min="9" max="9" width="21.33203125" customWidth="1"/>
    <col min="11" max="11" width="2.77734375" customWidth="1"/>
  </cols>
  <sheetData>
    <row r="1" spans="1:11" ht="26.25" x14ac:dyDescent="0.4">
      <c r="B1" s="114" t="s">
        <v>89</v>
      </c>
    </row>
    <row r="2" spans="1:11" ht="19.5" thickBot="1" x14ac:dyDescent="0.35"/>
    <row r="3" spans="1:11" x14ac:dyDescent="0.3">
      <c r="B3" s="115"/>
      <c r="C3" s="285" t="s">
        <v>90</v>
      </c>
      <c r="D3" s="285" t="s">
        <v>91</v>
      </c>
      <c r="E3" s="286"/>
      <c r="F3" s="286"/>
      <c r="G3" s="285" t="s">
        <v>90</v>
      </c>
      <c r="H3" s="287" t="s">
        <v>91</v>
      </c>
      <c r="I3" s="213"/>
      <c r="J3" s="213"/>
      <c r="K3" s="213"/>
    </row>
    <row r="4" spans="1:11" x14ac:dyDescent="0.3">
      <c r="B4" s="8" t="s">
        <v>92</v>
      </c>
      <c r="C4" s="209"/>
      <c r="D4" s="288"/>
      <c r="E4" s="209"/>
      <c r="F4" s="11" t="s">
        <v>93</v>
      </c>
      <c r="G4" s="9"/>
      <c r="H4" s="12"/>
      <c r="I4" s="213"/>
      <c r="J4" s="213"/>
      <c r="K4" s="213"/>
    </row>
    <row r="5" spans="1:11" x14ac:dyDescent="0.3">
      <c r="B5" s="219" t="s">
        <v>94</v>
      </c>
      <c r="C5" s="289">
        <v>2021</v>
      </c>
      <c r="D5" s="218" t="s">
        <v>31</v>
      </c>
      <c r="E5" s="213"/>
      <c r="F5" s="221" t="s">
        <v>95</v>
      </c>
      <c r="G5" s="213"/>
      <c r="H5" s="290"/>
      <c r="I5" s="213"/>
      <c r="J5" s="213"/>
      <c r="K5" s="213"/>
    </row>
    <row r="6" spans="1:11" x14ac:dyDescent="0.3">
      <c r="B6" s="219" t="s">
        <v>96</v>
      </c>
      <c r="C6" s="258">
        <v>6.3600000000000004E-2</v>
      </c>
      <c r="D6" s="218" t="s">
        <v>97</v>
      </c>
      <c r="E6" s="213"/>
      <c r="F6" s="220" t="s">
        <v>98</v>
      </c>
      <c r="G6" s="254">
        <v>7578.879381763064</v>
      </c>
      <c r="H6" s="290" t="s">
        <v>99</v>
      </c>
      <c r="I6" s="213"/>
      <c r="J6" s="291"/>
      <c r="K6" s="213"/>
    </row>
    <row r="7" spans="1:11" x14ac:dyDescent="0.3">
      <c r="A7" s="117"/>
      <c r="B7" s="219"/>
      <c r="C7" s="213"/>
      <c r="D7" s="218"/>
      <c r="E7" s="213"/>
      <c r="F7" s="220" t="s">
        <v>100</v>
      </c>
      <c r="G7" s="255">
        <v>-5.1259998472649393E-2</v>
      </c>
      <c r="H7" s="290" t="s">
        <v>101</v>
      </c>
      <c r="I7" s="292"/>
      <c r="J7" s="213"/>
      <c r="K7" s="213"/>
    </row>
    <row r="8" spans="1:11" x14ac:dyDescent="0.3">
      <c r="A8" s="117"/>
      <c r="B8" s="293" t="s">
        <v>102</v>
      </c>
      <c r="C8" s="213"/>
      <c r="D8" s="218"/>
      <c r="E8" s="213"/>
      <c r="F8" s="220" t="s">
        <v>103</v>
      </c>
      <c r="G8" s="256">
        <v>40</v>
      </c>
      <c r="H8" s="290" t="s">
        <v>104</v>
      </c>
      <c r="I8" s="213"/>
      <c r="J8" s="213"/>
      <c r="K8" s="213"/>
    </row>
    <row r="9" spans="1:11" x14ac:dyDescent="0.3">
      <c r="B9" s="219" t="s">
        <v>105</v>
      </c>
      <c r="C9" s="257">
        <v>0.48679868375271623</v>
      </c>
      <c r="D9" s="218" t="s">
        <v>106</v>
      </c>
      <c r="E9" s="213"/>
      <c r="F9" s="220" t="s">
        <v>107</v>
      </c>
      <c r="G9" s="258">
        <v>1E-3</v>
      </c>
      <c r="H9" s="290" t="s">
        <v>108</v>
      </c>
      <c r="I9" s="213"/>
      <c r="J9" s="291"/>
      <c r="K9" s="213"/>
    </row>
    <row r="10" spans="1:11" x14ac:dyDescent="0.3">
      <c r="B10" s="219" t="s">
        <v>109</v>
      </c>
      <c r="C10" s="257">
        <v>0.54536579951205566</v>
      </c>
      <c r="D10" s="218" t="s">
        <v>106</v>
      </c>
      <c r="E10" s="213"/>
      <c r="F10" s="220" t="s">
        <v>110</v>
      </c>
      <c r="G10" s="259">
        <v>3.5538486929342779</v>
      </c>
      <c r="H10" s="290" t="s">
        <v>111</v>
      </c>
      <c r="I10" s="213"/>
      <c r="J10" s="213"/>
      <c r="K10" s="213"/>
    </row>
    <row r="11" spans="1:11" x14ac:dyDescent="0.3">
      <c r="B11" s="219" t="s">
        <v>112</v>
      </c>
      <c r="C11" s="257">
        <v>9.8298934978443331E-2</v>
      </c>
      <c r="D11" s="218" t="s">
        <v>113</v>
      </c>
      <c r="E11" s="213"/>
      <c r="F11" s="220" t="s">
        <v>114</v>
      </c>
      <c r="G11" s="260">
        <v>1.0479945225837638E-3</v>
      </c>
      <c r="H11" s="290" t="s">
        <v>115</v>
      </c>
      <c r="I11" s="294"/>
      <c r="J11" s="213"/>
      <c r="K11" s="213"/>
    </row>
    <row r="12" spans="1:11" x14ac:dyDescent="0.3">
      <c r="A12" s="117"/>
      <c r="B12" s="219" t="s">
        <v>116</v>
      </c>
      <c r="C12" s="257">
        <v>3.1E-2</v>
      </c>
      <c r="D12" s="218" t="s">
        <v>113</v>
      </c>
      <c r="E12" s="213"/>
      <c r="F12" s="220" t="s">
        <v>117</v>
      </c>
      <c r="G12" s="258">
        <v>0.02</v>
      </c>
      <c r="H12" s="290" t="s">
        <v>44</v>
      </c>
      <c r="I12" s="213"/>
      <c r="J12" s="213"/>
      <c r="K12" s="213"/>
    </row>
    <row r="13" spans="1:11" x14ac:dyDescent="0.3">
      <c r="A13" s="117"/>
      <c r="B13" s="219" t="s">
        <v>118</v>
      </c>
      <c r="C13" s="257">
        <v>0.10641630238537347</v>
      </c>
      <c r="D13" s="218" t="s">
        <v>113</v>
      </c>
      <c r="E13" s="213"/>
      <c r="F13" s="220" t="s">
        <v>119</v>
      </c>
      <c r="G13" s="257">
        <v>8.8999999999999996E-2</v>
      </c>
      <c r="H13" s="290"/>
      <c r="I13" s="432"/>
      <c r="J13" s="117"/>
      <c r="K13" s="117"/>
    </row>
    <row r="14" spans="1:11" x14ac:dyDescent="0.3">
      <c r="B14" s="98"/>
      <c r="C14" s="213"/>
      <c r="D14" s="218"/>
      <c r="E14" s="213"/>
      <c r="F14" s="220" t="s">
        <v>120</v>
      </c>
      <c r="G14" s="289">
        <v>0</v>
      </c>
      <c r="H14" s="290"/>
      <c r="I14" s="117"/>
      <c r="J14" s="117"/>
      <c r="K14" s="117"/>
    </row>
    <row r="15" spans="1:11" x14ac:dyDescent="0.3">
      <c r="B15" s="98"/>
      <c r="C15" s="102"/>
      <c r="D15" s="95"/>
      <c r="E15" s="213"/>
      <c r="F15" s="102"/>
      <c r="G15" s="102"/>
      <c r="H15" s="12"/>
      <c r="I15" s="117"/>
      <c r="J15" s="117"/>
      <c r="K15" s="117"/>
    </row>
    <row r="16" spans="1:11" x14ac:dyDescent="0.3">
      <c r="B16" s="293" t="s">
        <v>121</v>
      </c>
      <c r="C16" s="216"/>
      <c r="D16" s="218"/>
      <c r="E16" s="213"/>
      <c r="F16" s="295" t="s">
        <v>122</v>
      </c>
      <c r="G16" s="213"/>
      <c r="H16" s="290"/>
      <c r="I16" s="117"/>
      <c r="J16" s="117"/>
      <c r="K16" s="117"/>
    </row>
    <row r="17" spans="1:11" x14ac:dyDescent="0.3">
      <c r="B17" s="219" t="s">
        <v>123</v>
      </c>
      <c r="C17" s="231">
        <v>1550</v>
      </c>
      <c r="D17" s="218" t="s">
        <v>124</v>
      </c>
      <c r="E17" s="213"/>
      <c r="F17" s="221" t="s">
        <v>125</v>
      </c>
      <c r="G17" s="261">
        <v>248.30249176728879</v>
      </c>
      <c r="H17" s="296" t="s">
        <v>126</v>
      </c>
      <c r="I17" s="433"/>
      <c r="J17" s="117"/>
      <c r="K17" s="117"/>
    </row>
    <row r="18" spans="1:11" x14ac:dyDescent="0.3">
      <c r="B18" s="219"/>
      <c r="C18" s="102"/>
      <c r="D18" s="218"/>
      <c r="E18" s="213"/>
      <c r="F18" s="221" t="s">
        <v>127</v>
      </c>
      <c r="G18" s="261" t="s">
        <v>128</v>
      </c>
      <c r="H18" s="296" t="s">
        <v>126</v>
      </c>
      <c r="I18" s="117"/>
      <c r="J18" s="117"/>
      <c r="K18" s="117"/>
    </row>
    <row r="19" spans="1:11" x14ac:dyDescent="0.3">
      <c r="B19" s="13"/>
      <c r="C19" s="102"/>
      <c r="D19" s="218"/>
      <c r="E19" s="213"/>
      <c r="F19" s="221" t="s">
        <v>129</v>
      </c>
      <c r="G19" s="261" t="s">
        <v>128</v>
      </c>
      <c r="H19" s="296" t="s">
        <v>126</v>
      </c>
      <c r="I19" s="117"/>
      <c r="J19" s="117"/>
      <c r="K19" s="117"/>
    </row>
    <row r="20" spans="1:11" x14ac:dyDescent="0.3">
      <c r="B20" s="293" t="s">
        <v>130</v>
      </c>
      <c r="C20" s="213"/>
      <c r="D20" s="218"/>
      <c r="E20" s="213"/>
      <c r="F20" s="221" t="s">
        <v>131</v>
      </c>
      <c r="G20" s="261" t="s">
        <v>128</v>
      </c>
      <c r="H20" s="296" t="s">
        <v>126</v>
      </c>
      <c r="I20" s="117"/>
      <c r="J20" s="117"/>
      <c r="K20" s="117"/>
    </row>
    <row r="21" spans="1:11" x14ac:dyDescent="0.3">
      <c r="B21" s="219" t="s">
        <v>132</v>
      </c>
      <c r="C21" s="297">
        <v>49.978618920000002</v>
      </c>
      <c r="D21" s="218" t="s">
        <v>126</v>
      </c>
      <c r="E21" s="213"/>
      <c r="F21" s="221" t="s">
        <v>133</v>
      </c>
      <c r="G21" s="261" t="s">
        <v>128</v>
      </c>
      <c r="H21" s="296" t="s">
        <v>126</v>
      </c>
      <c r="I21" s="117"/>
      <c r="J21" s="117"/>
      <c r="K21" s="117"/>
    </row>
    <row r="22" spans="1:11" x14ac:dyDescent="0.3">
      <c r="B22" s="219"/>
      <c r="C22" s="218"/>
      <c r="D22" s="218"/>
      <c r="E22" s="213"/>
      <c r="F22" s="221" t="s">
        <v>134</v>
      </c>
      <c r="G22" s="261" t="s">
        <v>128</v>
      </c>
      <c r="H22" s="296" t="s">
        <v>126</v>
      </c>
      <c r="I22" s="117"/>
      <c r="J22" s="117"/>
      <c r="K22" s="117"/>
    </row>
    <row r="23" spans="1:11" x14ac:dyDescent="0.3">
      <c r="A23" s="117"/>
      <c r="B23" s="293" t="s">
        <v>135</v>
      </c>
      <c r="C23" s="213"/>
      <c r="D23" s="218"/>
      <c r="E23" s="213"/>
      <c r="F23" s="221" t="s">
        <v>136</v>
      </c>
      <c r="G23" s="261" t="s">
        <v>128</v>
      </c>
      <c r="H23" s="296" t="s">
        <v>126</v>
      </c>
      <c r="I23" s="117"/>
      <c r="J23" s="117"/>
      <c r="K23" s="117"/>
    </row>
    <row r="24" spans="1:11" x14ac:dyDescent="0.3">
      <c r="B24" s="219" t="s">
        <v>137</v>
      </c>
      <c r="C24" s="213"/>
      <c r="D24" s="218"/>
      <c r="E24" s="213"/>
      <c r="F24" s="221" t="s">
        <v>138</v>
      </c>
      <c r="G24" s="261" t="s">
        <v>128</v>
      </c>
      <c r="H24" s="296" t="s">
        <v>126</v>
      </c>
      <c r="I24" s="117"/>
      <c r="J24" s="117"/>
      <c r="K24" s="117"/>
    </row>
    <row r="25" spans="1:11" x14ac:dyDescent="0.3">
      <c r="B25" s="434" t="s">
        <v>139</v>
      </c>
      <c r="C25" s="230">
        <v>495.6786742584016</v>
      </c>
      <c r="D25" s="218" t="s">
        <v>140</v>
      </c>
      <c r="E25" s="213"/>
      <c r="F25" s="221" t="s">
        <v>141</v>
      </c>
      <c r="G25" s="261" t="s">
        <v>128</v>
      </c>
      <c r="H25" s="296" t="s">
        <v>126</v>
      </c>
      <c r="I25" s="117"/>
      <c r="J25" s="117"/>
      <c r="K25" s="117"/>
    </row>
    <row r="26" spans="1:11" x14ac:dyDescent="0.3">
      <c r="B26" s="434" t="s">
        <v>142</v>
      </c>
      <c r="C26" s="231">
        <v>9746.1164758355426</v>
      </c>
      <c r="D26" s="218" t="s">
        <v>143</v>
      </c>
      <c r="E26" s="213"/>
      <c r="F26" s="221" t="s">
        <v>144</v>
      </c>
      <c r="G26" s="261" t="s">
        <v>128</v>
      </c>
      <c r="H26" s="296" t="s">
        <v>126</v>
      </c>
      <c r="I26" s="117"/>
      <c r="J26" s="117"/>
      <c r="K26" s="117"/>
    </row>
    <row r="27" spans="1:11" x14ac:dyDescent="0.3">
      <c r="B27" s="219" t="s">
        <v>145</v>
      </c>
      <c r="C27" s="213"/>
      <c r="D27" s="218"/>
      <c r="E27" s="213"/>
      <c r="F27" s="102"/>
      <c r="G27" s="102"/>
      <c r="H27" s="12"/>
      <c r="I27" s="117"/>
      <c r="J27" s="117"/>
      <c r="K27" s="117"/>
    </row>
    <row r="28" spans="1:11" x14ac:dyDescent="0.3">
      <c r="B28" s="434" t="s">
        <v>139</v>
      </c>
      <c r="C28" s="230">
        <v>1067.3588153848809</v>
      </c>
      <c r="D28" s="218" t="s">
        <v>140</v>
      </c>
      <c r="E28" s="102"/>
      <c r="F28" s="221" t="s">
        <v>146</v>
      </c>
      <c r="G28" s="262">
        <v>2.6499999999999999E-2</v>
      </c>
      <c r="H28" s="290" t="s">
        <v>44</v>
      </c>
    </row>
    <row r="29" spans="1:11" x14ac:dyDescent="0.3">
      <c r="B29" s="434" t="s">
        <v>142</v>
      </c>
      <c r="C29" s="231">
        <v>6471.7466887167748</v>
      </c>
      <c r="D29" s="218" t="s">
        <v>143</v>
      </c>
      <c r="E29" s="102"/>
      <c r="F29" s="221" t="s">
        <v>147</v>
      </c>
      <c r="G29" s="254">
        <v>6682.5957040417543</v>
      </c>
      <c r="H29" s="290" t="s">
        <v>148</v>
      </c>
    </row>
    <row r="30" spans="1:11" x14ac:dyDescent="0.3">
      <c r="B30" s="13"/>
      <c r="C30" s="102"/>
      <c r="D30" s="95"/>
      <c r="E30" s="102"/>
      <c r="F30" s="221" t="s">
        <v>149</v>
      </c>
      <c r="G30" s="258">
        <v>-7.4932595548515835E-4</v>
      </c>
      <c r="H30" s="290" t="s">
        <v>44</v>
      </c>
    </row>
    <row r="31" spans="1:11" ht="19.5" thickBot="1" x14ac:dyDescent="0.35">
      <c r="B31" s="14"/>
      <c r="C31" s="430"/>
      <c r="D31" s="431"/>
      <c r="E31" s="430"/>
      <c r="F31" s="430"/>
      <c r="G31" s="430"/>
      <c r="H31" s="435"/>
    </row>
    <row r="33" spans="2:5" x14ac:dyDescent="0.3">
      <c r="B33" s="102"/>
      <c r="C33" s="263"/>
      <c r="D33" s="263"/>
      <c r="E33" s="102"/>
    </row>
    <row r="34" spans="2:5" x14ac:dyDescent="0.3">
      <c r="B34" s="102"/>
      <c r="C34" s="216"/>
      <c r="D34" s="216"/>
      <c r="E34" s="102"/>
    </row>
    <row r="35" spans="2:5" x14ac:dyDescent="0.3">
      <c r="B35" s="102"/>
      <c r="C35" s="213"/>
      <c r="D35" s="213"/>
      <c r="E35" s="102"/>
    </row>
    <row r="36" spans="2:5" x14ac:dyDescent="0.3">
      <c r="B36" s="102"/>
      <c r="C36" s="263"/>
      <c r="D36" s="263"/>
      <c r="E36" s="102"/>
    </row>
    <row r="37" spans="2:5" x14ac:dyDescent="0.3">
      <c r="B37" s="102"/>
      <c r="C37" s="216"/>
      <c r="D37" s="216"/>
      <c r="E37" s="102"/>
    </row>
    <row r="38" spans="2:5" x14ac:dyDescent="0.3">
      <c r="B38" s="102"/>
      <c r="C38" s="102"/>
      <c r="D38" s="95"/>
      <c r="E38" s="102"/>
    </row>
  </sheetData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B3:H21"/>
  <sheetViews>
    <sheetView view="pageBreakPreview" zoomScale="60" zoomScaleNormal="100" workbookViewId="0">
      <selection activeCell="W34" sqref="W34"/>
    </sheetView>
  </sheetViews>
  <sheetFormatPr defaultColWidth="9.77734375" defaultRowHeight="15.75" x14ac:dyDescent="0.25"/>
  <cols>
    <col min="1" max="1" width="9.77734375" style="127" customWidth="1"/>
    <col min="2" max="2" width="10.33203125" style="127" customWidth="1"/>
    <col min="3" max="6" width="12.21875" style="127" customWidth="1"/>
    <col min="7" max="16384" width="9.77734375" style="127"/>
  </cols>
  <sheetData>
    <row r="3" spans="2:7" ht="26.25" x14ac:dyDescent="0.4">
      <c r="B3" s="126" t="s">
        <v>150</v>
      </c>
    </row>
    <row r="5" spans="2:7" ht="16.5" thickBot="1" x14ac:dyDescent="0.3">
      <c r="C5" s="128" t="s">
        <v>151</v>
      </c>
      <c r="D5" s="128" t="s">
        <v>152</v>
      </c>
      <c r="E5" s="128" t="s">
        <v>153</v>
      </c>
      <c r="F5" s="128" t="s">
        <v>154</v>
      </c>
    </row>
    <row r="6" spans="2:7" x14ac:dyDescent="0.25">
      <c r="B6" s="129">
        <v>1</v>
      </c>
      <c r="C6" s="235">
        <v>4674.1500000000005</v>
      </c>
      <c r="D6" s="236">
        <v>5.9456840648073064E-2</v>
      </c>
      <c r="E6" s="237">
        <v>50.865696372602464</v>
      </c>
      <c r="F6" s="238">
        <v>23.06663901458019</v>
      </c>
      <c r="G6" s="172"/>
    </row>
    <row r="7" spans="2:7" x14ac:dyDescent="0.25">
      <c r="B7" s="129">
        <v>2</v>
      </c>
      <c r="C7" s="239">
        <v>3522.5989999999979</v>
      </c>
      <c r="D7" s="240">
        <v>4.4808704772003757E-2</v>
      </c>
      <c r="E7" s="241">
        <v>139.38498883920653</v>
      </c>
      <c r="F7" s="242">
        <v>22.190686691843151</v>
      </c>
    </row>
    <row r="8" spans="2:7" x14ac:dyDescent="0.25">
      <c r="B8" s="129">
        <v>3</v>
      </c>
      <c r="C8" s="239">
        <v>4131.2410000000018</v>
      </c>
      <c r="D8" s="240">
        <v>5.2550846210709129E-2</v>
      </c>
      <c r="E8" s="241">
        <v>168.81983021566634</v>
      </c>
      <c r="F8" s="242">
        <v>18.365617958381019</v>
      </c>
    </row>
    <row r="9" spans="2:7" x14ac:dyDescent="0.25">
      <c r="B9" s="129">
        <v>4</v>
      </c>
      <c r="C9" s="239">
        <v>23631.799999999952</v>
      </c>
      <c r="D9" s="240">
        <v>0.30060485154030786</v>
      </c>
      <c r="E9" s="241">
        <v>179.9999999999998</v>
      </c>
      <c r="F9" s="242">
        <v>11.524501417581414</v>
      </c>
    </row>
    <row r="10" spans="2:7" x14ac:dyDescent="0.25">
      <c r="B10" s="129">
        <v>5</v>
      </c>
      <c r="C10" s="239">
        <v>4588.2890000000007</v>
      </c>
      <c r="D10" s="240">
        <v>5.8364658370036585E-2</v>
      </c>
      <c r="E10" s="241">
        <v>180.00000000000003</v>
      </c>
      <c r="F10" s="242">
        <v>21.083256211629223</v>
      </c>
    </row>
    <row r="11" spans="2:7" x14ac:dyDescent="0.25">
      <c r="B11" s="129">
        <v>6</v>
      </c>
      <c r="C11" s="239">
        <v>8535.4300000000057</v>
      </c>
      <c r="D11" s="240">
        <v>0.10857368748815989</v>
      </c>
      <c r="E11" s="241">
        <v>180.00000000000009</v>
      </c>
      <c r="F11" s="242">
        <v>26.21571218438902</v>
      </c>
    </row>
    <row r="12" spans="2:7" x14ac:dyDescent="0.25">
      <c r="B12" s="129">
        <v>7</v>
      </c>
      <c r="C12" s="239">
        <v>9285.0640000000003</v>
      </c>
      <c r="D12" s="240">
        <v>0.11810929701767377</v>
      </c>
      <c r="E12" s="241">
        <v>180.00000000000009</v>
      </c>
      <c r="F12" s="242">
        <v>30.001962474356638</v>
      </c>
    </row>
    <row r="13" spans="2:7" x14ac:dyDescent="0.25">
      <c r="B13" s="129">
        <v>8</v>
      </c>
      <c r="C13" s="239">
        <v>3797.7729999999979</v>
      </c>
      <c r="D13" s="240">
        <v>4.8309015345796395E-2</v>
      </c>
      <c r="E13" s="241">
        <v>180.0000000000002</v>
      </c>
      <c r="F13" s="242">
        <v>34.871000649591238</v>
      </c>
    </row>
    <row r="14" spans="2:7" x14ac:dyDescent="0.25">
      <c r="B14" s="129">
        <v>9</v>
      </c>
      <c r="C14" s="239">
        <v>1002.683</v>
      </c>
      <c r="D14" s="240">
        <v>1.2754482280528404E-2</v>
      </c>
      <c r="E14" s="241">
        <v>180.00000000000006</v>
      </c>
      <c r="F14" s="242">
        <v>41.547986452348347</v>
      </c>
    </row>
    <row r="15" spans="2:7" x14ac:dyDescent="0.25">
      <c r="B15" s="129">
        <v>10</v>
      </c>
      <c r="C15" s="239">
        <v>5647.5889999999972</v>
      </c>
      <c r="D15" s="240">
        <v>7.183932890874492E-2</v>
      </c>
      <c r="E15" s="241">
        <v>180.00000000000011</v>
      </c>
      <c r="F15" s="242">
        <v>47.989453552657608</v>
      </c>
    </row>
    <row r="16" spans="2:7" x14ac:dyDescent="0.25">
      <c r="B16" s="129">
        <v>11</v>
      </c>
      <c r="C16" s="239">
        <v>2153.1579999999994</v>
      </c>
      <c r="D16" s="240">
        <v>2.7388931056154305E-2</v>
      </c>
      <c r="E16" s="241">
        <v>185.93366255518637</v>
      </c>
      <c r="F16" s="242">
        <v>24.399613683714797</v>
      </c>
    </row>
    <row r="17" spans="2:8" x14ac:dyDescent="0.25">
      <c r="B17" s="129">
        <v>12</v>
      </c>
      <c r="C17" s="239">
        <v>1270.6330000000007</v>
      </c>
      <c r="D17" s="240">
        <v>1.6162901020117679E-2</v>
      </c>
      <c r="E17" s="241">
        <v>197.26811660015122</v>
      </c>
      <c r="F17" s="242">
        <v>24.928758972889881</v>
      </c>
    </row>
    <row r="18" spans="2:8" x14ac:dyDescent="0.25">
      <c r="B18" s="129">
        <v>13</v>
      </c>
      <c r="C18" s="239">
        <v>2537.2099999999991</v>
      </c>
      <c r="D18" s="240">
        <v>3.2274208286147722E-2</v>
      </c>
      <c r="E18" s="241">
        <v>211.97533038258555</v>
      </c>
      <c r="F18" s="242">
        <v>20.591471143500161</v>
      </c>
    </row>
    <row r="19" spans="2:8" x14ac:dyDescent="0.25">
      <c r="B19" s="129">
        <v>14</v>
      </c>
      <c r="C19" s="239">
        <v>1674.2500000000009</v>
      </c>
      <c r="D19" s="240">
        <v>2.1297051967745229E-2</v>
      </c>
      <c r="E19" s="241">
        <v>238.26490954158564</v>
      </c>
      <c r="F19" s="242">
        <v>24.392630849634148</v>
      </c>
    </row>
    <row r="20" spans="2:8" ht="16.5" thickBot="1" x14ac:dyDescent="0.3">
      <c r="B20" s="129">
        <v>15</v>
      </c>
      <c r="C20" s="243">
        <v>2162.297999999998</v>
      </c>
      <c r="D20" s="244">
        <v>2.7505195087801408E-2</v>
      </c>
      <c r="E20" s="245">
        <v>271.87421752228414</v>
      </c>
      <c r="F20" s="246">
        <v>22.790863331511254</v>
      </c>
    </row>
    <row r="21" spans="2:8" ht="17.25" thickBot="1" x14ac:dyDescent="0.35">
      <c r="B21" s="130" t="s">
        <v>79</v>
      </c>
      <c r="C21" s="247">
        <v>78614.166999999943</v>
      </c>
      <c r="D21" s="248">
        <v>0.99999999999999989</v>
      </c>
      <c r="E21" s="249">
        <v>175.15613594938938</v>
      </c>
      <c r="F21" s="250">
        <v>22.959788495373878</v>
      </c>
      <c r="G21" s="131" t="s">
        <v>155</v>
      </c>
      <c r="H21" s="131"/>
    </row>
  </sheetData>
  <phoneticPr fontId="1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indexed="45"/>
  </sheetPr>
  <dimension ref="A2:R46"/>
  <sheetViews>
    <sheetView view="pageBreakPreview" topLeftCell="A4" zoomScale="55" zoomScaleNormal="55" zoomScaleSheetLayoutView="55" workbookViewId="0">
      <selection activeCell="W34" sqref="W34"/>
    </sheetView>
  </sheetViews>
  <sheetFormatPr defaultRowHeight="18.75" x14ac:dyDescent="0.3"/>
  <cols>
    <col min="3" max="3" width="13.77734375" customWidth="1"/>
    <col min="4" max="4" width="13.33203125" customWidth="1"/>
    <col min="5" max="5" width="13.88671875" customWidth="1"/>
    <col min="6" max="7" width="10.5546875" customWidth="1"/>
    <col min="8" max="8" width="15" customWidth="1"/>
    <col min="11" max="11" width="14.109375" customWidth="1"/>
    <col min="16" max="16" width="15.88671875" customWidth="1"/>
  </cols>
  <sheetData>
    <row r="2" spans="1:18" ht="26.25" x14ac:dyDescent="0.4">
      <c r="B2" s="114" t="s">
        <v>156</v>
      </c>
      <c r="E2" s="2"/>
    </row>
    <row r="3" spans="1:18" x14ac:dyDescent="0.3">
      <c r="B3" s="1"/>
      <c r="C3" s="117"/>
      <c r="D3" s="117"/>
      <c r="E3" s="116"/>
      <c r="F3" s="117"/>
      <c r="G3" s="117"/>
      <c r="H3" s="117"/>
      <c r="I3" s="117"/>
      <c r="J3" s="117"/>
      <c r="K3" s="117"/>
      <c r="L3" s="117"/>
      <c r="M3" s="117"/>
    </row>
    <row r="4" spans="1:18" x14ac:dyDescent="0.3">
      <c r="B4" s="116"/>
      <c r="C4" s="117"/>
      <c r="D4" s="117"/>
      <c r="E4" s="116"/>
      <c r="F4" s="418" t="s">
        <v>157</v>
      </c>
      <c r="G4" s="419"/>
      <c r="H4" s="116"/>
      <c r="I4" s="418" t="s">
        <v>158</v>
      </c>
      <c r="J4" s="419"/>
      <c r="K4" s="117"/>
      <c r="L4" s="418" t="s">
        <v>159</v>
      </c>
      <c r="M4" s="419"/>
    </row>
    <row r="5" spans="1:18" ht="38.25" thickBot="1" x14ac:dyDescent="0.35">
      <c r="B5" s="19" t="s">
        <v>31</v>
      </c>
      <c r="C5" s="33" t="s">
        <v>160</v>
      </c>
      <c r="D5" s="33" t="s">
        <v>161</v>
      </c>
      <c r="E5" s="33" t="s">
        <v>142</v>
      </c>
      <c r="F5" s="32" t="s">
        <v>162</v>
      </c>
      <c r="G5" s="32" t="s">
        <v>163</v>
      </c>
      <c r="H5" s="33" t="s">
        <v>164</v>
      </c>
      <c r="I5" s="32" t="s">
        <v>165</v>
      </c>
      <c r="J5" s="32" t="s">
        <v>163</v>
      </c>
      <c r="K5" s="21" t="s">
        <v>166</v>
      </c>
      <c r="L5" s="34" t="s">
        <v>162</v>
      </c>
      <c r="M5" s="35" t="s">
        <v>163</v>
      </c>
      <c r="O5" s="420" t="s">
        <v>167</v>
      </c>
      <c r="P5" s="420"/>
    </row>
    <row r="6" spans="1:18" x14ac:dyDescent="0.3">
      <c r="B6" s="298"/>
      <c r="C6" s="215" t="s">
        <v>42</v>
      </c>
      <c r="D6" s="215" t="s">
        <v>42</v>
      </c>
      <c r="E6" s="215" t="s">
        <v>168</v>
      </c>
      <c r="F6" s="215" t="s">
        <v>169</v>
      </c>
      <c r="G6" s="299" t="s">
        <v>169</v>
      </c>
      <c r="H6" s="215" t="s">
        <v>170</v>
      </c>
      <c r="I6" s="299" t="s">
        <v>171</v>
      </c>
      <c r="J6" s="299" t="s">
        <v>171</v>
      </c>
      <c r="K6" s="298" t="s">
        <v>172</v>
      </c>
      <c r="L6" s="299" t="s">
        <v>171</v>
      </c>
      <c r="M6" s="299" t="s">
        <v>171</v>
      </c>
      <c r="O6" s="6"/>
      <c r="P6" s="16"/>
    </row>
    <row r="7" spans="1:18" x14ac:dyDescent="0.3">
      <c r="A7" s="2">
        <v>1</v>
      </c>
      <c r="B7" s="300">
        <f>'Table 5. VOS Data Table'!$C$5</f>
        <v>2021</v>
      </c>
      <c r="C7" s="301">
        <f>IF(A7&lt;='Table 3. Fixed Assumptions'!$C$23,'Table 3. Fixed Assumptions'!C6,0)</f>
        <v>2.579359803921569</v>
      </c>
      <c r="D7" s="301">
        <f>C7+'Table 5. VOS Data Table'!G7</f>
        <v>2.5280998054489197</v>
      </c>
      <c r="E7" s="302">
        <f>'Table 5. VOS Data Table'!$G$6</f>
        <v>7578.879381763064</v>
      </c>
      <c r="F7" s="303">
        <f>E7*D7/1000/1000</f>
        <v>1.9160163490556031E-2</v>
      </c>
      <c r="G7" s="136">
        <f>L33/(SUMPRODUCT(H7:H31,K7:K31))</f>
        <v>2.1516690228396723E-2</v>
      </c>
      <c r="H7" s="304">
        <f>'Table 5. VOS Data Table'!C17</f>
        <v>1550</v>
      </c>
      <c r="I7" s="305">
        <f>H7*F7</f>
        <v>29.698253410361847</v>
      </c>
      <c r="J7" s="305">
        <f>H7*G7</f>
        <v>33.350869854014924</v>
      </c>
      <c r="K7" s="306">
        <v>1</v>
      </c>
      <c r="L7" s="305">
        <f>I7*K7</f>
        <v>29.698253410361847</v>
      </c>
      <c r="M7" s="307">
        <f>K7*J7</f>
        <v>33.350869854014924</v>
      </c>
      <c r="O7" s="41">
        <v>1</v>
      </c>
      <c r="P7" s="42">
        <f>'Table 3. Fixed Assumptions'!G13</f>
        <v>2.1494252873563231E-3</v>
      </c>
    </row>
    <row r="8" spans="1:18" x14ac:dyDescent="0.3">
      <c r="A8" s="2">
        <v>2</v>
      </c>
      <c r="B8" s="308">
        <f>B7+1</f>
        <v>2022</v>
      </c>
      <c r="C8" s="309">
        <f>IF(A8&lt;='Table 3. Fixed Assumptions'!$C$23,'Table 3. Fixed Assumptions'!C7,0)</f>
        <v>2.445879411764706</v>
      </c>
      <c r="D8" s="309">
        <f>IF('Table 8. Avoided Fuel Costs'!A8&lt;='Table 3. Fixed Assumptions'!$C$23,C8+'Table 5. VOS Data Table'!$G$7*(1+'Table 3. Fixed Assumptions'!$C$19)^('Table 8. Avoided Fuel Costs'!B8-'Table 8. Avoided Fuel Costs'!$B$7),0)</f>
        <v>2.3935378273242836</v>
      </c>
      <c r="E8" s="310">
        <f>E7*(1+'Table 5. VOS Data Table'!$G$9)</f>
        <v>7586.4582611448259</v>
      </c>
      <c r="F8" s="311">
        <f t="shared" ref="F8:F30" si="0">E8*D8/1000/1000</f>
        <v>1.8158474823466948E-2</v>
      </c>
      <c r="G8" s="125">
        <f>IF(F8=0,0,G7)</f>
        <v>2.1516690228396723E-2</v>
      </c>
      <c r="H8" s="312">
        <f>H7*(1-'Table 3. Fixed Assumptions'!$C$22)</f>
        <v>1542.25</v>
      </c>
      <c r="I8" s="313">
        <f t="shared" ref="I8:I31" si="1">H8*F8</f>
        <v>28.004907796491899</v>
      </c>
      <c r="J8" s="313">
        <f t="shared" ref="J8:J31" si="2">H8*G8</f>
        <v>33.184115504744845</v>
      </c>
      <c r="K8" s="314">
        <f t="shared" ref="K8:K31" si="3">IF(D8=0,0,1/(1+P7)^O7)</f>
        <v>0.99785518483260116</v>
      </c>
      <c r="L8" s="313">
        <f t="shared" ref="L8:L31" si="4">I8*K8</f>
        <v>27.944842445488376</v>
      </c>
      <c r="M8" s="315">
        <f t="shared" ref="M8:M31" si="5">K8*J8</f>
        <v>33.112941710493551</v>
      </c>
      <c r="O8" s="41">
        <v>2</v>
      </c>
      <c r="P8" s="42">
        <f>'Table 3. Fixed Assumptions'!G14</f>
        <v>2.5816091954023023E-3</v>
      </c>
      <c r="R8" s="3"/>
    </row>
    <row r="9" spans="1:18" x14ac:dyDescent="0.3">
      <c r="A9" s="2">
        <v>3</v>
      </c>
      <c r="B9" s="308">
        <f t="shared" ref="B9:B31" si="6">B8+1</f>
        <v>2023</v>
      </c>
      <c r="C9" s="309">
        <f>IF(A9&lt;='Table 3. Fixed Assumptions'!$C$23,'Table 3. Fixed Assumptions'!C8,0)</f>
        <v>2.4135196078431376</v>
      </c>
      <c r="D9" s="309">
        <f>IF('Table 8. Avoided Fuel Costs'!A9&lt;='Table 3. Fixed Assumptions'!$C$23,C9+'Table 5. VOS Data Table'!$G$7*(1+'Table 3. Fixed Assumptions'!$C$19)^('Table 8. Avoided Fuel Costs'!B9-'Table 8. Avoided Fuel Costs'!$B$7),0)</f>
        <v>2.3600736159710225</v>
      </c>
      <c r="E9" s="310">
        <f>E8*(1+'Table 5. VOS Data Table'!$G$9)</f>
        <v>7594.0447194059698</v>
      </c>
      <c r="F9" s="311">
        <f t="shared" si="0"/>
        <v>1.7922504580774094E-2</v>
      </c>
      <c r="G9" s="125">
        <f t="shared" ref="G9:G31" si="7">IF(F9=0,0,G8)</f>
        <v>2.1516690228396723E-2</v>
      </c>
      <c r="H9" s="312">
        <f>H8*(1-'Table 3. Fixed Assumptions'!$C$22)</f>
        <v>1534.5387499999999</v>
      </c>
      <c r="I9" s="313">
        <f>H9*F9</f>
        <v>27.502777776250351</v>
      </c>
      <c r="J9" s="313">
        <f>H9*G9</f>
        <v>33.018194927221124</v>
      </c>
      <c r="K9" s="314">
        <f t="shared" si="3"/>
        <v>0.9948567071260489</v>
      </c>
      <c r="L9" s="313">
        <f t="shared" si="4"/>
        <v>27.361322935299903</v>
      </c>
      <c r="M9" s="315">
        <f t="shared" si="5"/>
        <v>32.848372680541218</v>
      </c>
      <c r="O9" s="41">
        <v>3</v>
      </c>
      <c r="P9" s="42">
        <f>'Table 3. Fixed Assumptions'!G15</f>
        <v>3.0747126436781584E-3</v>
      </c>
    </row>
    <row r="10" spans="1:18" x14ac:dyDescent="0.3">
      <c r="A10" s="2">
        <v>4</v>
      </c>
      <c r="B10" s="308">
        <f t="shared" si="6"/>
        <v>2024</v>
      </c>
      <c r="C10" s="309">
        <f>IF(A10&lt;='Table 3. Fixed Assumptions'!$C$23,'Table 3. Fixed Assumptions'!C9,0)</f>
        <v>2.4188911764705883</v>
      </c>
      <c r="D10" s="309">
        <f>IF('Table 8. Avoided Fuel Costs'!A10&lt;='Table 3. Fixed Assumptions'!$C$23,C10+'Table 5. VOS Data Table'!$G$7*(1+'Table 3. Fixed Assumptions'!$C$19)^('Table 8. Avoided Fuel Costs'!B10-'Table 8. Avoided Fuel Costs'!$B$7),0)</f>
        <v>2.3643174741699715</v>
      </c>
      <c r="E10" s="310">
        <f>E9*(1+'Table 5. VOS Data Table'!$G$9)</f>
        <v>7601.638764125375</v>
      </c>
      <c r="F10" s="311">
        <f t="shared" si="0"/>
        <v>1.797268736234945E-2</v>
      </c>
      <c r="G10" s="125">
        <f t="shared" si="7"/>
        <v>2.1516690228396723E-2</v>
      </c>
      <c r="H10" s="312">
        <f>H9*(1-'Table 3. Fixed Assumptions'!$C$22)</f>
        <v>1526.8660562499999</v>
      </c>
      <c r="I10" s="313">
        <f>H10*F10</f>
        <v>27.44188627316472</v>
      </c>
      <c r="J10" s="313">
        <f t="shared" si="2"/>
        <v>32.853103952585016</v>
      </c>
      <c r="K10" s="314">
        <f t="shared" si="3"/>
        <v>0.99083229587193467</v>
      </c>
      <c r="L10" s="313">
        <f t="shared" si="4"/>
        <v>27.19030717909633</v>
      </c>
      <c r="M10" s="315">
        <f t="shared" si="5"/>
        <v>32.551916415859139</v>
      </c>
      <c r="O10" s="41">
        <v>4</v>
      </c>
      <c r="P10" s="43">
        <f>ROUND((($P$11-$P$9)/($O$11-$O$9)+P9),4)</f>
        <v>3.5999999999999999E-3</v>
      </c>
    </row>
    <row r="11" spans="1:18" x14ac:dyDescent="0.3">
      <c r="A11" s="2">
        <v>5</v>
      </c>
      <c r="B11" s="308">
        <f t="shared" si="6"/>
        <v>2025</v>
      </c>
      <c r="C11" s="309">
        <f>IF(A11&lt;='Table 3. Fixed Assumptions'!$C$23,'Table 3. Fixed Assumptions'!C10,0)</f>
        <v>2.4316049019607844</v>
      </c>
      <c r="D11" s="309">
        <f>IF('Table 8. Avoided Fuel Costs'!A11&lt;='Table 3. Fixed Assumptions'!$C$23,C11+'Table 5. VOS Data Table'!$G$7*(1+'Table 3. Fixed Assumptions'!$C$19)^('Table 8. Avoided Fuel Costs'!B11-'Table 8. Avoided Fuel Costs'!$B$7),0)</f>
        <v>2.3758796945416245</v>
      </c>
      <c r="E11" s="310">
        <f>E10*(1+'Table 5. VOS Data Table'!$G$9)</f>
        <v>7609.2404028894998</v>
      </c>
      <c r="F11" s="311">
        <f t="shared" si="0"/>
        <v>1.8078639764110893E-2</v>
      </c>
      <c r="G11" s="125">
        <f t="shared" si="7"/>
        <v>2.1516690228396723E-2</v>
      </c>
      <c r="H11" s="312">
        <f>H10*(1-'Table 3. Fixed Assumptions'!$C$22)</f>
        <v>1519.23172596875</v>
      </c>
      <c r="I11" s="313">
        <f t="shared" si="1"/>
        <v>27.465643091997467</v>
      </c>
      <c r="J11" s="313">
        <f t="shared" si="2"/>
        <v>32.688838432822088</v>
      </c>
      <c r="K11" s="314">
        <f t="shared" si="3"/>
        <v>0.98572867272497644</v>
      </c>
      <c r="L11" s="313">
        <f t="shared" si="4"/>
        <v>27.073671910612582</v>
      </c>
      <c r="M11" s="315">
        <f t="shared" si="5"/>
        <v>32.222325321306919</v>
      </c>
      <c r="O11" s="41">
        <v>5</v>
      </c>
      <c r="P11" s="42">
        <f>'Table 3. Fixed Assumptions'!G16</f>
        <v>4.1712643678160919E-3</v>
      </c>
    </row>
    <row r="12" spans="1:18" x14ac:dyDescent="0.3">
      <c r="A12" s="2">
        <v>6</v>
      </c>
      <c r="B12" s="308">
        <f t="shared" si="6"/>
        <v>2026</v>
      </c>
      <c r="C12" s="309">
        <f>IF(A12&lt;='Table 3. Fixed Assumptions'!$C$23,'Table 3. Fixed Assumptions'!C11,0)</f>
        <v>2.4568392156862746</v>
      </c>
      <c r="D12" s="309">
        <f>IF('Table 8. Avoided Fuel Costs'!A12&lt;='Table 3. Fixed Assumptions'!$C$23,C12+'Table 5. VOS Data Table'!$G$7*(1+'Table 3. Fixed Assumptions'!$C$19)^('Table 8. Avoided Fuel Costs'!B12-'Table 8. Avoided Fuel Costs'!$B$7),0)</f>
        <v>2.3999382063905705</v>
      </c>
      <c r="E12" s="310">
        <f>E11*(1+'Table 5. VOS Data Table'!$G$9)</f>
        <v>7616.8496432923885</v>
      </c>
      <c r="F12" s="311">
        <f t="shared" si="0"/>
        <v>1.8279968471269795E-2</v>
      </c>
      <c r="G12" s="125">
        <f t="shared" si="7"/>
        <v>2.1516690228396723E-2</v>
      </c>
      <c r="H12" s="312">
        <f>H11*(1-'Table 3. Fixed Assumptions'!$C$22)</f>
        <v>1511.6355673389062</v>
      </c>
      <c r="I12" s="313">
        <f t="shared" si="1"/>
        <v>27.632650511005235</v>
      </c>
      <c r="J12" s="313">
        <f t="shared" si="2"/>
        <v>32.525394240657981</v>
      </c>
      <c r="K12" s="314">
        <f t="shared" si="3"/>
        <v>0.97940215067196768</v>
      </c>
      <c r="L12" s="313">
        <f t="shared" si="4"/>
        <v>27.063477339245374</v>
      </c>
      <c r="M12" s="315">
        <f t="shared" si="5"/>
        <v>31.855441070754058</v>
      </c>
      <c r="O12" s="41">
        <v>6</v>
      </c>
      <c r="P12" s="43">
        <f>ROUND((($P$13-$P$11)/($O$13-$O$11)+P11),4)</f>
        <v>5.1000000000000004E-3</v>
      </c>
    </row>
    <row r="13" spans="1:18" x14ac:dyDescent="0.3">
      <c r="A13" s="2">
        <v>7</v>
      </c>
      <c r="B13" s="308">
        <f t="shared" si="6"/>
        <v>2027</v>
      </c>
      <c r="C13" s="309">
        <f>IF(A13&lt;='Table 3. Fixed Assumptions'!$C$23,'Table 3. Fixed Assumptions'!C12,0)</f>
        <v>2.4823264705882351</v>
      </c>
      <c r="D13" s="309">
        <f>IF('Table 8. Avoided Fuel Costs'!A13&lt;='Table 3. Fixed Assumptions'!$C$23,C13+'Table 5. VOS Data Table'!$G$7*(1+'Table 3. Fixed Assumptions'!$C$19)^('Table 8. Avoided Fuel Costs'!B13-'Table 8. Avoided Fuel Costs'!$B$7),0)</f>
        <v>2.4242248499963917</v>
      </c>
      <c r="E13" s="310">
        <f>E12*(1+'Table 5. VOS Data Table'!$G$9)</f>
        <v>7624.4664929356804</v>
      </c>
      <c r="F13" s="311">
        <f t="shared" si="0"/>
        <v>1.8483421140139514E-2</v>
      </c>
      <c r="G13" s="125">
        <f t="shared" si="7"/>
        <v>2.1516690228396723E-2</v>
      </c>
      <c r="H13" s="312">
        <f>H12*(1-'Table 3. Fixed Assumptions'!$C$22)</f>
        <v>1504.0773895022116</v>
      </c>
      <c r="I13" s="313">
        <f t="shared" si="1"/>
        <v>27.800495817531033</v>
      </c>
      <c r="J13" s="313">
        <f t="shared" si="2"/>
        <v>32.362767269454686</v>
      </c>
      <c r="K13" s="314">
        <f t="shared" si="3"/>
        <v>0.96993886592412726</v>
      </c>
      <c r="L13" s="313">
        <f t="shared" si="4"/>
        <v>26.964781385384494</v>
      </c>
      <c r="M13" s="315">
        <f t="shared" si="5"/>
        <v>31.389905783501344</v>
      </c>
      <c r="O13" s="41">
        <v>7</v>
      </c>
      <c r="P13" s="42">
        <f>'Table 3. Fixed Assumptions'!G17</f>
        <v>6.026436781609198E-3</v>
      </c>
    </row>
    <row r="14" spans="1:18" x14ac:dyDescent="0.3">
      <c r="A14" s="2">
        <v>8</v>
      </c>
      <c r="B14" s="308">
        <f t="shared" si="6"/>
        <v>2028</v>
      </c>
      <c r="C14" s="309">
        <f>IF(A14&lt;='Table 3. Fixed Assumptions'!$C$23,'Table 3. Fixed Assumptions'!C13,0)</f>
        <v>2.5156598039215683</v>
      </c>
      <c r="D14" s="309">
        <f>IF('Table 8. Avoided Fuel Costs'!A14&lt;='Table 3. Fixed Assumptions'!$C$23,C14+'Table 5. VOS Data Table'!$G$7*(1+'Table 3. Fixed Assumptions'!$C$19)^('Table 8. Avoided Fuel Costs'!B14-'Table 8. Avoided Fuel Costs'!$B$7),0)</f>
        <v>2.4563322391352371</v>
      </c>
      <c r="E14" s="310">
        <f>E13*(1+'Table 5. VOS Data Table'!$G$9)</f>
        <v>7632.090959428615</v>
      </c>
      <c r="F14" s="311">
        <f t="shared" si="0"/>
        <v>1.874695107565709E-2</v>
      </c>
      <c r="G14" s="125">
        <f t="shared" si="7"/>
        <v>2.1516690228396723E-2</v>
      </c>
      <c r="H14" s="312">
        <f>H13*(1-'Table 3. Fixed Assumptions'!$C$22)</f>
        <v>1496.5570025547006</v>
      </c>
      <c r="I14" s="313">
        <f t="shared" si="1"/>
        <v>28.055880908824996</v>
      </c>
      <c r="J14" s="313">
        <f t="shared" si="2"/>
        <v>32.200953433107415</v>
      </c>
      <c r="K14" s="314">
        <f t="shared" si="3"/>
        <v>0.95881373332377484</v>
      </c>
      <c r="L14" s="313">
        <f t="shared" si="4"/>
        <v>26.900363915877715</v>
      </c>
      <c r="M14" s="315">
        <f t="shared" si="5"/>
        <v>30.874716377782747</v>
      </c>
      <c r="O14" s="41">
        <v>8</v>
      </c>
      <c r="P14" s="43">
        <f>($P$16-$P$13)/($O$16-$O$13)+P13</f>
        <v>6.4639846743295027E-3</v>
      </c>
    </row>
    <row r="15" spans="1:18" x14ac:dyDescent="0.3">
      <c r="A15" s="2">
        <v>9</v>
      </c>
      <c r="B15" s="308">
        <f t="shared" si="6"/>
        <v>2029</v>
      </c>
      <c r="C15" s="309">
        <f>IF(A15&lt;='Table 3. Fixed Assumptions'!$C$23,'Table 3. Fixed Assumptions'!C14,0)</f>
        <v>2.552198039215686</v>
      </c>
      <c r="D15" s="309">
        <f>IF('Table 8. Avoided Fuel Costs'!A15&lt;='Table 3. Fixed Assumptions'!$C$23,C15+'Table 5. VOS Data Table'!$G$7*(1+'Table 3. Fixed Assumptions'!$C$19)^('Table 8. Avoided Fuel Costs'!B15-'Table 8. Avoided Fuel Costs'!$B$7),0)</f>
        <v>2.4916186628123631</v>
      </c>
      <c r="E15" s="310">
        <f>E14*(1+'Table 5. VOS Data Table'!$G$9)</f>
        <v>7639.7230503880428</v>
      </c>
      <c r="F15" s="311">
        <f t="shared" si="0"/>
        <v>1.9035276531064644E-2</v>
      </c>
      <c r="G15" s="125">
        <f t="shared" si="7"/>
        <v>2.1516690228396723E-2</v>
      </c>
      <c r="H15" s="312">
        <f>H14*(1-'Table 3. Fixed Assumptions'!$C$22)</f>
        <v>1489.0742175419271</v>
      </c>
      <c r="I15" s="313">
        <f t="shared" si="1"/>
        <v>28.344939506189291</v>
      </c>
      <c r="J15" s="313">
        <f t="shared" si="2"/>
        <v>32.039948665941878</v>
      </c>
      <c r="K15" s="314">
        <f t="shared" si="3"/>
        <v>0.94976047120102336</v>
      </c>
      <c r="L15" s="313">
        <f t="shared" si="4"/>
        <v>26.920903101562843</v>
      </c>
      <c r="M15" s="315">
        <f t="shared" si="5"/>
        <v>30.430276742221558</v>
      </c>
      <c r="O15" s="41">
        <v>9</v>
      </c>
      <c r="P15" s="43">
        <f>($P$16-$P$13)/($O$16-$O$13)+P14</f>
        <v>6.9015325670498074E-3</v>
      </c>
    </row>
    <row r="16" spans="1:18" x14ac:dyDescent="0.3">
      <c r="A16" s="2">
        <v>10</v>
      </c>
      <c r="B16" s="308">
        <f t="shared" si="6"/>
        <v>2030</v>
      </c>
      <c r="C16" s="309">
        <f>IF(A16&lt;='Table 3. Fixed Assumptions'!$C$23,'Table 3. Fixed Assumptions'!C15,0)</f>
        <v>2.6144921568627448</v>
      </c>
      <c r="D16" s="309">
        <f>IF('Table 8. Avoided Fuel Costs'!A16&lt;='Table 3. Fixed Assumptions'!$C$23,C16+'Table 5. VOS Data Table'!$G$7*(1+'Table 3. Fixed Assumptions'!$C$19)^('Table 8. Avoided Fuel Costs'!B16-'Table 8. Avoided Fuel Costs'!$B$7),0)</f>
        <v>2.5526345556173116</v>
      </c>
      <c r="E16" s="310">
        <f>E15*(1+'Table 5. VOS Data Table'!$G$9)</f>
        <v>7647.3627734384299</v>
      </c>
      <c r="F16" s="311">
        <f t="shared" si="0"/>
        <v>1.9520922474820377E-2</v>
      </c>
      <c r="G16" s="125">
        <f t="shared" si="7"/>
        <v>2.1516690228396723E-2</v>
      </c>
      <c r="H16" s="312">
        <f>H15*(1-'Table 3. Fixed Assumptions'!$C$22)</f>
        <v>1481.6288464542174</v>
      </c>
      <c r="I16" s="313">
        <f t="shared" si="1"/>
        <v>28.922761848090321</v>
      </c>
      <c r="J16" s="313">
        <f t="shared" si="2"/>
        <v>31.879748922612169</v>
      </c>
      <c r="K16" s="314">
        <f t="shared" si="3"/>
        <v>0.93997647180343513</v>
      </c>
      <c r="L16" s="313">
        <f t="shared" si="4"/>
        <v>27.186715636778942</v>
      </c>
      <c r="M16" s="315">
        <f t="shared" si="5"/>
        <v>29.96621391425635</v>
      </c>
      <c r="O16" s="41">
        <v>10</v>
      </c>
      <c r="P16" s="42">
        <f>'Table 3. Fixed Assumptions'!G18</f>
        <v>7.339080459770113E-3</v>
      </c>
    </row>
    <row r="17" spans="1:16" x14ac:dyDescent="0.3">
      <c r="A17" s="2">
        <v>11</v>
      </c>
      <c r="B17" s="308">
        <f t="shared" si="6"/>
        <v>2031</v>
      </c>
      <c r="C17" s="309">
        <f>IF(A17&lt;='Table 3. Fixed Assumptions'!$C$23,'Table 3. Fixed Assumptions'!C16,0)</f>
        <v>2.7207539215686278</v>
      </c>
      <c r="D17" s="309">
        <f>IF('Table 8. Avoided Fuel Costs'!A17&lt;='Table 3. Fixed Assumptions'!$C$23,C17+'Table 5. VOS Data Table'!$G$7*(1+'Table 3. Fixed Assumptions'!$C$19)^('Table 8. Avoided Fuel Costs'!B17-'Table 8. Avoided Fuel Costs'!$B$7),0)</f>
        <v>2.657591124936916</v>
      </c>
      <c r="E17" s="310">
        <f>E16*(1+'Table 5. VOS Data Table'!$G$9)</f>
        <v>7655.0101362118676</v>
      </c>
      <c r="F17" s="311">
        <f t="shared" si="0"/>
        <v>2.0343886999298792E-2</v>
      </c>
      <c r="G17" s="125">
        <f t="shared" si="7"/>
        <v>2.1516690228396723E-2</v>
      </c>
      <c r="H17" s="312">
        <f>H16*(1-'Table 3. Fixed Assumptions'!$C$22)</f>
        <v>1474.2207022219463</v>
      </c>
      <c r="I17" s="313">
        <f t="shared" si="1"/>
        <v>29.991379378030189</v>
      </c>
      <c r="J17" s="313">
        <f t="shared" si="2"/>
        <v>31.720350177999109</v>
      </c>
      <c r="K17" s="314">
        <f t="shared" si="3"/>
        <v>0.92948667783446393</v>
      </c>
      <c r="L17" s="313">
        <f t="shared" si="4"/>
        <v>27.876587581758333</v>
      </c>
      <c r="M17" s="315">
        <f t="shared" si="5"/>
        <v>29.483642906694239</v>
      </c>
      <c r="O17" s="41">
        <v>11</v>
      </c>
      <c r="P17" s="43">
        <f>($P$26-$P$16)/($O$26-$O$16)+P16</f>
        <v>7.7848275862068949E-3</v>
      </c>
    </row>
    <row r="18" spans="1:16" x14ac:dyDescent="0.3">
      <c r="A18" s="2">
        <v>12</v>
      </c>
      <c r="B18" s="308">
        <f t="shared" si="6"/>
        <v>2032</v>
      </c>
      <c r="C18" s="309">
        <f>IF(A18&lt;='Table 3. Fixed Assumptions'!$C$23,'Table 3. Fixed Assumptions'!C17,0)</f>
        <v>2.8258362745098045</v>
      </c>
      <c r="D18" s="309">
        <f>IF('Table 8. Avoided Fuel Costs'!A18&lt;='Table 3. Fixed Assumptions'!$C$23,C18+'Table 5. VOS Data Table'!$G$7*(1+'Table 3. Fixed Assumptions'!$C$19)^('Table 8. Avoided Fuel Costs'!B18-'Table 8. Avoided Fuel Costs'!$B$7),0)</f>
        <v>2.7613407428691636</v>
      </c>
      <c r="E18" s="310">
        <f>E17*(1+'Table 5. VOS Data Table'!$G$9)</f>
        <v>7662.6651463480785</v>
      </c>
      <c r="F18" s="311">
        <f t="shared" si="0"/>
        <v>2.1159229467574453E-2</v>
      </c>
      <c r="G18" s="125">
        <f t="shared" si="7"/>
        <v>2.1516690228396723E-2</v>
      </c>
      <c r="H18" s="312">
        <f>H17*(1-'Table 3. Fixed Assumptions'!$C$22)</f>
        <v>1466.8495987108365</v>
      </c>
      <c r="I18" s="313">
        <f t="shared" si="1"/>
        <v>31.037407253542092</v>
      </c>
      <c r="J18" s="313">
        <f t="shared" si="2"/>
        <v>31.561748427109112</v>
      </c>
      <c r="K18" s="314">
        <f t="shared" si="3"/>
        <v>0.91823539117652586</v>
      </c>
      <c r="L18" s="313">
        <f t="shared" si="4"/>
        <v>28.499645790561363</v>
      </c>
      <c r="M18" s="315">
        <f t="shared" si="5"/>
        <v>28.981114413181636</v>
      </c>
      <c r="O18" s="41">
        <v>12</v>
      </c>
      <c r="P18" s="43">
        <f t="shared" ref="P18:P25" si="8">($P$26-$P$16)/($O$26-$O$16)+P17</f>
        <v>8.2305747126436759E-3</v>
      </c>
    </row>
    <row r="19" spans="1:16" x14ac:dyDescent="0.3">
      <c r="A19" s="2">
        <v>13</v>
      </c>
      <c r="B19" s="308">
        <f t="shared" si="6"/>
        <v>2033</v>
      </c>
      <c r="C19" s="309">
        <f>IF(A19&lt;='Table 3. Fixed Assumptions'!$C$23,C18*(1+'Table 3. Fixed Assumptions'!$C$19),0)</f>
        <v>2.885461419901961</v>
      </c>
      <c r="D19" s="309">
        <f>IF('Table 8. Avoided Fuel Costs'!A19&lt;='Table 3. Fixed Assumptions'!$C$23,C19+'Table 5. VOS Data Table'!$G$7*(1+'Table 3. Fixed Assumptions'!$C$19)^('Table 8. Avoided Fuel Costs'!B19-'Table 8. Avoided Fuel Costs'!$B$7),0)</f>
        <v>2.8196050325437025</v>
      </c>
      <c r="E19" s="310">
        <f>E18*(1+'Table 5. VOS Data Table'!$G$9)</f>
        <v>7670.327811494426</v>
      </c>
      <c r="F19" s="311">
        <f t="shared" si="0"/>
        <v>2.1627294898549608E-2</v>
      </c>
      <c r="G19" s="125">
        <f t="shared" si="7"/>
        <v>2.1516690228396723E-2</v>
      </c>
      <c r="H19" s="312">
        <f>H18*(1-'Table 3. Fixed Assumptions'!$C$22)</f>
        <v>1459.5153507172822</v>
      </c>
      <c r="I19" s="313">
        <f t="shared" si="1"/>
        <v>31.565368898922721</v>
      </c>
      <c r="J19" s="313">
        <f t="shared" si="2"/>
        <v>31.403939684973562</v>
      </c>
      <c r="K19" s="314">
        <f t="shared" si="3"/>
        <v>0.90632015903072427</v>
      </c>
      <c r="L19" s="313">
        <f t="shared" si="4"/>
        <v>28.608330160335118</v>
      </c>
      <c r="M19" s="315">
        <f t="shared" si="5"/>
        <v>28.46202360947651</v>
      </c>
      <c r="O19" s="41">
        <v>13</v>
      </c>
      <c r="P19" s="43">
        <f t="shared" si="8"/>
        <v>8.6763218390804569E-3</v>
      </c>
    </row>
    <row r="20" spans="1:16" x14ac:dyDescent="0.3">
      <c r="A20" s="2">
        <v>14</v>
      </c>
      <c r="B20" s="308">
        <f t="shared" si="6"/>
        <v>2034</v>
      </c>
      <c r="C20" s="309">
        <f>IF(A20&lt;='Table 3. Fixed Assumptions'!$C$23,C19*(1+'Table 3. Fixed Assumptions'!$C$19),0)</f>
        <v>2.9463446558618922</v>
      </c>
      <c r="D20" s="309">
        <f>IF('Table 8. Avoided Fuel Costs'!A20&lt;='Table 3. Fixed Assumptions'!$C$23,C20+'Table 5. VOS Data Table'!$G$7*(1+'Table 3. Fixed Assumptions'!$C$19)^('Table 8. Avoided Fuel Costs'!B20-'Table 8. Avoided Fuel Costs'!$B$7),0)</f>
        <v>2.8790986987303748</v>
      </c>
      <c r="E20" s="310">
        <f>E19*(1+'Table 5. VOS Data Table'!$G$9)</f>
        <v>7677.9981393059197</v>
      </c>
      <c r="F20" s="311">
        <f t="shared" si="0"/>
        <v>2.2105714451729912E-2</v>
      </c>
      <c r="G20" s="125">
        <f t="shared" si="7"/>
        <v>2.1516690228396723E-2</v>
      </c>
      <c r="H20" s="312">
        <f>H19*(1-'Table 3. Fixed Assumptions'!$C$22)</f>
        <v>1452.2177739636959</v>
      </c>
      <c r="I20" s="313">
        <f t="shared" si="1"/>
        <v>32.102311432968314</v>
      </c>
      <c r="J20" s="313">
        <f t="shared" si="2"/>
        <v>31.246919986548697</v>
      </c>
      <c r="K20" s="314">
        <f t="shared" si="3"/>
        <v>0.89377100312400326</v>
      </c>
      <c r="L20" s="313">
        <f t="shared" si="4"/>
        <v>28.692115092043249</v>
      </c>
      <c r="M20" s="315">
        <f t="shared" si="5"/>
        <v>27.927591020913095</v>
      </c>
      <c r="O20" s="41">
        <v>14</v>
      </c>
      <c r="P20" s="43">
        <f t="shared" si="8"/>
        <v>9.1220689655172379E-3</v>
      </c>
    </row>
    <row r="21" spans="1:16" x14ac:dyDescent="0.3">
      <c r="A21" s="2">
        <v>15</v>
      </c>
      <c r="B21" s="308">
        <f t="shared" si="6"/>
        <v>2035</v>
      </c>
      <c r="C21" s="309">
        <f>IF(A21&lt;='Table 3. Fixed Assumptions'!$C$23,C20*(1+'Table 3. Fixed Assumptions'!$C$19),0)</f>
        <v>3.008512528100578</v>
      </c>
      <c r="D21" s="309">
        <f>IF('Table 8. Avoided Fuel Costs'!A21&lt;='Table 3. Fixed Assumptions'!$C$23,C21+'Table 5. VOS Data Table'!$G$7*(1+'Table 3. Fixed Assumptions'!$C$19)^('Table 8. Avoided Fuel Costs'!B21-'Table 8. Avoided Fuel Costs'!$B$7),0)</f>
        <v>2.9398476812735854</v>
      </c>
      <c r="E21" s="310">
        <f>E20*(1+'Table 5. VOS Data Table'!$G$9)</f>
        <v>7685.6761374452244</v>
      </c>
      <c r="F21" s="311">
        <f t="shared" si="0"/>
        <v>2.259471717168807E-2</v>
      </c>
      <c r="G21" s="125">
        <f t="shared" si="7"/>
        <v>2.1516690228396723E-2</v>
      </c>
      <c r="H21" s="312">
        <f>H20*(1-'Table 3. Fixed Assumptions'!$C$22)</f>
        <v>1444.9566850938775</v>
      </c>
      <c r="I21" s="313">
        <f t="shared" si="1"/>
        <v>32.648387625036108</v>
      </c>
      <c r="J21" s="313">
        <f t="shared" si="2"/>
        <v>31.090685386615956</v>
      </c>
      <c r="K21" s="314">
        <f t="shared" si="3"/>
        <v>0.88061918574073339</v>
      </c>
      <c r="L21" s="313">
        <f t="shared" si="4"/>
        <v>28.750796526107134</v>
      </c>
      <c r="M21" s="315">
        <f t="shared" si="5"/>
        <v>27.379054049283063</v>
      </c>
      <c r="O21" s="41">
        <v>15</v>
      </c>
      <c r="P21" s="43">
        <f t="shared" si="8"/>
        <v>9.5678160919540189E-3</v>
      </c>
    </row>
    <row r="22" spans="1:16" x14ac:dyDescent="0.3">
      <c r="A22" s="2">
        <v>16</v>
      </c>
      <c r="B22" s="308">
        <f t="shared" si="6"/>
        <v>2036</v>
      </c>
      <c r="C22" s="309">
        <f>IF(A22&lt;='Table 3. Fixed Assumptions'!$C$23,C21*(1+'Table 3. Fixed Assumptions'!$C$19),0)</f>
        <v>3.0719921424434999</v>
      </c>
      <c r="D22" s="309">
        <f>IF('Table 8. Avoided Fuel Costs'!A22&lt;='Table 3. Fixed Assumptions'!$C$23,C22+'Table 5. VOS Data Table'!$G$7*(1+'Table 3. Fixed Assumptions'!$C$19)^('Table 8. Avoided Fuel Costs'!B22-'Table 8. Avoided Fuel Costs'!$B$7),0)</f>
        <v>3.0018784673484578</v>
      </c>
      <c r="E22" s="310">
        <f>E21*(1+'Table 5. VOS Data Table'!$G$9)</f>
        <v>7693.3618135826691</v>
      </c>
      <c r="F22" s="311">
        <f t="shared" si="0"/>
        <v>2.3094537169714695E-2</v>
      </c>
      <c r="G22" s="125">
        <f t="shared" si="7"/>
        <v>2.1516690228396723E-2</v>
      </c>
      <c r="H22" s="312">
        <f>H21*(1-'Table 3. Fixed Assumptions'!$C$22)</f>
        <v>1437.731901668408</v>
      </c>
      <c r="I22" s="313">
        <f t="shared" si="1"/>
        <v>33.203752843165645</v>
      </c>
      <c r="J22" s="313">
        <f t="shared" si="2"/>
        <v>30.935231959682874</v>
      </c>
      <c r="K22" s="314">
        <f t="shared" si="3"/>
        <v>0.86689708103379293</v>
      </c>
      <c r="L22" s="313">
        <f t="shared" si="4"/>
        <v>28.784236419107799</v>
      </c>
      <c r="M22" s="315">
        <f t="shared" si="5"/>
        <v>26.817662286952384</v>
      </c>
      <c r="O22" s="41">
        <v>16</v>
      </c>
      <c r="P22" s="43">
        <f t="shared" si="8"/>
        <v>1.00135632183908E-2</v>
      </c>
    </row>
    <row r="23" spans="1:16" x14ac:dyDescent="0.3">
      <c r="A23" s="2">
        <v>17</v>
      </c>
      <c r="B23" s="308">
        <f t="shared" si="6"/>
        <v>2037</v>
      </c>
      <c r="C23" s="309">
        <f>IF(A23&lt;='Table 3. Fixed Assumptions'!$C$23,C22*(1+'Table 3. Fixed Assumptions'!$C$19),0)</f>
        <v>3.1368111766490574</v>
      </c>
      <c r="D23" s="309">
        <f>IF('Table 8. Avoided Fuel Costs'!A23&lt;='Table 3. Fixed Assumptions'!$C$23,C23+'Table 5. VOS Data Table'!$G$7*(1+'Table 3. Fixed Assumptions'!$C$19)^('Table 8. Avoided Fuel Costs'!B23-'Table 8. Avoided Fuel Costs'!$B$7),0)</f>
        <v>3.06521810300951</v>
      </c>
      <c r="E23" s="310">
        <f>E22*(1+'Table 5. VOS Data Table'!$G$9)</f>
        <v>7701.0551753962509</v>
      </c>
      <c r="F23" s="311">
        <f t="shared" si="0"/>
        <v>2.3605413735899666E-2</v>
      </c>
      <c r="G23" s="125">
        <f t="shared" si="7"/>
        <v>2.1516690228396723E-2</v>
      </c>
      <c r="H23" s="312">
        <f>H22*(1-'Table 3. Fixed Assumptions'!$C$22)</f>
        <v>1430.543242160066</v>
      </c>
      <c r="I23" s="313">
        <f t="shared" si="1"/>
        <v>33.768565098283666</v>
      </c>
      <c r="J23" s="313">
        <f t="shared" si="2"/>
        <v>30.780555799884461</v>
      </c>
      <c r="K23" s="314">
        <f t="shared" si="3"/>
        <v>0.85263804350044148</v>
      </c>
      <c r="L23" s="313">
        <f t="shared" si="4"/>
        <v>28.792363277217877</v>
      </c>
      <c r="M23" s="315">
        <f t="shared" si="5"/>
        <v>26.244672875069654</v>
      </c>
      <c r="O23" s="41">
        <v>17</v>
      </c>
      <c r="P23" s="43">
        <f t="shared" si="8"/>
        <v>1.0459310344827581E-2</v>
      </c>
    </row>
    <row r="24" spans="1:16" x14ac:dyDescent="0.3">
      <c r="A24" s="2">
        <v>18</v>
      </c>
      <c r="B24" s="308">
        <f t="shared" si="6"/>
        <v>2038</v>
      </c>
      <c r="C24" s="309">
        <f>IF(A24&lt;='Table 3. Fixed Assumptions'!$C$23,C23*(1+'Table 3. Fixed Assumptions'!$C$19),0)</f>
        <v>3.2029978924763522</v>
      </c>
      <c r="D24" s="309">
        <f>IF('Table 8. Avoided Fuel Costs'!A24&lt;='Table 3. Fixed Assumptions'!$C$23,C24+'Table 5. VOS Data Table'!$G$7*(1+'Table 3. Fixed Assumptions'!$C$19)^('Table 8. Avoided Fuel Costs'!B24-'Table 8. Avoided Fuel Costs'!$B$7),0)</f>
        <v>3.1298942049830103</v>
      </c>
      <c r="E24" s="310">
        <f>E23*(1+'Table 5. VOS Data Table'!$G$9)</f>
        <v>7708.7562305716465</v>
      </c>
      <c r="F24" s="311">
        <f t="shared" si="0"/>
        <v>2.4127591453692872E-2</v>
      </c>
      <c r="G24" s="125">
        <f t="shared" si="7"/>
        <v>2.1516690228396723E-2</v>
      </c>
      <c r="H24" s="312">
        <f>H23*(1-'Table 3. Fixed Assumptions'!$C$22)</f>
        <v>1423.3905259492658</v>
      </c>
      <c r="I24" s="313">
        <f t="shared" si="1"/>
        <v>34.342985089160905</v>
      </c>
      <c r="J24" s="313">
        <f t="shared" si="2"/>
        <v>30.62665302088504</v>
      </c>
      <c r="K24" s="314">
        <f t="shared" si="3"/>
        <v>0.83787627436269907</v>
      </c>
      <c r="L24" s="313">
        <f t="shared" si="4"/>
        <v>28.775172396999867</v>
      </c>
      <c r="M24" s="315">
        <f t="shared" si="5"/>
        <v>25.66134592933826</v>
      </c>
      <c r="O24" s="41">
        <v>18</v>
      </c>
      <c r="P24" s="43">
        <f t="shared" si="8"/>
        <v>1.0905057471264362E-2</v>
      </c>
    </row>
    <row r="25" spans="1:16" x14ac:dyDescent="0.3">
      <c r="A25" s="2">
        <v>19</v>
      </c>
      <c r="B25" s="308">
        <f t="shared" si="6"/>
        <v>2039</v>
      </c>
      <c r="C25" s="309">
        <f>IF(A25&lt;='Table 3. Fixed Assumptions'!$C$23,C24*(1+'Table 3. Fixed Assumptions'!$C$19),0)</f>
        <v>3.270581148007603</v>
      </c>
      <c r="D25" s="309">
        <f>IF('Table 8. Avoided Fuel Costs'!A25&lt;='Table 3. Fixed Assumptions'!$C$23,C25+'Table 5. VOS Data Table'!$G$7*(1+'Table 3. Fixed Assumptions'!$C$19)^('Table 8. Avoided Fuel Costs'!B25-'Table 8. Avoided Fuel Costs'!$B$7),0)</f>
        <v>3.1959349727081516</v>
      </c>
      <c r="E25" s="310">
        <f>E24*(1+'Table 5. VOS Data Table'!$G$9)</f>
        <v>7716.464986802217</v>
      </c>
      <c r="F25" s="311">
        <f t="shared" si="0"/>
        <v>2.466132031699915E-2</v>
      </c>
      <c r="G25" s="125">
        <f t="shared" si="7"/>
        <v>2.1516690228396723E-2</v>
      </c>
      <c r="H25" s="312">
        <f>H24*(1-'Table 3. Fixed Assumptions'!$C$22)</f>
        <v>1416.2735733195195</v>
      </c>
      <c r="I25" s="313">
        <f t="shared" si="1"/>
        <v>34.927176248133655</v>
      </c>
      <c r="J25" s="313">
        <f t="shared" si="2"/>
        <v>30.473519755780615</v>
      </c>
      <c r="K25" s="314">
        <f t="shared" si="3"/>
        <v>0.82264668659204854</v>
      </c>
      <c r="L25" s="313">
        <f t="shared" si="4"/>
        <v>28.732725812543649</v>
      </c>
      <c r="M25" s="315">
        <f t="shared" si="5"/>
        <v>25.068940055890256</v>
      </c>
      <c r="O25" s="41">
        <v>19</v>
      </c>
      <c r="P25" s="43">
        <f t="shared" si="8"/>
        <v>1.1350804597701143E-2</v>
      </c>
    </row>
    <row r="26" spans="1:16" x14ac:dyDescent="0.3">
      <c r="A26" s="2">
        <v>20</v>
      </c>
      <c r="B26" s="308">
        <f t="shared" si="6"/>
        <v>2040</v>
      </c>
      <c r="C26" s="309">
        <f>IF(A26&lt;='Table 3. Fixed Assumptions'!$C$23,C25*(1+'Table 3. Fixed Assumptions'!$C$19),0)</f>
        <v>3.3395904102305631</v>
      </c>
      <c r="D26" s="309">
        <f>IF('Table 8. Avoided Fuel Costs'!A26&lt;='Table 3. Fixed Assumptions'!$C$23,C26+'Table 5. VOS Data Table'!$G$7*(1+'Table 3. Fixed Assumptions'!$C$19)^('Table 8. Avoided Fuel Costs'!B26-'Table 8. Avoided Fuel Costs'!$B$7),0)</f>
        <v>3.2633692006322934</v>
      </c>
      <c r="E26" s="310">
        <f>E25*(1+'Table 5. VOS Data Table'!$G$9)</f>
        <v>7724.181451789018</v>
      </c>
      <c r="F26" s="311">
        <f t="shared" si="0"/>
        <v>2.5206855849863517E-2</v>
      </c>
      <c r="G26" s="125">
        <f t="shared" si="7"/>
        <v>2.1516690228396723E-2</v>
      </c>
      <c r="H26" s="312">
        <f>H25*(1-'Table 3. Fixed Assumptions'!$C$22)</f>
        <v>1409.1922054529218</v>
      </c>
      <c r="I26" s="313">
        <f t="shared" si="1"/>
        <v>35.52130478760305</v>
      </c>
      <c r="J26" s="313">
        <f t="shared" si="2"/>
        <v>30.321152157001709</v>
      </c>
      <c r="K26" s="314">
        <f t="shared" si="3"/>
        <v>0.80698476931294338</v>
      </c>
      <c r="L26" s="313">
        <f t="shared" si="4"/>
        <v>28.665151949718599</v>
      </c>
      <c r="M26" s="315">
        <f t="shared" si="5"/>
        <v>24.46870797872068</v>
      </c>
      <c r="O26" s="41">
        <v>20</v>
      </c>
      <c r="P26" s="42">
        <f>'Table 3. Fixed Assumptions'!G19</f>
        <v>1.1796551724137927E-2</v>
      </c>
    </row>
    <row r="27" spans="1:16" x14ac:dyDescent="0.3">
      <c r="A27" s="2">
        <v>21</v>
      </c>
      <c r="B27" s="308">
        <f t="shared" si="6"/>
        <v>2041</v>
      </c>
      <c r="C27" s="309">
        <f>IF(A27&lt;='Table 3. Fixed Assumptions'!$C$23,C26*(1+'Table 3. Fixed Assumptions'!$C$19),0)</f>
        <v>3.4100557678864276</v>
      </c>
      <c r="D27" s="309">
        <f>IF('Table 8. Avoided Fuel Costs'!A27&lt;='Table 3. Fixed Assumptions'!$C$23,C27+'Table 5. VOS Data Table'!$G$7*(1+'Table 3. Fixed Assumptions'!$C$19)^('Table 8. Avoided Fuel Costs'!B27-'Table 8. Avoided Fuel Costs'!$B$7),0)</f>
        <v>3.3322262907656341</v>
      </c>
      <c r="E27" s="310">
        <f>E26*(1+'Table 5. VOS Data Table'!$G$9)</f>
        <v>7731.9056332408063</v>
      </c>
      <c r="F27" s="311">
        <f t="shared" si="0"/>
        <v>2.5764459228803927E-2</v>
      </c>
      <c r="G27" s="125">
        <f t="shared" si="7"/>
        <v>2.1516690228396723E-2</v>
      </c>
      <c r="H27" s="312">
        <f>H26*(1-'Table 3. Fixed Assumptions'!$C$22)</f>
        <v>1402.1462444256572</v>
      </c>
      <c r="I27" s="313">
        <f t="shared" si="1"/>
        <v>36.125539747325391</v>
      </c>
      <c r="J27" s="313">
        <f t="shared" si="2"/>
        <v>30.169546396216703</v>
      </c>
      <c r="K27" s="314">
        <f t="shared" si="3"/>
        <v>0.79092645230943626</v>
      </c>
      <c r="L27" s="313">
        <f t="shared" si="4"/>
        <v>28.572644990115599</v>
      </c>
      <c r="M27" s="315">
        <f t="shared" si="5"/>
        <v>23.861892298944614</v>
      </c>
      <c r="O27" s="41">
        <v>21</v>
      </c>
      <c r="P27" s="43">
        <f>($P$36-$P$26)/($O$36-$O$26)+P26</f>
        <v>1.2015977011494251E-2</v>
      </c>
    </row>
    <row r="28" spans="1:16" x14ac:dyDescent="0.3">
      <c r="A28" s="2">
        <v>22</v>
      </c>
      <c r="B28" s="308">
        <f t="shared" si="6"/>
        <v>2042</v>
      </c>
      <c r="C28" s="309">
        <f>IF(A28&lt;='Table 3. Fixed Assumptions'!$C$23,C27*(1+'Table 3. Fixed Assumptions'!$C$19),0)</f>
        <v>3.482007944588831</v>
      </c>
      <c r="D28" s="309">
        <f>IF('Table 8. Avoided Fuel Costs'!A28&lt;='Table 3. Fixed Assumptions'!$C$23,C28+'Table 5. VOS Data Table'!$G$7*(1+'Table 3. Fixed Assumptions'!$C$19)^('Table 8. Avoided Fuel Costs'!B28-'Table 8. Avoided Fuel Costs'!$B$7),0)</f>
        <v>3.4025362655007889</v>
      </c>
      <c r="E28" s="310">
        <f>E27*(1+'Table 5. VOS Data Table'!$G$9)</f>
        <v>7739.6375388740462</v>
      </c>
      <c r="F28" s="311">
        <f t="shared" si="0"/>
        <v>2.6334397407850214E-2</v>
      </c>
      <c r="G28" s="125">
        <f t="shared" si="7"/>
        <v>2.1516690228396723E-2</v>
      </c>
      <c r="H28" s="312">
        <f>H27*(1-'Table 3. Fixed Assumptions'!$C$22)</f>
        <v>1395.1355132035289</v>
      </c>
      <c r="I28" s="313">
        <f t="shared" si="1"/>
        <v>36.740053042506794</v>
      </c>
      <c r="J28" s="313">
        <f t="shared" si="2"/>
        <v>30.018698664235618</v>
      </c>
      <c r="K28" s="314">
        <f t="shared" si="3"/>
        <v>0.77815346044180878</v>
      </c>
      <c r="L28" s="313">
        <f t="shared" si="4"/>
        <v>28.589399411842265</v>
      </c>
      <c r="M28" s="315">
        <f t="shared" si="5"/>
        <v>23.359154243534849</v>
      </c>
      <c r="O28" s="41">
        <v>22</v>
      </c>
      <c r="P28" s="43">
        <f t="shared" ref="P28:P35" si="9">($P$36-$P$26)/($O$36-$O$26)+P27</f>
        <v>1.2235402298850574E-2</v>
      </c>
    </row>
    <row r="29" spans="1:16" x14ac:dyDescent="0.3">
      <c r="A29" s="2">
        <v>23</v>
      </c>
      <c r="B29" s="308">
        <f t="shared" si="6"/>
        <v>2043</v>
      </c>
      <c r="C29" s="309">
        <f>IF(A29&lt;='Table 3. Fixed Assumptions'!$C$23,C28*(1+'Table 3. Fixed Assumptions'!$C$19),0)</f>
        <v>3.5554783122196549</v>
      </c>
      <c r="D29" s="309">
        <f>IF('Table 8. Avoided Fuel Costs'!A29&lt;='Table 3. Fixed Assumptions'!$C$23,C29+'Table 5. VOS Data Table'!$G$7*(1+'Table 3. Fixed Assumptions'!$C$19)^('Table 8. Avoided Fuel Costs'!B29-'Table 8. Avoided Fuel Costs'!$B$7),0)</f>
        <v>3.4743297807028553</v>
      </c>
      <c r="E29" s="310">
        <f>E28*(1+'Table 5. VOS Data Table'!$G$9)</f>
        <v>7747.3771764129197</v>
      </c>
      <c r="F29" s="311">
        <f t="shared" si="0"/>
        <v>2.6916943246349002E-2</v>
      </c>
      <c r="G29" s="125">
        <f t="shared" si="7"/>
        <v>2.1516690228396723E-2</v>
      </c>
      <c r="H29" s="312">
        <f>H28*(1-'Table 3. Fixed Assumptions'!$C$22)</f>
        <v>1388.1598356375114</v>
      </c>
      <c r="I29" s="313">
        <f t="shared" si="1"/>
        <v>37.365019512716053</v>
      </c>
      <c r="J29" s="313">
        <f t="shared" si="2"/>
        <v>29.868605170914442</v>
      </c>
      <c r="K29" s="314">
        <f t="shared" si="3"/>
        <v>0.76525558323495513</v>
      </c>
      <c r="L29" s="313">
        <f t="shared" si="4"/>
        <v>28.593789799789</v>
      </c>
      <c r="M29" s="315">
        <f t="shared" si="5"/>
        <v>22.857116870482727</v>
      </c>
      <c r="O29" s="41">
        <v>23</v>
      </c>
      <c r="P29" s="43">
        <f t="shared" si="9"/>
        <v>1.2454827586206897E-2</v>
      </c>
    </row>
    <row r="30" spans="1:16" x14ac:dyDescent="0.3">
      <c r="A30" s="2">
        <v>24</v>
      </c>
      <c r="B30" s="308">
        <f t="shared" si="6"/>
        <v>2044</v>
      </c>
      <c r="C30" s="309">
        <f>IF(A30&lt;='Table 3. Fixed Assumptions'!$C$23,C29*(1+'Table 3. Fixed Assumptions'!$C$19),0)</f>
        <v>3.6304989046074891</v>
      </c>
      <c r="D30" s="309">
        <f>IF('Table 8. Avoided Fuel Costs'!A30&lt;='Table 3. Fixed Assumptions'!$C$23,C30+'Table 5. VOS Data Table'!$G$7*(1+'Table 3. Fixed Assumptions'!$C$19)^('Table 8. Avoided Fuel Costs'!B30-'Table 8. Avoided Fuel Costs'!$B$7),0)</f>
        <v>3.5476381390756848</v>
      </c>
      <c r="E30" s="310">
        <f>E29*(1+'Table 5. VOS Data Table'!$G$9)</f>
        <v>7755.1245535893313</v>
      </c>
      <c r="F30" s="311">
        <f t="shared" si="0"/>
        <v>2.7512375639595809E-2</v>
      </c>
      <c r="G30" s="125">
        <f t="shared" si="7"/>
        <v>2.1516690228396723E-2</v>
      </c>
      <c r="H30" s="312">
        <f>H29*(1-'Table 3. Fixed Assumptions'!$C$22)</f>
        <v>1381.2190364593239</v>
      </c>
      <c r="I30" s="313">
        <f t="shared" si="1"/>
        <v>38.000616971629498</v>
      </c>
      <c r="J30" s="313">
        <f t="shared" si="2"/>
        <v>29.719262145059872</v>
      </c>
      <c r="K30" s="314">
        <f t="shared" si="3"/>
        <v>0.75224606211603151</v>
      </c>
      <c r="L30" s="313">
        <f t="shared" si="4"/>
        <v>28.585814474887925</v>
      </c>
      <c r="M30" s="315">
        <f t="shared" si="5"/>
        <v>22.356197917615333</v>
      </c>
      <c r="O30" s="41">
        <v>24</v>
      </c>
      <c r="P30" s="43">
        <f t="shared" si="9"/>
        <v>1.267425287356322E-2</v>
      </c>
    </row>
    <row r="31" spans="1:16" x14ac:dyDescent="0.3">
      <c r="A31" s="2">
        <v>25</v>
      </c>
      <c r="B31" s="316">
        <f t="shared" si="6"/>
        <v>2045</v>
      </c>
      <c r="C31" s="317">
        <f>IF(A31&lt;='Table 3. Fixed Assumptions'!$C$23,C30*(1+'Table 3. Fixed Assumptions'!$C$19),0)</f>
        <v>3.707102431494707</v>
      </c>
      <c r="D31" s="317">
        <f>IF('Table 8. Avoided Fuel Costs'!A31&lt;='Table 3. Fixed Assumptions'!$C$23,C31+'Table 5. VOS Data Table'!$G$7*(1+'Table 3. Fixed Assumptions'!$C$19)^('Table 8. Avoided Fuel Costs'!B31-'Table 8. Avoided Fuel Costs'!$B$7),0)</f>
        <v>3.6224933038101814</v>
      </c>
      <c r="E31" s="318">
        <f>E30*(1+'Table 5. VOS Data Table'!$G$9)</f>
        <v>7762.8796781429201</v>
      </c>
      <c r="F31" s="319">
        <f>E31*D31/1000/1000</f>
        <v>2.8120979652356867E-2</v>
      </c>
      <c r="G31" s="137">
        <f t="shared" si="7"/>
        <v>2.1516690228396723E-2</v>
      </c>
      <c r="H31" s="320">
        <f>H30*(1-'Table 3. Fixed Assumptions'!$C$22)</f>
        <v>1374.3129412770272</v>
      </c>
      <c r="I31" s="321">
        <f t="shared" si="1"/>
        <v>38.647026257622002</v>
      </c>
      <c r="J31" s="321">
        <f t="shared" si="2"/>
        <v>29.570665834334573</v>
      </c>
      <c r="K31" s="322">
        <f t="shared" si="3"/>
        <v>0.73913805437700286</v>
      </c>
      <c r="L31" s="321">
        <f t="shared" si="4"/>
        <v>28.565487795515669</v>
      </c>
      <c r="M31" s="323">
        <f t="shared" si="5"/>
        <v>21.856804411422569</v>
      </c>
      <c r="O31" s="41">
        <v>25</v>
      </c>
      <c r="P31" s="43">
        <f t="shared" si="9"/>
        <v>1.2893678160919544E-2</v>
      </c>
    </row>
    <row r="32" spans="1:16" ht="19.5" thickBot="1" x14ac:dyDescent="0.35">
      <c r="B32" s="116"/>
      <c r="C32" s="117"/>
      <c r="D32" s="117"/>
      <c r="E32" s="116"/>
      <c r="F32" s="117"/>
      <c r="G32" s="117"/>
      <c r="H32" s="116"/>
      <c r="I32" s="117"/>
      <c r="J32" s="117"/>
      <c r="K32" s="117"/>
      <c r="L32" s="117"/>
      <c r="M32" s="117"/>
      <c r="O32" s="41">
        <v>26</v>
      </c>
      <c r="P32" s="43">
        <f t="shared" si="9"/>
        <v>1.3113103448275867E-2</v>
      </c>
    </row>
    <row r="33" spans="2:16" ht="19.5" thickBot="1" x14ac:dyDescent="0.35">
      <c r="B33" s="116"/>
      <c r="C33" s="117"/>
      <c r="D33" s="117"/>
      <c r="E33" s="117"/>
      <c r="F33" s="117"/>
      <c r="G33" s="117"/>
      <c r="H33" s="116"/>
      <c r="I33" s="56"/>
      <c r="J33" s="57"/>
      <c r="K33" s="58" t="s">
        <v>173</v>
      </c>
      <c r="L33" s="59">
        <f>SUM(L7:L31)</f>
        <v>703.38890073825178</v>
      </c>
      <c r="M33" s="60">
        <f>SUM(M7:M31)</f>
        <v>703.38890073825166</v>
      </c>
      <c r="O33" s="41">
        <v>27</v>
      </c>
      <c r="P33" s="43">
        <f t="shared" si="9"/>
        <v>1.333252873563219E-2</v>
      </c>
    </row>
    <row r="34" spans="2:16" x14ac:dyDescent="0.3">
      <c r="B34" s="2"/>
      <c r="E34" s="2"/>
      <c r="H34" s="31"/>
      <c r="M34" s="5"/>
      <c r="O34" s="41">
        <v>28</v>
      </c>
      <c r="P34" s="43">
        <f t="shared" si="9"/>
        <v>1.3551954022988514E-2</v>
      </c>
    </row>
    <row r="35" spans="2:16" x14ac:dyDescent="0.3">
      <c r="B35" s="2"/>
      <c r="E35" s="39"/>
      <c r="H35" s="2"/>
      <c r="O35" s="41">
        <v>29</v>
      </c>
      <c r="P35" s="43">
        <f t="shared" si="9"/>
        <v>1.3771379310344837E-2</v>
      </c>
    </row>
    <row r="36" spans="2:16" ht="19.5" thickBot="1" x14ac:dyDescent="0.35">
      <c r="B36" s="2"/>
      <c r="D36" s="88"/>
      <c r="E36" s="2"/>
      <c r="H36" s="2"/>
      <c r="O36" s="44">
        <v>30</v>
      </c>
      <c r="P36" s="45">
        <f>'Table 3. Fixed Assumptions'!G20</f>
        <v>1.3990804597701155E-2</v>
      </c>
    </row>
    <row r="37" spans="2:16" x14ac:dyDescent="0.3">
      <c r="B37" s="2"/>
      <c r="E37" s="2"/>
      <c r="H37" s="2"/>
    </row>
    <row r="38" spans="2:16" x14ac:dyDescent="0.3">
      <c r="B38" s="2"/>
      <c r="E38" s="2"/>
      <c r="H38" s="2"/>
    </row>
    <row r="39" spans="2:16" x14ac:dyDescent="0.3">
      <c r="B39" s="2"/>
      <c r="E39" s="2"/>
      <c r="H39" s="2"/>
    </row>
    <row r="40" spans="2:16" x14ac:dyDescent="0.3">
      <c r="B40" s="2"/>
      <c r="E40" s="2"/>
      <c r="H40" s="2"/>
    </row>
    <row r="45" spans="2:16" x14ac:dyDescent="0.3">
      <c r="N45" s="91"/>
    </row>
    <row r="46" spans="2:16" x14ac:dyDescent="0.3">
      <c r="N46" s="92"/>
    </row>
  </sheetData>
  <mergeCells count="4">
    <mergeCell ref="F4:G4"/>
    <mergeCell ref="I4:J4"/>
    <mergeCell ref="L4:M4"/>
    <mergeCell ref="O5:P5"/>
  </mergeCells>
  <phoneticPr fontId="3" type="noConversion"/>
  <pageMargins left="0.75" right="0.75" top="1" bottom="1" header="0.5" footer="0.5"/>
  <pageSetup scale="75" orientation="landscape" r:id="rId1"/>
  <headerFooter alignWithMargins="0">
    <oddHeader>&amp;LNorthern States Power Company&amp;RDocket No. E002/M-13-867
Attachment A -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B32B8C66554D9FA1059C3FEBDF98" ma:contentTypeVersion="4" ma:contentTypeDescription="Create a new document." ma:contentTypeScope="" ma:versionID="a5d9aec1506df802424fd5cd11962cfe">
  <xsd:schema xmlns:xsd="http://www.w3.org/2001/XMLSchema" xmlns:xs="http://www.w3.org/2001/XMLSchema" xmlns:p="http://schemas.microsoft.com/office/2006/metadata/properties" xmlns:ns2="e7d7c51e-ddc1-4230-917e-759a9b5dd38f" xmlns:ns3="99fe2214-dda8-4fa0-af82-a361850c033e" targetNamespace="http://schemas.microsoft.com/office/2006/metadata/properties" ma:root="true" ma:fieldsID="cc588a8c41581cb207f4ea6e2bfd5b91" ns2:_="" ns3:_="">
    <xsd:import namespace="e7d7c51e-ddc1-4230-917e-759a9b5dd38f"/>
    <xsd:import namespace="99fe2214-dda8-4fa0-af82-a361850c03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7c51e-ddc1-4230-917e-759a9b5dd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e2214-dda8-4fa0-af82-a361850c033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0A7DBB-B704-4195-8078-22ED7B10BE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775C1-B58F-4AAD-8E27-DA2A33BFBB99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e7d7c51e-ddc1-4230-917e-759a9b5dd38f"/>
    <ds:schemaRef ds:uri="99fe2214-dda8-4fa0-af82-a361850c03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C6B986-B188-4D32-8C5D-B80D0F97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7c51e-ddc1-4230-917e-759a9b5dd38f"/>
    <ds:schemaRef ds:uri="99fe2214-dda8-4fa0-af82-a361850c03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Tariff</vt:lpstr>
      <vt:lpstr>Index</vt:lpstr>
      <vt:lpstr>Fig. ES-1</vt:lpstr>
      <vt:lpstr>Fig. ES-2 </vt:lpstr>
      <vt:lpstr>Table 3. Fixed Assumptions</vt:lpstr>
      <vt:lpstr>Table 4. Enviroment Costs</vt:lpstr>
      <vt:lpstr>Table 5. VOS Data Table</vt:lpstr>
      <vt:lpstr>Table 6. Azimuth and Tilt</vt:lpstr>
      <vt:lpstr>Table 8. Avoided Fuel Costs</vt:lpstr>
      <vt:lpstr>Table 9. Avoided Fixed O&amp;M</vt:lpstr>
      <vt:lpstr>Table 10. Avoided Variable O&amp;M</vt:lpstr>
      <vt:lpstr>Table 11. Avoided Gen. Cap.</vt:lpstr>
      <vt:lpstr>Table 12. Avoided Reserve Cap. </vt:lpstr>
      <vt:lpstr>Table 13. Avoided Trans. Cap.</vt:lpstr>
      <vt:lpstr>Table 14 Dist. Deferrable Cost</vt:lpstr>
      <vt:lpstr>Table 15. Avoided Dist - System</vt:lpstr>
      <vt:lpstr>Table 17. Avoided Enviromental</vt:lpstr>
      <vt:lpstr>Table 18. Inflation Adj. VOS</vt:lpstr>
      <vt:lpstr>'Fig. ES-1'!Print_Area</vt:lpstr>
      <vt:lpstr>'Fig. ES-2 '!Print_Area</vt:lpstr>
      <vt:lpstr>Index!Print_Area</vt:lpstr>
      <vt:lpstr>'Table 10. Avoided Variable O&amp;M'!Print_Area</vt:lpstr>
      <vt:lpstr>'Table 11. Avoided Gen. Cap.'!Print_Area</vt:lpstr>
      <vt:lpstr>'Table 12. Avoided Reserve Cap. '!Print_Area</vt:lpstr>
      <vt:lpstr>'Table 13. Avoided Trans. Cap.'!Print_Area</vt:lpstr>
      <vt:lpstr>'Table 14 Dist. Deferrable Cost'!Print_Area</vt:lpstr>
      <vt:lpstr>'Table 15. Avoided Dist - System'!Print_Area</vt:lpstr>
      <vt:lpstr>'Table 17. Avoided Enviromental'!Print_Area</vt:lpstr>
      <vt:lpstr>'Table 18. Inflation Adj. VOS'!Print_Area</vt:lpstr>
      <vt:lpstr>'Table 3. Fixed Assumptions'!Print_Area</vt:lpstr>
      <vt:lpstr>'Table 4. Enviroment Costs'!Print_Area</vt:lpstr>
      <vt:lpstr>'Table 5. VOS Data Table'!Print_Area</vt:lpstr>
      <vt:lpstr>'Table 6. Azimuth and Tilt'!Print_Area</vt:lpstr>
      <vt:lpstr>'Table 8. Avoided Fuel Costs'!Print_Area</vt:lpstr>
      <vt:lpstr>'Table 9. Avoided Fixed O&amp;M'!Print_Area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Paluck, Nick</dc:creator>
  <cp:keywords/>
  <dc:description/>
  <cp:lastModifiedBy>Al Krug</cp:lastModifiedBy>
  <cp:revision/>
  <cp:lastPrinted>2020-09-01T12:54:23Z</cp:lastPrinted>
  <dcterms:created xsi:type="dcterms:W3CDTF">2014-05-15T06:46:32Z</dcterms:created>
  <dcterms:modified xsi:type="dcterms:W3CDTF">2020-09-01T12:54:35Z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0x010100C179B32B8C66554D9FA1059C3FEBDF98</vt:lpwstr>
  </property>
</Properties>
</file>