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mac/Desktop/"/>
    </mc:Choice>
  </mc:AlternateContent>
  <xr:revisionPtr revIDLastSave="0" documentId="13_ncr:1_{F4B2A1F8-0E82-5941-9C12-A0877EC5F268}" xr6:coauthVersionLast="46" xr6:coauthVersionMax="46" xr10:uidLastSave="{00000000-0000-0000-0000-000000000000}"/>
  <bookViews>
    <workbookView xWindow="0" yWindow="500" windowWidth="28800" windowHeight="13860" xr2:uid="{CDBF4D92-62CD-CB40-A69A-E01874B00A66}"/>
  </bookViews>
  <sheets>
    <sheet name="LG&amp;E" sheetId="2" r:id="rId1"/>
    <sheet name="KU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G30" i="3"/>
  <c r="G29" i="3"/>
  <c r="J9" i="3"/>
  <c r="D25" i="3"/>
  <c r="D8" i="3"/>
  <c r="D7" i="3"/>
  <c r="L8" i="3"/>
  <c r="M8" i="3" s="1"/>
  <c r="I8" i="3"/>
  <c r="H8" i="3"/>
  <c r="L7" i="3"/>
  <c r="I7" i="3"/>
  <c r="H7" i="3"/>
  <c r="H9" i="3" s="1"/>
  <c r="I26" i="3" l="1"/>
  <c r="L9" i="3"/>
  <c r="I25" i="3" s="1"/>
  <c r="I27" i="3" s="1"/>
  <c r="I9" i="3"/>
  <c r="J8" i="3"/>
  <c r="M7" i="3"/>
  <c r="H19" i="3"/>
  <c r="G25" i="3"/>
  <c r="H25" i="3"/>
  <c r="H10" i="3"/>
  <c r="G26" i="3"/>
  <c r="H26" i="3"/>
  <c r="H16" i="3"/>
  <c r="I19" i="3"/>
  <c r="J7" i="3"/>
  <c r="M9" i="3"/>
  <c r="J19" i="3" l="1"/>
  <c r="H27" i="3" s="1"/>
  <c r="G27" i="3"/>
  <c r="G30" i="2" l="1"/>
  <c r="G29" i="2"/>
  <c r="I27" i="2"/>
  <c r="G27" i="2"/>
  <c r="I26" i="2"/>
  <c r="I25" i="2"/>
  <c r="H27" i="2"/>
  <c r="J19" i="2"/>
  <c r="H19" i="2"/>
  <c r="I19" i="2"/>
  <c r="H26" i="2"/>
  <c r="H25" i="2"/>
  <c r="G26" i="2"/>
  <c r="G25" i="2"/>
  <c r="D27" i="2"/>
  <c r="D26" i="2"/>
  <c r="D25" i="2"/>
  <c r="I14" i="2"/>
  <c r="J14" i="2" s="1"/>
  <c r="I13" i="2"/>
  <c r="J13" i="2" s="1"/>
  <c r="I8" i="2"/>
  <c r="J8" i="2" s="1"/>
  <c r="H8" i="2"/>
  <c r="I7" i="2"/>
  <c r="I9" i="2" s="1"/>
  <c r="H10" i="2" s="1"/>
  <c r="H7" i="2"/>
  <c r="H9" i="2" s="1"/>
  <c r="H15" i="2"/>
  <c r="H14" i="2"/>
  <c r="H13" i="2"/>
  <c r="L14" i="2"/>
  <c r="M14" i="2" s="1"/>
  <c r="L13" i="2"/>
  <c r="M13" i="2" s="1"/>
  <c r="L8" i="2"/>
  <c r="M8" i="2" s="1"/>
  <c r="L7" i="2"/>
  <c r="M7" i="2" s="1"/>
  <c r="I15" i="2" l="1"/>
  <c r="J7" i="2"/>
  <c r="L15" i="2"/>
  <c r="M15" i="2" s="1"/>
  <c r="L9" i="2"/>
  <c r="H16" i="2" l="1"/>
  <c r="J15" i="2"/>
  <c r="M9" i="2"/>
</calcChain>
</file>

<file path=xl/sharedStrings.xml><?xml version="1.0" encoding="utf-8"?>
<sst xmlns="http://schemas.openxmlformats.org/spreadsheetml/2006/main" count="175" uniqueCount="75">
  <si>
    <t>Proposed Residential Rate Changes</t>
  </si>
  <si>
    <t>Electricity</t>
  </si>
  <si>
    <t>meter fee</t>
  </si>
  <si>
    <t>current</t>
  </si>
  <si>
    <t>proposed</t>
  </si>
  <si>
    <t>increase</t>
  </si>
  <si>
    <t>$0.45/day</t>
  </si>
  <si>
    <t>$0.52/day</t>
  </si>
  <si>
    <t>$0.07/day</t>
  </si>
  <si>
    <t>usage rate</t>
  </si>
  <si>
    <t>$0.10482/kWh</t>
  </si>
  <si>
    <t>$0.09278/kWh</t>
  </si>
  <si>
    <t>average use</t>
  </si>
  <si>
    <t>894/kWh/mo</t>
  </si>
  <si>
    <t>$0.78/day</t>
  </si>
  <si>
    <t>$0.65/day</t>
  </si>
  <si>
    <t>$0.13/day</t>
  </si>
  <si>
    <t>$0.73457/ccf</t>
  </si>
  <si>
    <t>$0.85073/ccf</t>
  </si>
  <si>
    <t>$0.11616/ccf</t>
  </si>
  <si>
    <t>54 ccf/mo</t>
  </si>
  <si>
    <r>
      <rPr>
        <b/>
        <sz val="12"/>
        <color theme="1"/>
        <rFont val="Calibri"/>
        <family val="2"/>
        <scheme val="minor"/>
      </rPr>
      <t>Natural Gas</t>
    </r>
    <r>
      <rPr>
        <sz val="12"/>
        <color theme="1"/>
        <rFont val="Calibri"/>
        <family val="2"/>
        <scheme val="minor"/>
      </rPr>
      <t xml:space="preserve"> (supply cost omitted since constant)</t>
    </r>
  </si>
  <si>
    <t>$0.01204/kWh</t>
  </si>
  <si>
    <t>$25.55</t>
  </si>
  <si>
    <t>$129.17</t>
  </si>
  <si>
    <t>$47.45</t>
  </si>
  <si>
    <t>$75.27</t>
  </si>
  <si>
    <t>($0.01204/kWh)*(894 kWh/mo)*(12 months/years)</t>
  </si>
  <si>
    <t>($0.07/day)*(365 days/year)</t>
  </si>
  <si>
    <t>($0.13/day)*(365 days/year)</t>
  </si>
  <si>
    <t>($0.11616/ccf)*(54 ccf/mo)*(12 months/years)</t>
  </si>
  <si>
    <t>$154.72</t>
  </si>
  <si>
    <t>$278.17</t>
  </si>
  <si>
    <t>$123.45</t>
  </si>
  <si>
    <t>Based on page one of "Customer Notice of Rate Adjustment"</t>
  </si>
  <si>
    <t>Monthly Bill Increase</t>
  </si>
  <si>
    <t>Gas</t>
  </si>
  <si>
    <t>Based on page two of "Customer Notice of Rate Adjustment," "Monthly Bill $ Increase" column</t>
  </si>
  <si>
    <t>$11.74/mo</t>
  </si>
  <si>
    <t>$6.17/mo</t>
  </si>
  <si>
    <t>Total</t>
  </si>
  <si>
    <t>$17.91/mo</t>
  </si>
  <si>
    <r>
      <t xml:space="preserve">(12 months)*$17.91 = </t>
    </r>
    <r>
      <rPr>
        <sz val="12"/>
        <color rgb="FFFF0000"/>
        <rFont val="Calibri (Body)"/>
      </rPr>
      <t>$214.92</t>
    </r>
  </si>
  <si>
    <t>($214.92/$278.92)*100 = 77% difference</t>
  </si>
  <si>
    <t>% increase</t>
  </si>
  <si>
    <t>kWh/mo</t>
  </si>
  <si>
    <t>ccf/mo</t>
  </si>
  <si>
    <t>Annual Increase</t>
  </si>
  <si>
    <t>Monthly Increase</t>
  </si>
  <si>
    <t>meter fee per day</t>
  </si>
  <si>
    <t>usage rate per kWh</t>
  </si>
  <si>
    <t>usage rate per ccf</t>
  </si>
  <si>
    <t>average use per month</t>
  </si>
  <si>
    <t>Avg Monthly Bill current</t>
  </si>
  <si>
    <t>Avg Monthly Bill proposed</t>
  </si>
  <si>
    <t>% Increase</t>
  </si>
  <si>
    <t>Meter fee</t>
  </si>
  <si>
    <t>Usage charge</t>
  </si>
  <si>
    <t>average use per month ccf</t>
  </si>
  <si>
    <t>per month</t>
  </si>
  <si>
    <t>OUR ANALYSIS of Page One Figures:</t>
  </si>
  <si>
    <t>Total Electric + Gas:</t>
  </si>
  <si>
    <t>Monthly current</t>
  </si>
  <si>
    <t>Monthly proposed</t>
  </si>
  <si>
    <t>Bill Increases Based on Our Analysis of Page One Figures</t>
  </si>
  <si>
    <t>Bill Increases (according to LG&amp;E on p.2)</t>
  </si>
  <si>
    <t>DISCREPANCY between page 2 and page 1 Annual Increase</t>
  </si>
  <si>
    <t xml:space="preserve">ANNUAL Increase </t>
  </si>
  <si>
    <t>DRAFT (SEE "LG&amp;E" Sheet for updated calculations)</t>
  </si>
  <si>
    <t>LG&amp;E Proposed Residential Rate Changes</t>
  </si>
  <si>
    <t xml:space="preserve">see https://psc.ky.gov/pscecf/2020-00350/rick.lovekamp%40lge-ku.com/11252020085918/04-LGE_Customer_Notice_of_Rate_Adjustment.pdf </t>
  </si>
  <si>
    <t>KU Proposed Residential Rate Changes</t>
  </si>
  <si>
    <t>Bill Increases (according to LG&amp;E on p.2) for Residential Customers</t>
  </si>
  <si>
    <t>$12.85/mo</t>
  </si>
  <si>
    <t xml:space="preserve">Total Electric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</si>
</sst>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&quot;$&quot;#,##0.0000_);[Red]\(&quot;$&quot;#,##0.0000\)"/>
    <numFmt numFmtId="166" formatCode="&quot;$&quot;#,##0.00000_);[Red]\(&quot;$&quot;#,##0.00000\)"/>
    <numFmt numFmtId="167" formatCode="&quot;$&quot;#,##0.000000_);[Red]\(&quot;$&quot;#,##0.000000\)"/>
    <numFmt numFmtId="168" formatCode="0.0%"/>
  </numFmts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164" fontId="5" fillId="0" borderId="0" xfId="0" applyNumberFormat="1" applyFont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44" fontId="0" fillId="0" borderId="0" xfId="1" applyFont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7" fillId="0" borderId="3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8" fontId="0" fillId="0" borderId="0" xfId="0" applyNumberFormat="1" applyBorder="1" applyAlignment="1" applyProtection="1">
      <alignment horizontal="right"/>
      <protection locked="0"/>
    </xf>
    <xf numFmtId="165" fontId="1" fillId="0" borderId="6" xfId="0" applyNumberFormat="1" applyFon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" xfId="0" applyFill="1" applyBorder="1" applyProtection="1">
      <protection locked="0"/>
    </xf>
    <xf numFmtId="8" fontId="1" fillId="0" borderId="6" xfId="1" applyNumberFormat="1" applyFont="1" applyBorder="1" applyAlignment="1" applyProtection="1">
      <alignment horizontal="right"/>
      <protection locked="0"/>
    </xf>
    <xf numFmtId="167" fontId="1" fillId="0" borderId="6" xfId="0" applyNumberFormat="1" applyFon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65" fontId="1" fillId="0" borderId="0" xfId="0" applyNumberFormat="1" applyFont="1" applyBorder="1" applyAlignment="1" applyProtection="1">
      <alignment horizontal="right"/>
      <protection locked="0"/>
    </xf>
    <xf numFmtId="8" fontId="1" fillId="0" borderId="0" xfId="1" applyNumberFormat="1" applyFont="1" applyBorder="1" applyAlignment="1" applyProtection="1">
      <alignment horizontal="right"/>
      <protection locked="0"/>
    </xf>
    <xf numFmtId="167" fontId="1" fillId="0" borderId="0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0" fontId="0" fillId="0" borderId="2" xfId="0" applyNumberFormat="1" applyBorder="1" applyProtection="1">
      <protection locked="0"/>
    </xf>
    <xf numFmtId="44" fontId="0" fillId="0" borderId="2" xfId="1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Protection="1">
      <protection locked="0"/>
    </xf>
    <xf numFmtId="0" fontId="9" fillId="0" borderId="5" xfId="0" applyFont="1" applyBorder="1" applyAlignment="1" applyProtection="1">
      <alignment horizontal="right"/>
      <protection locked="0"/>
    </xf>
    <xf numFmtId="8" fontId="10" fillId="0" borderId="0" xfId="0" applyNumberFormat="1" applyFont="1" applyBorder="1" applyProtection="1">
      <protection locked="0"/>
    </xf>
    <xf numFmtId="168" fontId="10" fillId="0" borderId="0" xfId="2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8" fontId="10" fillId="0" borderId="6" xfId="0" applyNumberFormat="1" applyFont="1" applyBorder="1" applyProtection="1">
      <protection locked="0"/>
    </xf>
    <xf numFmtId="0" fontId="9" fillId="0" borderId="7" xfId="0" applyFont="1" applyBorder="1" applyAlignment="1" applyProtection="1">
      <alignment horizontal="right"/>
      <protection locked="0"/>
    </xf>
    <xf numFmtId="8" fontId="10" fillId="0" borderId="2" xfId="0" applyNumberFormat="1" applyFont="1" applyBorder="1" applyProtection="1">
      <protection locked="0"/>
    </xf>
    <xf numFmtId="168" fontId="10" fillId="0" borderId="2" xfId="2" applyNumberFormat="1" applyFont="1" applyBorder="1" applyProtection="1">
      <protection locked="0"/>
    </xf>
    <xf numFmtId="164" fontId="10" fillId="0" borderId="2" xfId="0" applyNumberFormat="1" applyFont="1" applyBorder="1" applyProtection="1">
      <protection locked="0"/>
    </xf>
    <xf numFmtId="164" fontId="9" fillId="0" borderId="1" xfId="0" applyNumberFormat="1" applyFont="1" applyBorder="1" applyAlignment="1" applyProtection="1">
      <alignment horizontal="right"/>
      <protection locked="0"/>
    </xf>
    <xf numFmtId="164" fontId="9" fillId="0" borderId="0" xfId="0" applyNumberFormat="1" applyFont="1" applyBorder="1" applyProtection="1">
      <protection locked="0"/>
    </xf>
    <xf numFmtId="0" fontId="9" fillId="2" borderId="5" xfId="0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Protection="1">
      <protection locked="0"/>
    </xf>
    <xf numFmtId="164" fontId="10" fillId="2" borderId="0" xfId="0" applyNumberFormat="1" applyFont="1" applyFill="1" applyBorder="1" applyAlignment="1" applyProtection="1">
      <alignment horizontal="right"/>
      <protection locked="0"/>
    </xf>
    <xf numFmtId="8" fontId="10" fillId="2" borderId="6" xfId="0" applyNumberFormat="1" applyFont="1" applyFill="1" applyBorder="1" applyProtection="1">
      <protection locked="0"/>
    </xf>
    <xf numFmtId="164" fontId="10" fillId="0" borderId="1" xfId="0" applyNumberFormat="1" applyFont="1" applyBorder="1" applyAlignment="1" applyProtection="1">
      <alignment horizontal="right"/>
      <protection locked="0"/>
    </xf>
    <xf numFmtId="164" fontId="9" fillId="0" borderId="2" xfId="0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8" fontId="10" fillId="0" borderId="5" xfId="0" applyNumberFormat="1" applyFont="1" applyBorder="1" applyProtection="1">
      <protection locked="0"/>
    </xf>
    <xf numFmtId="168" fontId="10" fillId="0" borderId="0" xfId="0" applyNumberFormat="1" applyFont="1" applyBorder="1" applyProtection="1">
      <protection locked="0"/>
    </xf>
    <xf numFmtId="164" fontId="10" fillId="0" borderId="6" xfId="0" applyNumberFormat="1" applyFont="1" applyBorder="1" applyProtection="1">
      <protection locked="0"/>
    </xf>
    <xf numFmtId="8" fontId="10" fillId="0" borderId="7" xfId="0" applyNumberFormat="1" applyFont="1" applyBorder="1" applyProtection="1">
      <protection locked="0"/>
    </xf>
    <xf numFmtId="168" fontId="10" fillId="0" borderId="2" xfId="0" applyNumberFormat="1" applyFont="1" applyBorder="1" applyProtection="1">
      <protection locked="0"/>
    </xf>
    <xf numFmtId="164" fontId="10" fillId="0" borderId="8" xfId="0" applyNumberFormat="1" applyFont="1" applyBorder="1" applyProtection="1">
      <protection locked="0"/>
    </xf>
    <xf numFmtId="8" fontId="10" fillId="0" borderId="8" xfId="0" applyNumberFormat="1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8" fontId="10" fillId="3" borderId="4" xfId="0" applyNumberFormat="1" applyFont="1" applyFill="1" applyBorder="1" applyProtection="1">
      <protection locked="0"/>
    </xf>
    <xf numFmtId="164" fontId="9" fillId="3" borderId="7" xfId="0" applyNumberFormat="1" applyFont="1" applyFill="1" applyBorder="1" applyAlignment="1" applyProtection="1">
      <alignment horizontal="left"/>
      <protection locked="0"/>
    </xf>
    <xf numFmtId="0" fontId="10" fillId="3" borderId="2" xfId="0" applyFont="1" applyFill="1" applyBorder="1" applyProtection="1">
      <protection locked="0"/>
    </xf>
    <xf numFmtId="9" fontId="10" fillId="3" borderId="8" xfId="2" applyFont="1" applyFill="1" applyBorder="1" applyProtection="1">
      <protection locked="0"/>
    </xf>
    <xf numFmtId="44" fontId="0" fillId="0" borderId="0" xfId="1" applyFont="1" applyBorder="1" applyProtection="1">
      <protection locked="0"/>
    </xf>
    <xf numFmtId="164" fontId="8" fillId="0" borderId="1" xfId="0" applyNumberFormat="1" applyFont="1" applyBorder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164" fontId="0" fillId="0" borderId="0" xfId="0" applyNumberFormat="1" applyBorder="1" applyAlignment="1" applyProtection="1">
      <alignment horizontal="right" wrapText="1"/>
      <protection locked="0"/>
    </xf>
    <xf numFmtId="10" fontId="0" fillId="0" borderId="0" xfId="0" applyNumberFormat="1" applyBorder="1" applyProtection="1">
      <protection locked="0"/>
    </xf>
    <xf numFmtId="44" fontId="0" fillId="0" borderId="6" xfId="1" applyFont="1" applyBorder="1" applyProtection="1">
      <protection locked="0"/>
    </xf>
    <xf numFmtId="44" fontId="0" fillId="0" borderId="8" xfId="1" applyFont="1" applyBorder="1" applyProtection="1"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9" fillId="4" borderId="5" xfId="0" applyFont="1" applyFill="1" applyBorder="1" applyAlignment="1" applyProtection="1">
      <alignment horizontal="right"/>
      <protection locked="0"/>
    </xf>
    <xf numFmtId="0" fontId="9" fillId="4" borderId="0" xfId="0" applyFont="1" applyFill="1" applyBorder="1" applyAlignment="1" applyProtection="1">
      <alignment wrapText="1"/>
      <protection locked="0"/>
    </xf>
    <xf numFmtId="0" fontId="9" fillId="4" borderId="0" xfId="0" applyFont="1" applyFill="1" applyBorder="1" applyProtection="1">
      <protection locked="0"/>
    </xf>
    <xf numFmtId="0" fontId="10" fillId="4" borderId="7" xfId="0" applyFont="1" applyFill="1" applyBorder="1" applyProtection="1">
      <protection locked="0"/>
    </xf>
    <xf numFmtId="8" fontId="9" fillId="4" borderId="2" xfId="0" applyNumberFormat="1" applyFont="1" applyFill="1" applyBorder="1" applyProtection="1">
      <protection locked="0"/>
    </xf>
    <xf numFmtId="168" fontId="9" fillId="4" borderId="2" xfId="2" applyNumberFormat="1" applyFont="1" applyFill="1" applyBorder="1" applyProtection="1">
      <protection locked="0"/>
    </xf>
    <xf numFmtId="3" fontId="1" fillId="0" borderId="0" xfId="0" applyNumberFormat="1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FC8A-7950-4DD7-A3C6-F30CA62E08BA}">
  <dimension ref="A1:Q30"/>
  <sheetViews>
    <sheetView tabSelected="1" zoomScale="80" zoomScaleNormal="80" workbookViewId="0">
      <selection activeCell="J19" sqref="J19"/>
    </sheetView>
  </sheetViews>
  <sheetFormatPr baseColWidth="10" defaultColWidth="10.83203125" defaultRowHeight="16" x14ac:dyDescent="0.2"/>
  <cols>
    <col min="1" max="1" width="23.6640625" style="3" customWidth="1"/>
    <col min="2" max="3" width="13.33203125" style="3" customWidth="1"/>
    <col min="4" max="4" width="15.5" style="3" customWidth="1"/>
    <col min="5" max="5" width="17.1640625" style="3" customWidth="1"/>
    <col min="6" max="6" width="3.5" style="3" customWidth="1"/>
    <col min="7" max="7" width="20.1640625" style="3" customWidth="1"/>
    <col min="8" max="8" width="16.33203125" style="3" customWidth="1"/>
    <col min="9" max="9" width="13.6640625" style="3" customWidth="1"/>
    <col min="10" max="10" width="13.33203125" style="3" customWidth="1"/>
    <col min="11" max="16384" width="10.83203125" style="3"/>
  </cols>
  <sheetData>
    <row r="1" spans="1:17" ht="21" x14ac:dyDescent="0.25">
      <c r="A1" s="2" t="s">
        <v>69</v>
      </c>
      <c r="E1" s="3" t="s">
        <v>70</v>
      </c>
    </row>
    <row r="2" spans="1:17" ht="21" x14ac:dyDescent="0.25">
      <c r="A2" s="2"/>
    </row>
    <row r="3" spans="1:17" x14ac:dyDescent="0.2">
      <c r="A3" s="24" t="s">
        <v>34</v>
      </c>
      <c r="B3" s="25"/>
      <c r="C3" s="25"/>
      <c r="D3" s="26"/>
      <c r="E3" s="28"/>
      <c r="F3" s="28"/>
      <c r="G3" s="55" t="s">
        <v>60</v>
      </c>
      <c r="H3" s="56"/>
      <c r="I3" s="56"/>
      <c r="J3" s="56"/>
      <c r="K3" s="56"/>
      <c r="L3" s="56"/>
      <c r="M3" s="56"/>
      <c r="N3" s="57"/>
    </row>
    <row r="4" spans="1:17" x14ac:dyDescent="0.2">
      <c r="A4" s="27"/>
      <c r="B4" s="28"/>
      <c r="C4" s="28"/>
      <c r="D4" s="29"/>
      <c r="E4" s="28"/>
      <c r="F4" s="28"/>
      <c r="G4" s="58"/>
      <c r="H4" s="59"/>
      <c r="I4" s="59"/>
      <c r="J4" s="59"/>
      <c r="K4" s="59"/>
      <c r="L4" s="59"/>
      <c r="M4" s="59"/>
      <c r="N4" s="60"/>
    </row>
    <row r="5" spans="1:17" x14ac:dyDescent="0.2">
      <c r="A5" s="30" t="s">
        <v>1</v>
      </c>
      <c r="B5" s="31"/>
      <c r="C5" s="31"/>
      <c r="D5" s="32"/>
      <c r="E5" s="31"/>
      <c r="F5" s="31"/>
      <c r="G5" s="61"/>
      <c r="H5" s="62"/>
      <c r="I5" s="62"/>
      <c r="J5" s="62"/>
      <c r="K5" s="62"/>
      <c r="L5" s="62"/>
      <c r="M5" s="62"/>
      <c r="N5" s="63"/>
      <c r="O5" s="23"/>
      <c r="P5" s="23"/>
      <c r="Q5" s="23"/>
    </row>
    <row r="6" spans="1:17" ht="34" x14ac:dyDescent="0.2">
      <c r="A6" s="27"/>
      <c r="B6" s="33" t="s">
        <v>3</v>
      </c>
      <c r="C6" s="33" t="s">
        <v>4</v>
      </c>
      <c r="D6" s="34" t="s">
        <v>5</v>
      </c>
      <c r="E6" s="33"/>
      <c r="F6" s="33"/>
      <c r="G6" s="64"/>
      <c r="H6" s="65" t="s">
        <v>53</v>
      </c>
      <c r="I6" s="65" t="s">
        <v>54</v>
      </c>
      <c r="J6" s="66" t="s">
        <v>55</v>
      </c>
      <c r="K6" s="66"/>
      <c r="L6" s="65" t="s">
        <v>47</v>
      </c>
      <c r="M6" s="65" t="s">
        <v>48</v>
      </c>
      <c r="N6" s="60"/>
    </row>
    <row r="7" spans="1:17" x14ac:dyDescent="0.2">
      <c r="A7" s="27" t="s">
        <v>49</v>
      </c>
      <c r="B7" s="35">
        <v>0.45</v>
      </c>
      <c r="C7" s="35">
        <v>0.52</v>
      </c>
      <c r="D7" s="36">
        <v>7.0000000000000007E-2</v>
      </c>
      <c r="E7" s="47"/>
      <c r="F7" s="47"/>
      <c r="G7" s="67" t="s">
        <v>56</v>
      </c>
      <c r="H7" s="68">
        <f>(365/12)*B7</f>
        <v>13.6875</v>
      </c>
      <c r="I7" s="68">
        <f>(365/12)*C7</f>
        <v>15.816666666666668</v>
      </c>
      <c r="J7" s="69">
        <f>(I7-H7)/I7</f>
        <v>0.13461538461538469</v>
      </c>
      <c r="K7" s="59"/>
      <c r="L7" s="70">
        <f>D7*365</f>
        <v>25.55</v>
      </c>
      <c r="M7" s="71">
        <f>L7/12</f>
        <v>2.1291666666666669</v>
      </c>
      <c r="N7" s="72"/>
      <c r="O7" s="8" t="s">
        <v>28</v>
      </c>
    </row>
    <row r="8" spans="1:17" x14ac:dyDescent="0.2">
      <c r="A8" s="27" t="s">
        <v>50</v>
      </c>
      <c r="B8" s="37">
        <v>9.2780000000000001E-2</v>
      </c>
      <c r="C8" s="37">
        <v>0.10482</v>
      </c>
      <c r="D8" s="36">
        <v>1.204E-2</v>
      </c>
      <c r="E8" s="47"/>
      <c r="F8" s="47"/>
      <c r="G8" s="73" t="s">
        <v>57</v>
      </c>
      <c r="H8" s="74">
        <f>B8*B9</f>
        <v>82.945319999999995</v>
      </c>
      <c r="I8" s="74">
        <f>C8*B9</f>
        <v>93.70908</v>
      </c>
      <c r="J8" s="75">
        <f t="shared" ref="J8" si="0">(I8-H8)/I8</f>
        <v>0.11486357565350129</v>
      </c>
      <c r="K8" s="59"/>
      <c r="L8" s="70">
        <f>D8*B9*12</f>
        <v>129.16512</v>
      </c>
      <c r="M8" s="76">
        <f>L8/12</f>
        <v>10.76376</v>
      </c>
      <c r="N8" s="72"/>
      <c r="O8" s="9" t="s">
        <v>27</v>
      </c>
    </row>
    <row r="9" spans="1:17" x14ac:dyDescent="0.2">
      <c r="A9" s="27" t="s">
        <v>52</v>
      </c>
      <c r="B9" s="38">
        <v>894</v>
      </c>
      <c r="C9" s="28"/>
      <c r="D9" s="29"/>
      <c r="E9" s="28"/>
      <c r="F9" s="28"/>
      <c r="G9" s="67" t="s">
        <v>40</v>
      </c>
      <c r="H9" s="68">
        <f>SUM(H7:H8)</f>
        <v>96.632819999999995</v>
      </c>
      <c r="I9" s="68">
        <f>SUM(I7:I8)</f>
        <v>109.52574666666666</v>
      </c>
      <c r="J9" s="69">
        <f>(I9-H9)/H9</f>
        <v>0.1334218194881063</v>
      </c>
      <c r="K9" s="59"/>
      <c r="L9" s="77">
        <f>SUM(L7:L8)</f>
        <v>154.71512000000001</v>
      </c>
      <c r="M9" s="78">
        <f>L9/12</f>
        <v>12.892926666666668</v>
      </c>
      <c r="N9" s="72"/>
      <c r="O9" s="3" t="s">
        <v>45</v>
      </c>
    </row>
    <row r="10" spans="1:17" x14ac:dyDescent="0.2">
      <c r="A10" s="27"/>
      <c r="B10" s="28"/>
      <c r="C10" s="28"/>
      <c r="D10" s="29"/>
      <c r="E10" s="28"/>
      <c r="F10" s="28"/>
      <c r="G10" s="67" t="s">
        <v>35</v>
      </c>
      <c r="H10" s="68">
        <f>I9-H9</f>
        <v>12.892926666666668</v>
      </c>
      <c r="I10" s="59" t="s">
        <v>59</v>
      </c>
      <c r="J10" s="59"/>
      <c r="K10" s="59"/>
      <c r="L10" s="70"/>
      <c r="M10" s="70"/>
      <c r="N10" s="72"/>
    </row>
    <row r="11" spans="1:17" x14ac:dyDescent="0.2">
      <c r="A11" s="39" t="s">
        <v>21</v>
      </c>
      <c r="B11" s="40"/>
      <c r="C11" s="40"/>
      <c r="D11" s="41"/>
      <c r="E11" s="40"/>
      <c r="F11" s="40"/>
      <c r="G11" s="79"/>
      <c r="H11" s="80"/>
      <c r="I11" s="80"/>
      <c r="J11" s="80"/>
      <c r="K11" s="80"/>
      <c r="L11" s="81"/>
      <c r="M11" s="81"/>
      <c r="N11" s="82"/>
      <c r="O11" s="22"/>
      <c r="P11" s="22"/>
      <c r="Q11" s="22"/>
    </row>
    <row r="12" spans="1:17" ht="34" x14ac:dyDescent="0.2">
      <c r="A12" s="27"/>
      <c r="B12" s="33" t="s">
        <v>3</v>
      </c>
      <c r="C12" s="33" t="s">
        <v>4</v>
      </c>
      <c r="D12" s="34" t="s">
        <v>5</v>
      </c>
      <c r="E12" s="33"/>
      <c r="F12" s="33"/>
      <c r="G12" s="67"/>
      <c r="H12" s="65" t="s">
        <v>53</v>
      </c>
      <c r="I12" s="65" t="s">
        <v>54</v>
      </c>
      <c r="J12" s="66" t="s">
        <v>55</v>
      </c>
      <c r="K12" s="59"/>
      <c r="L12" s="70"/>
      <c r="M12" s="70"/>
      <c r="N12" s="72"/>
    </row>
    <row r="13" spans="1:17" x14ac:dyDescent="0.2">
      <c r="A13" s="27" t="s">
        <v>49</v>
      </c>
      <c r="B13" s="35">
        <v>0.65</v>
      </c>
      <c r="C13" s="35">
        <v>0.78</v>
      </c>
      <c r="D13" s="42">
        <v>0.13</v>
      </c>
      <c r="E13" s="48"/>
      <c r="F13" s="48"/>
      <c r="G13" s="67" t="s">
        <v>56</v>
      </c>
      <c r="H13" s="68">
        <f>((365/12)*B13)</f>
        <v>19.770833333333336</v>
      </c>
      <c r="I13" s="68">
        <f>(365/12)*C13</f>
        <v>23.725000000000001</v>
      </c>
      <c r="J13" s="69">
        <f>(I13-H13)/H13</f>
        <v>0.19999999999999993</v>
      </c>
      <c r="K13" s="59"/>
      <c r="L13" s="70">
        <f>D13*365</f>
        <v>47.45</v>
      </c>
      <c r="M13" s="71">
        <f>L13/12</f>
        <v>3.9541666666666671</v>
      </c>
      <c r="N13" s="72"/>
      <c r="O13" s="8" t="s">
        <v>29</v>
      </c>
    </row>
    <row r="14" spans="1:17" x14ac:dyDescent="0.2">
      <c r="A14" s="27" t="s">
        <v>51</v>
      </c>
      <c r="B14" s="37">
        <v>0.73456999999999995</v>
      </c>
      <c r="C14" s="37">
        <v>0.85072999999999999</v>
      </c>
      <c r="D14" s="43">
        <v>0.11616</v>
      </c>
      <c r="E14" s="49"/>
      <c r="F14" s="49"/>
      <c r="G14" s="67" t="s">
        <v>57</v>
      </c>
      <c r="H14" s="68">
        <f>B14*B15</f>
        <v>39.666779999999996</v>
      </c>
      <c r="I14" s="68">
        <f>C14*B15</f>
        <v>45.939419999999998</v>
      </c>
      <c r="J14" s="69">
        <f t="shared" ref="J14:J15" si="1">(I14-H14)/H14</f>
        <v>0.15813332970309169</v>
      </c>
      <c r="K14" s="59"/>
      <c r="L14" s="70">
        <f>D14*B15*12</f>
        <v>75.271680000000003</v>
      </c>
      <c r="M14" s="76">
        <f t="shared" ref="M14:M15" si="2">L14/12</f>
        <v>6.27264</v>
      </c>
      <c r="N14" s="72"/>
      <c r="O14" s="9" t="s">
        <v>30</v>
      </c>
    </row>
    <row r="15" spans="1:17" x14ac:dyDescent="0.2">
      <c r="A15" s="44" t="s">
        <v>58</v>
      </c>
      <c r="B15" s="45">
        <v>54</v>
      </c>
      <c r="C15" s="19"/>
      <c r="D15" s="46"/>
      <c r="E15" s="28"/>
      <c r="F15" s="28"/>
      <c r="G15" s="73" t="s">
        <v>40</v>
      </c>
      <c r="H15" s="74">
        <f>SUM(H13:H14)</f>
        <v>59.437613333333331</v>
      </c>
      <c r="I15" s="74">
        <f>SUM(I13:I14)</f>
        <v>69.664420000000007</v>
      </c>
      <c r="J15" s="75">
        <f t="shared" si="1"/>
        <v>0.17205951068919112</v>
      </c>
      <c r="K15" s="59"/>
      <c r="L15" s="83">
        <f>SUM(L13:L14)</f>
        <v>122.72168000000001</v>
      </c>
      <c r="M15" s="71">
        <f t="shared" si="2"/>
        <v>10.226806666666667</v>
      </c>
      <c r="N15" s="72"/>
      <c r="O15" s="3" t="s">
        <v>46</v>
      </c>
    </row>
    <row r="16" spans="1:17" x14ac:dyDescent="0.2">
      <c r="G16" s="67" t="s">
        <v>35</v>
      </c>
      <c r="H16" s="68">
        <f>I15-H15</f>
        <v>10.226806666666675</v>
      </c>
      <c r="I16" s="59" t="s">
        <v>59</v>
      </c>
      <c r="J16" s="66"/>
      <c r="K16" s="78"/>
      <c r="L16" s="59"/>
      <c r="M16" s="59"/>
      <c r="N16" s="72"/>
    </row>
    <row r="17" spans="1:14" x14ac:dyDescent="0.2">
      <c r="G17" s="67"/>
      <c r="H17" s="68"/>
      <c r="I17" s="59"/>
      <c r="J17" s="66"/>
      <c r="K17" s="78"/>
      <c r="L17" s="59"/>
      <c r="M17" s="59"/>
      <c r="N17" s="72"/>
    </row>
    <row r="18" spans="1:14" ht="34" x14ac:dyDescent="0.2">
      <c r="G18" s="113" t="s">
        <v>61</v>
      </c>
      <c r="H18" s="114" t="s">
        <v>62</v>
      </c>
      <c r="I18" s="114" t="s">
        <v>63</v>
      </c>
      <c r="J18" s="115" t="s">
        <v>55</v>
      </c>
      <c r="K18" s="59"/>
      <c r="L18" s="76"/>
      <c r="M18" s="76"/>
      <c r="N18" s="72"/>
    </row>
    <row r="19" spans="1:14" x14ac:dyDescent="0.2">
      <c r="G19" s="116"/>
      <c r="H19" s="117">
        <f>SUM(H15,H9)</f>
        <v>156.07043333333331</v>
      </c>
      <c r="I19" s="117">
        <f>SUM(I15+I9)</f>
        <v>179.19016666666667</v>
      </c>
      <c r="J19" s="118">
        <f>(I19-H19)/H19</f>
        <v>0.14813653579057165</v>
      </c>
      <c r="K19" s="84"/>
      <c r="L19" s="85"/>
      <c r="M19" s="85"/>
      <c r="N19" s="86"/>
    </row>
    <row r="20" spans="1:14" x14ac:dyDescent="0.2">
      <c r="H20" s="4"/>
      <c r="I20" s="16"/>
      <c r="J20" s="4"/>
      <c r="K20" s="14"/>
    </row>
    <row r="21" spans="1:14" x14ac:dyDescent="0.2">
      <c r="A21" s="24" t="s">
        <v>37</v>
      </c>
      <c r="B21" s="106"/>
      <c r="C21" s="25"/>
      <c r="D21" s="25"/>
      <c r="E21" s="107"/>
      <c r="F21" s="18"/>
      <c r="G21" s="18"/>
    </row>
    <row r="22" spans="1:14" x14ac:dyDescent="0.2">
      <c r="A22" s="27"/>
      <c r="B22" s="17"/>
      <c r="C22" s="28"/>
      <c r="D22" s="28"/>
      <c r="E22" s="29"/>
    </row>
    <row r="23" spans="1:14" x14ac:dyDescent="0.2">
      <c r="A23" s="50" t="s">
        <v>65</v>
      </c>
      <c r="B23" s="17"/>
      <c r="C23" s="28"/>
      <c r="D23" s="28"/>
      <c r="E23" s="29"/>
      <c r="G23" s="55" t="s">
        <v>64</v>
      </c>
      <c r="H23" s="56"/>
      <c r="I23" s="57"/>
    </row>
    <row r="24" spans="1:14" s="15" customFormat="1" ht="33" customHeight="1" x14ac:dyDescent="0.2">
      <c r="A24" s="87"/>
      <c r="B24" s="108" t="s">
        <v>48</v>
      </c>
      <c r="C24" s="88" t="s">
        <v>44</v>
      </c>
      <c r="D24" s="88" t="s">
        <v>67</v>
      </c>
      <c r="E24" s="89"/>
      <c r="G24" s="90" t="s">
        <v>48</v>
      </c>
      <c r="H24" s="91" t="s">
        <v>55</v>
      </c>
      <c r="I24" s="92" t="s">
        <v>47</v>
      </c>
    </row>
    <row r="25" spans="1:14" x14ac:dyDescent="0.2">
      <c r="A25" s="27" t="s">
        <v>1</v>
      </c>
      <c r="B25" s="17" t="s">
        <v>38</v>
      </c>
      <c r="C25" s="109">
        <v>0.1181</v>
      </c>
      <c r="D25" s="105">
        <f>11.74*12</f>
        <v>140.88</v>
      </c>
      <c r="E25" s="110"/>
      <c r="F25" s="21"/>
      <c r="G25" s="93">
        <f>I9-H9</f>
        <v>12.892926666666668</v>
      </c>
      <c r="H25" s="94">
        <f>J9</f>
        <v>0.1334218194881063</v>
      </c>
      <c r="I25" s="95">
        <f>L9</f>
        <v>154.71512000000001</v>
      </c>
    </row>
    <row r="26" spans="1:14" x14ac:dyDescent="0.2">
      <c r="A26" s="44" t="s">
        <v>36</v>
      </c>
      <c r="B26" s="51" t="s">
        <v>39</v>
      </c>
      <c r="C26" s="52">
        <v>0.11799999999999999</v>
      </c>
      <c r="D26" s="53">
        <f>6.17*12</f>
        <v>74.039999999999992</v>
      </c>
      <c r="E26" s="110"/>
      <c r="F26" s="21"/>
      <c r="G26" s="96">
        <f>I15-H15</f>
        <v>10.226806666666675</v>
      </c>
      <c r="H26" s="97">
        <f>J15</f>
        <v>0.17205951068919112</v>
      </c>
      <c r="I26" s="98">
        <f>L15</f>
        <v>122.72168000000001</v>
      </c>
    </row>
    <row r="27" spans="1:14" x14ac:dyDescent="0.2">
      <c r="A27" s="44" t="s">
        <v>40</v>
      </c>
      <c r="B27" s="20" t="s">
        <v>41</v>
      </c>
      <c r="C27" s="52">
        <v>0.11799999999999999</v>
      </c>
      <c r="D27" s="53">
        <f>17.91*12</f>
        <v>214.92000000000002</v>
      </c>
      <c r="E27" s="111"/>
      <c r="F27" s="21"/>
      <c r="G27" s="96">
        <f>SUM(G25:G26)</f>
        <v>23.119733333333343</v>
      </c>
      <c r="H27" s="97">
        <f>J19</f>
        <v>0.14813653579057165</v>
      </c>
      <c r="I27" s="99">
        <f>SUM(I25:I26)</f>
        <v>277.43680000000001</v>
      </c>
      <c r="M27" s="6"/>
    </row>
    <row r="29" spans="1:14" x14ac:dyDescent="0.2">
      <c r="B29" s="112" t="s">
        <v>66</v>
      </c>
      <c r="C29" s="100"/>
      <c r="D29" s="100"/>
      <c r="E29" s="100"/>
      <c r="F29" s="54"/>
      <c r="G29" s="101">
        <f>I27-D27</f>
        <v>62.516799999999989</v>
      </c>
    </row>
    <row r="30" spans="1:14" x14ac:dyDescent="0.2">
      <c r="B30" s="102"/>
      <c r="C30" s="103"/>
      <c r="D30" s="103"/>
      <c r="E30" s="103"/>
      <c r="F30" s="103"/>
      <c r="G30" s="104">
        <f>(D27-I27)/D27</f>
        <v>-0.29088404987902466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2884-1BF9-4A6A-96C5-86EB618EEEC0}">
  <dimension ref="A1:Q30"/>
  <sheetViews>
    <sheetView topLeftCell="A2" zoomScale="80" zoomScaleNormal="80" workbookViewId="0">
      <selection activeCell="E14" sqref="E14"/>
    </sheetView>
  </sheetViews>
  <sheetFormatPr baseColWidth="10" defaultColWidth="10.83203125" defaultRowHeight="16" x14ac:dyDescent="0.2"/>
  <cols>
    <col min="1" max="1" width="23.6640625" style="3" customWidth="1"/>
    <col min="2" max="3" width="13.33203125" style="3" customWidth="1"/>
    <col min="4" max="4" width="15.5" style="3" customWidth="1"/>
    <col min="5" max="5" width="17.1640625" style="3" customWidth="1"/>
    <col min="6" max="6" width="3.5" style="3" customWidth="1"/>
    <col min="7" max="7" width="20.1640625" style="3" customWidth="1"/>
    <col min="8" max="8" width="16.33203125" style="3" customWidth="1"/>
    <col min="9" max="9" width="13.6640625" style="3" customWidth="1"/>
    <col min="10" max="10" width="13.33203125" style="3" customWidth="1"/>
    <col min="11" max="16384" width="10.83203125" style="3"/>
  </cols>
  <sheetData>
    <row r="1" spans="1:17" ht="21" x14ac:dyDescent="0.25">
      <c r="A1" s="2" t="s">
        <v>71</v>
      </c>
    </row>
    <row r="2" spans="1:17" ht="21" x14ac:dyDescent="0.25">
      <c r="A2" s="2"/>
    </row>
    <row r="3" spans="1:17" x14ac:dyDescent="0.2">
      <c r="A3" s="24" t="s">
        <v>34</v>
      </c>
      <c r="B3" s="25"/>
      <c r="C3" s="25"/>
      <c r="D3" s="26"/>
      <c r="E3" s="28"/>
      <c r="F3" s="28"/>
      <c r="G3" s="55" t="s">
        <v>60</v>
      </c>
      <c r="H3" s="56"/>
      <c r="I3" s="56"/>
      <c r="J3" s="56"/>
      <c r="K3" s="56"/>
      <c r="L3" s="56"/>
      <c r="M3" s="56"/>
      <c r="N3" s="57"/>
    </row>
    <row r="4" spans="1:17" x14ac:dyDescent="0.2">
      <c r="A4" s="27"/>
      <c r="B4" s="28"/>
      <c r="C4" s="28"/>
      <c r="D4" s="29"/>
      <c r="E4" s="28"/>
      <c r="F4" s="28"/>
      <c r="G4" s="58"/>
      <c r="H4" s="59"/>
      <c r="I4" s="59"/>
      <c r="J4" s="59"/>
      <c r="K4" s="59"/>
      <c r="L4" s="59"/>
      <c r="M4" s="59"/>
      <c r="N4" s="60"/>
    </row>
    <row r="5" spans="1:17" x14ac:dyDescent="0.2">
      <c r="A5" s="30" t="s">
        <v>1</v>
      </c>
      <c r="B5" s="31"/>
      <c r="C5" s="31"/>
      <c r="D5" s="32"/>
      <c r="E5" s="31"/>
      <c r="F5" s="31"/>
      <c r="G5" s="61"/>
      <c r="H5" s="62"/>
      <c r="I5" s="62"/>
      <c r="J5" s="62"/>
      <c r="K5" s="62"/>
      <c r="L5" s="62"/>
      <c r="M5" s="62"/>
      <c r="N5" s="63"/>
      <c r="O5" s="23"/>
      <c r="P5" s="23"/>
      <c r="Q5" s="23"/>
    </row>
    <row r="6" spans="1:17" ht="34" x14ac:dyDescent="0.2">
      <c r="A6" s="27"/>
      <c r="B6" s="33" t="s">
        <v>3</v>
      </c>
      <c r="C6" s="33" t="s">
        <v>4</v>
      </c>
      <c r="D6" s="34" t="s">
        <v>5</v>
      </c>
      <c r="E6" s="33"/>
      <c r="F6" s="33"/>
      <c r="G6" s="64"/>
      <c r="H6" s="65" t="s">
        <v>53</v>
      </c>
      <c r="I6" s="65" t="s">
        <v>54</v>
      </c>
      <c r="J6" s="66" t="s">
        <v>55</v>
      </c>
      <c r="K6" s="66"/>
      <c r="L6" s="65" t="s">
        <v>47</v>
      </c>
      <c r="M6" s="65" t="s">
        <v>48</v>
      </c>
      <c r="N6" s="60"/>
    </row>
    <row r="7" spans="1:17" x14ac:dyDescent="0.2">
      <c r="A7" s="27" t="s">
        <v>49</v>
      </c>
      <c r="B7" s="35">
        <v>0.53</v>
      </c>
      <c r="C7" s="35">
        <v>0.61</v>
      </c>
      <c r="D7" s="36">
        <f>C7-B7</f>
        <v>7.999999999999996E-2</v>
      </c>
      <c r="E7" s="47"/>
      <c r="F7" s="47"/>
      <c r="G7" s="67" t="s">
        <v>56</v>
      </c>
      <c r="H7" s="68">
        <f>(365/12)*B7</f>
        <v>16.120833333333334</v>
      </c>
      <c r="I7" s="68">
        <f>(365/12)*C7</f>
        <v>18.554166666666667</v>
      </c>
      <c r="J7" s="69">
        <f>(I7-H7)/I7</f>
        <v>0.13114754098360656</v>
      </c>
      <c r="K7" s="59"/>
      <c r="L7" s="70">
        <f>D7*365</f>
        <v>29.199999999999985</v>
      </c>
      <c r="M7" s="71">
        <f>L7/12</f>
        <v>2.4333333333333322</v>
      </c>
      <c r="N7" s="72"/>
      <c r="O7" s="8" t="s">
        <v>28</v>
      </c>
    </row>
    <row r="8" spans="1:17" x14ac:dyDescent="0.2">
      <c r="A8" s="27" t="s">
        <v>50</v>
      </c>
      <c r="B8" s="37">
        <v>8.9630000000000001E-2</v>
      </c>
      <c r="C8" s="37">
        <v>9.9500000000000005E-2</v>
      </c>
      <c r="D8" s="36">
        <f>C8-B8</f>
        <v>9.8700000000000038E-3</v>
      </c>
      <c r="E8" s="47"/>
      <c r="F8" s="47"/>
      <c r="G8" s="73" t="s">
        <v>57</v>
      </c>
      <c r="H8" s="74">
        <f>B8*B9</f>
        <v>100.3856</v>
      </c>
      <c r="I8" s="74">
        <f>C8*B9</f>
        <v>111.44000000000001</v>
      </c>
      <c r="J8" s="75">
        <f t="shared" ref="J8" si="0">(I8-H8)/I8</f>
        <v>9.9195979899497619E-2</v>
      </c>
      <c r="K8" s="59"/>
      <c r="L8" s="70">
        <f>D8*B9*12</f>
        <v>132.65280000000007</v>
      </c>
      <c r="M8" s="76">
        <f>L8/12</f>
        <v>11.054400000000006</v>
      </c>
      <c r="N8" s="72"/>
      <c r="O8" s="9" t="s">
        <v>27</v>
      </c>
    </row>
    <row r="9" spans="1:17" x14ac:dyDescent="0.2">
      <c r="A9" s="27" t="s">
        <v>52</v>
      </c>
      <c r="B9" s="119">
        <v>1120</v>
      </c>
      <c r="C9" s="28"/>
      <c r="D9" s="29"/>
      <c r="E9" s="28"/>
      <c r="F9" s="28"/>
      <c r="G9" s="67" t="s">
        <v>40</v>
      </c>
      <c r="H9" s="68">
        <f>SUM(H7:H8)</f>
        <v>116.50643333333333</v>
      </c>
      <c r="I9" s="68">
        <f>SUM(I7:I8)</f>
        <v>129.99416666666667</v>
      </c>
      <c r="J9" s="69">
        <f>(I9-H9)/H9</f>
        <v>0.11576814213120711</v>
      </c>
      <c r="K9" s="59"/>
      <c r="L9" s="77">
        <f>SUM(L7:L8)</f>
        <v>161.85280000000006</v>
      </c>
      <c r="M9" s="78">
        <f>L9/12</f>
        <v>13.487733333333338</v>
      </c>
      <c r="N9" s="72"/>
      <c r="O9" s="3" t="s">
        <v>45</v>
      </c>
    </row>
    <row r="10" spans="1:17" x14ac:dyDescent="0.2">
      <c r="A10" s="27"/>
      <c r="B10" s="28"/>
      <c r="C10" s="28"/>
      <c r="D10" s="29"/>
      <c r="E10" s="28"/>
      <c r="F10" s="28"/>
      <c r="G10" s="67" t="s">
        <v>35</v>
      </c>
      <c r="H10" s="68">
        <f>I9-H9</f>
        <v>13.487733333333338</v>
      </c>
      <c r="I10" s="59" t="s">
        <v>59</v>
      </c>
      <c r="J10" s="59"/>
      <c r="K10" s="59"/>
      <c r="L10" s="70"/>
      <c r="M10" s="70"/>
      <c r="N10" s="72"/>
    </row>
    <row r="11" spans="1:17" x14ac:dyDescent="0.2">
      <c r="A11" s="39" t="s">
        <v>21</v>
      </c>
      <c r="B11" s="40"/>
      <c r="C11" s="40"/>
      <c r="D11" s="41"/>
      <c r="E11" s="40"/>
      <c r="F11" s="40"/>
      <c r="G11" s="79"/>
      <c r="H11" s="80"/>
      <c r="I11" s="80"/>
      <c r="J11" s="80"/>
      <c r="K11" s="80"/>
      <c r="L11" s="81"/>
      <c r="M11" s="81"/>
      <c r="N11" s="82"/>
      <c r="O11" s="22"/>
      <c r="P11" s="22"/>
      <c r="Q11" s="22"/>
    </row>
    <row r="12" spans="1:17" ht="34" x14ac:dyDescent="0.2">
      <c r="A12" s="27"/>
      <c r="B12" s="33" t="s">
        <v>3</v>
      </c>
      <c r="C12" s="33" t="s">
        <v>4</v>
      </c>
      <c r="D12" s="34" t="s">
        <v>5</v>
      </c>
      <c r="E12" s="33"/>
      <c r="F12" s="33"/>
      <c r="G12" s="67"/>
      <c r="H12" s="65" t="s">
        <v>53</v>
      </c>
      <c r="I12" s="65" t="s">
        <v>54</v>
      </c>
      <c r="J12" s="66" t="s">
        <v>55</v>
      </c>
      <c r="K12" s="59"/>
      <c r="L12" s="70"/>
      <c r="M12" s="70"/>
      <c r="N12" s="72"/>
    </row>
    <row r="13" spans="1:17" x14ac:dyDescent="0.2">
      <c r="A13" s="27" t="s">
        <v>49</v>
      </c>
      <c r="B13" s="35"/>
      <c r="C13" s="35"/>
      <c r="D13" s="42"/>
      <c r="E13" s="48"/>
      <c r="F13" s="48"/>
      <c r="G13" s="67" t="s">
        <v>56</v>
      </c>
      <c r="H13" s="68"/>
      <c r="I13" s="68"/>
      <c r="J13" s="69"/>
      <c r="K13" s="59"/>
      <c r="L13" s="70"/>
      <c r="M13" s="71"/>
      <c r="N13" s="72"/>
      <c r="O13" s="8" t="s">
        <v>29</v>
      </c>
    </row>
    <row r="14" spans="1:17" x14ac:dyDescent="0.2">
      <c r="A14" s="27" t="s">
        <v>51</v>
      </c>
      <c r="B14" s="37"/>
      <c r="C14" s="37"/>
      <c r="D14" s="43"/>
      <c r="E14" s="49"/>
      <c r="F14" s="49"/>
      <c r="G14" s="67" t="s">
        <v>57</v>
      </c>
      <c r="H14" s="68"/>
      <c r="I14" s="68"/>
      <c r="J14" s="69"/>
      <c r="K14" s="59"/>
      <c r="L14" s="70"/>
      <c r="M14" s="76"/>
      <c r="N14" s="72"/>
      <c r="O14" s="9" t="s">
        <v>30</v>
      </c>
    </row>
    <row r="15" spans="1:17" x14ac:dyDescent="0.2">
      <c r="A15" s="44" t="s">
        <v>58</v>
      </c>
      <c r="B15" s="45"/>
      <c r="C15" s="19"/>
      <c r="D15" s="46"/>
      <c r="E15" s="28"/>
      <c r="F15" s="28"/>
      <c r="G15" s="73" t="s">
        <v>40</v>
      </c>
      <c r="H15" s="74"/>
      <c r="I15" s="74"/>
      <c r="J15" s="75"/>
      <c r="K15" s="59"/>
      <c r="L15" s="83"/>
      <c r="M15" s="71"/>
      <c r="N15" s="72"/>
      <c r="O15" s="3" t="s">
        <v>46</v>
      </c>
    </row>
    <row r="16" spans="1:17" x14ac:dyDescent="0.2">
      <c r="G16" s="67" t="s">
        <v>35</v>
      </c>
      <c r="H16" s="68">
        <f>I15-H15</f>
        <v>0</v>
      </c>
      <c r="I16" s="59" t="s">
        <v>59</v>
      </c>
      <c r="J16" s="66"/>
      <c r="K16" s="78"/>
      <c r="L16" s="59"/>
      <c r="M16" s="59"/>
      <c r="N16" s="72"/>
    </row>
    <row r="17" spans="1:14" x14ac:dyDescent="0.2">
      <c r="G17" s="67"/>
      <c r="H17" s="68"/>
      <c r="I17" s="59"/>
      <c r="J17" s="66"/>
      <c r="K17" s="78"/>
      <c r="L17" s="59"/>
      <c r="M17" s="59"/>
      <c r="N17" s="72"/>
    </row>
    <row r="18" spans="1:14" ht="34" x14ac:dyDescent="0.2">
      <c r="G18" s="113" t="s">
        <v>74</v>
      </c>
      <c r="H18" s="114" t="s">
        <v>62</v>
      </c>
      <c r="I18" s="114" t="s">
        <v>63</v>
      </c>
      <c r="J18" s="115" t="s">
        <v>55</v>
      </c>
      <c r="K18" s="59"/>
      <c r="L18" s="76"/>
      <c r="M18" s="76"/>
      <c r="N18" s="72"/>
    </row>
    <row r="19" spans="1:14" x14ac:dyDescent="0.2">
      <c r="G19" s="116"/>
      <c r="H19" s="117">
        <f>SUM(H15,H9)</f>
        <v>116.50643333333333</v>
      </c>
      <c r="I19" s="117">
        <f>SUM(I15+I9)</f>
        <v>129.99416666666667</v>
      </c>
      <c r="J19" s="118">
        <f>(I19-H19)/H19</f>
        <v>0.11576814213120711</v>
      </c>
      <c r="K19" s="84"/>
      <c r="L19" s="85"/>
      <c r="M19" s="85"/>
      <c r="N19" s="86"/>
    </row>
    <row r="20" spans="1:14" x14ac:dyDescent="0.2">
      <c r="H20" s="4"/>
      <c r="I20" s="16"/>
      <c r="J20" s="4"/>
      <c r="K20" s="14"/>
    </row>
    <row r="21" spans="1:14" x14ac:dyDescent="0.2">
      <c r="A21" s="24" t="s">
        <v>37</v>
      </c>
      <c r="B21" s="106"/>
      <c r="C21" s="25"/>
      <c r="D21" s="25"/>
      <c r="E21" s="107"/>
      <c r="F21" s="18"/>
      <c r="G21" s="18"/>
    </row>
    <row r="22" spans="1:14" x14ac:dyDescent="0.2">
      <c r="A22" s="27"/>
      <c r="B22" s="17"/>
      <c r="C22" s="28"/>
      <c r="D22" s="28"/>
      <c r="E22" s="29"/>
    </row>
    <row r="23" spans="1:14" x14ac:dyDescent="0.2">
      <c r="A23" s="50" t="s">
        <v>72</v>
      </c>
      <c r="B23" s="17"/>
      <c r="C23" s="28"/>
      <c r="D23" s="28"/>
      <c r="E23" s="29"/>
      <c r="G23" s="55" t="s">
        <v>64</v>
      </c>
      <c r="H23" s="56"/>
      <c r="I23" s="57"/>
    </row>
    <row r="24" spans="1:14" s="15" customFormat="1" ht="33" customHeight="1" x14ac:dyDescent="0.2">
      <c r="A24" s="87"/>
      <c r="B24" s="108" t="s">
        <v>48</v>
      </c>
      <c r="C24" s="88" t="s">
        <v>44</v>
      </c>
      <c r="D24" s="88" t="s">
        <v>67</v>
      </c>
      <c r="E24" s="89"/>
      <c r="G24" s="90" t="s">
        <v>48</v>
      </c>
      <c r="H24" s="91" t="s">
        <v>55</v>
      </c>
      <c r="I24" s="92" t="s">
        <v>47</v>
      </c>
    </row>
    <row r="25" spans="1:14" x14ac:dyDescent="0.2">
      <c r="A25" s="27" t="s">
        <v>1</v>
      </c>
      <c r="B25" s="17" t="s">
        <v>73</v>
      </c>
      <c r="C25" s="109">
        <v>0.1067</v>
      </c>
      <c r="D25" s="105">
        <f>12.85*12</f>
        <v>154.19999999999999</v>
      </c>
      <c r="E25" s="110"/>
      <c r="F25" s="21"/>
      <c r="G25" s="93">
        <f>I9-H9</f>
        <v>13.487733333333338</v>
      </c>
      <c r="H25" s="94">
        <f>J9</f>
        <v>0.11576814213120711</v>
      </c>
      <c r="I25" s="95">
        <f>L9</f>
        <v>161.85280000000006</v>
      </c>
    </row>
    <row r="26" spans="1:14" x14ac:dyDescent="0.2">
      <c r="A26" s="44" t="s">
        <v>36</v>
      </c>
      <c r="B26" s="51"/>
      <c r="C26" s="52"/>
      <c r="D26" s="53"/>
      <c r="E26" s="110"/>
      <c r="F26" s="21"/>
      <c r="G26" s="96">
        <f>I15-H15</f>
        <v>0</v>
      </c>
      <c r="H26" s="97">
        <f>J15</f>
        <v>0</v>
      </c>
      <c r="I26" s="98">
        <f>L15</f>
        <v>0</v>
      </c>
    </row>
    <row r="27" spans="1:14" x14ac:dyDescent="0.2">
      <c r="A27" s="44" t="s">
        <v>40</v>
      </c>
      <c r="B27" s="20"/>
      <c r="C27" s="52"/>
      <c r="D27" s="53"/>
      <c r="E27" s="111"/>
      <c r="F27" s="21"/>
      <c r="G27" s="96">
        <f>SUM(G25:G26)</f>
        <v>13.487733333333338</v>
      </c>
      <c r="H27" s="97">
        <f>J19</f>
        <v>0.11576814213120711</v>
      </c>
      <c r="I27" s="99">
        <f>SUM(I25:I26)</f>
        <v>161.85280000000006</v>
      </c>
      <c r="M27" s="6"/>
    </row>
    <row r="29" spans="1:14" x14ac:dyDescent="0.2">
      <c r="B29" s="112" t="s">
        <v>66</v>
      </c>
      <c r="C29" s="100"/>
      <c r="D29" s="100"/>
      <c r="E29" s="100"/>
      <c r="F29" s="54"/>
      <c r="G29" s="101">
        <f>I27-D25</f>
        <v>7.6528000000000702</v>
      </c>
    </row>
    <row r="30" spans="1:14" x14ac:dyDescent="0.2">
      <c r="B30" s="102"/>
      <c r="C30" s="103"/>
      <c r="D30" s="103"/>
      <c r="E30" s="103"/>
      <c r="F30" s="103"/>
      <c r="G30" s="104">
        <f>(D25-I27)/D25</f>
        <v>-4.962905317769177E-2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F714-91C3-3146-B77F-891AFC3CA48D}">
  <dimension ref="A1:K26"/>
  <sheetViews>
    <sheetView zoomScaleNormal="100" workbookViewId="0">
      <selection activeCell="E7" sqref="E7"/>
    </sheetView>
  </sheetViews>
  <sheetFormatPr baseColWidth="10" defaultColWidth="10.83203125" defaultRowHeight="16" x14ac:dyDescent="0.2"/>
  <cols>
    <col min="1" max="1" width="10.83203125" style="3"/>
    <col min="2" max="4" width="13.33203125" style="3" customWidth="1"/>
    <col min="5" max="5" width="12.33203125" style="3" customWidth="1"/>
    <col min="6" max="16384" width="10.83203125" style="3"/>
  </cols>
  <sheetData>
    <row r="1" spans="1:11" ht="21" x14ac:dyDescent="0.25">
      <c r="A1" s="2" t="s">
        <v>0</v>
      </c>
      <c r="E1" s="3" t="s">
        <v>68</v>
      </c>
    </row>
    <row r="2" spans="1:11" ht="21" x14ac:dyDescent="0.25">
      <c r="A2" s="2"/>
    </row>
    <row r="3" spans="1:11" x14ac:dyDescent="0.2">
      <c r="A3" s="4" t="s">
        <v>34</v>
      </c>
    </row>
    <row r="5" spans="1:11" x14ac:dyDescent="0.2">
      <c r="A5" s="4" t="s">
        <v>1</v>
      </c>
    </row>
    <row r="6" spans="1:11" x14ac:dyDescent="0.2">
      <c r="B6" s="5" t="s">
        <v>3</v>
      </c>
      <c r="C6" s="5" t="s">
        <v>4</v>
      </c>
      <c r="D6" s="5" t="s">
        <v>5</v>
      </c>
    </row>
    <row r="7" spans="1:11" x14ac:dyDescent="0.2">
      <c r="A7" s="3" t="s">
        <v>2</v>
      </c>
      <c r="B7" s="6" t="s">
        <v>6</v>
      </c>
      <c r="C7" s="6" t="s">
        <v>7</v>
      </c>
      <c r="D7" s="7" t="s">
        <v>8</v>
      </c>
      <c r="F7" s="8" t="s">
        <v>28</v>
      </c>
      <c r="G7" s="9"/>
      <c r="H7" s="9"/>
      <c r="I7" s="9"/>
      <c r="J7" s="1" t="s">
        <v>23</v>
      </c>
    </row>
    <row r="8" spans="1:11" x14ac:dyDescent="0.2">
      <c r="A8" s="3" t="s">
        <v>9</v>
      </c>
      <c r="B8" s="6" t="s">
        <v>11</v>
      </c>
      <c r="C8" s="6" t="s">
        <v>10</v>
      </c>
      <c r="D8" s="7" t="s">
        <v>22</v>
      </c>
      <c r="F8" s="9" t="s">
        <v>27</v>
      </c>
      <c r="G8" s="9"/>
      <c r="H8" s="9"/>
      <c r="I8" s="9"/>
      <c r="J8" s="1" t="s">
        <v>24</v>
      </c>
    </row>
    <row r="9" spans="1:11" x14ac:dyDescent="0.2">
      <c r="A9" s="3" t="s">
        <v>12</v>
      </c>
      <c r="E9" s="10" t="s">
        <v>13</v>
      </c>
      <c r="J9" s="13" t="s">
        <v>31</v>
      </c>
    </row>
    <row r="10" spans="1:11" x14ac:dyDescent="0.2">
      <c r="J10" s="1"/>
      <c r="K10" s="1" t="s">
        <v>31</v>
      </c>
    </row>
    <row r="11" spans="1:11" x14ac:dyDescent="0.2">
      <c r="A11" s="3" t="s">
        <v>21</v>
      </c>
      <c r="J11" s="1"/>
      <c r="K11" s="1" t="s">
        <v>33</v>
      </c>
    </row>
    <row r="12" spans="1:11" x14ac:dyDescent="0.2">
      <c r="B12" s="5" t="s">
        <v>3</v>
      </c>
      <c r="C12" s="5" t="s">
        <v>4</v>
      </c>
      <c r="D12" s="5" t="s">
        <v>5</v>
      </c>
      <c r="J12" s="1"/>
      <c r="K12" s="11" t="s">
        <v>32</v>
      </c>
    </row>
    <row r="13" spans="1:11" x14ac:dyDescent="0.2">
      <c r="A13" s="3" t="s">
        <v>2</v>
      </c>
      <c r="B13" s="6" t="s">
        <v>15</v>
      </c>
      <c r="C13" s="6" t="s">
        <v>14</v>
      </c>
      <c r="D13" s="7" t="s">
        <v>16</v>
      </c>
      <c r="F13" s="8" t="s">
        <v>29</v>
      </c>
      <c r="J13" s="1" t="s">
        <v>25</v>
      </c>
    </row>
    <row r="14" spans="1:11" x14ac:dyDescent="0.2">
      <c r="A14" s="3" t="s">
        <v>9</v>
      </c>
      <c r="B14" s="6" t="s">
        <v>17</v>
      </c>
      <c r="C14" s="6" t="s">
        <v>18</v>
      </c>
      <c r="D14" s="7" t="s">
        <v>19</v>
      </c>
      <c r="F14" s="9" t="s">
        <v>30</v>
      </c>
      <c r="J14" s="1" t="s">
        <v>26</v>
      </c>
    </row>
    <row r="15" spans="1:11" x14ac:dyDescent="0.2">
      <c r="A15" s="3" t="s">
        <v>12</v>
      </c>
      <c r="E15" s="10" t="s">
        <v>20</v>
      </c>
      <c r="J15" s="11" t="s">
        <v>33</v>
      </c>
    </row>
    <row r="17" spans="1:11" x14ac:dyDescent="0.2">
      <c r="A17" s="4" t="s">
        <v>37</v>
      </c>
      <c r="B17" s="1"/>
    </row>
    <row r="18" spans="1:11" x14ac:dyDescent="0.2">
      <c r="B18" s="1"/>
    </row>
    <row r="19" spans="1:11" x14ac:dyDescent="0.2">
      <c r="A19" s="4" t="s">
        <v>35</v>
      </c>
      <c r="B19" s="1"/>
    </row>
    <row r="20" spans="1:11" x14ac:dyDescent="0.2">
      <c r="B20" s="1"/>
    </row>
    <row r="21" spans="1:11" x14ac:dyDescent="0.2">
      <c r="A21" s="3" t="s">
        <v>1</v>
      </c>
      <c r="B21" s="1" t="s">
        <v>38</v>
      </c>
    </row>
    <row r="22" spans="1:11" x14ac:dyDescent="0.2">
      <c r="A22" s="3" t="s">
        <v>36</v>
      </c>
      <c r="B22" s="1" t="s">
        <v>39</v>
      </c>
    </row>
    <row r="23" spans="1:11" x14ac:dyDescent="0.2">
      <c r="A23" s="3" t="s">
        <v>40</v>
      </c>
      <c r="B23" s="6" t="s">
        <v>41</v>
      </c>
      <c r="D23" s="3" t="s">
        <v>42</v>
      </c>
      <c r="K23" s="6"/>
    </row>
    <row r="26" spans="1:11" x14ac:dyDescent="0.2">
      <c r="B26" s="1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LG&amp;E</vt:lpstr>
      <vt:lpstr>KU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2021-02-09T22:21:35Z</dcterms:created>
  <dcterms:modified xsi:type="dcterms:W3CDTF">2021-03-29T17:28:05Z</dcterms:modified>
  <cp:category/>
</cp:coreProperties>
</file>