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 Dolen\Desktop\KU and LG&amp;E Schedules\Workpapers\"/>
    </mc:Choice>
  </mc:AlternateContent>
  <xr:revisionPtr revIDLastSave="0" documentId="8_{01CD080E-2306-4956-B935-DAB25E1C6A2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mbined" sheetId="1" r:id="rId1"/>
    <sheet name="KU" sheetId="2" r:id="rId2"/>
    <sheet name="Sheet3" sheetId="3" r:id="rId3"/>
  </sheets>
  <definedNames>
    <definedName name="_xlnm.Print_Area" localSheetId="0">Combined!$C$1:$AC$76</definedName>
    <definedName name="_xlnm.Print_Titles" localSheetId="0">Combined!$1:$8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5" i="2" l="1"/>
  <c r="U53" i="2"/>
  <c r="U52" i="2"/>
  <c r="U51" i="2"/>
  <c r="U50" i="2"/>
  <c r="U49" i="2"/>
  <c r="U48" i="2"/>
  <c r="U47" i="2"/>
  <c r="U46" i="2"/>
  <c r="U45" i="2"/>
  <c r="U44" i="2"/>
  <c r="U43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4" i="2"/>
  <c r="U23" i="2"/>
  <c r="U22" i="2"/>
  <c r="U21" i="2"/>
  <c r="U19" i="2"/>
  <c r="U18" i="2"/>
  <c r="U17" i="2"/>
  <c r="U16" i="2"/>
  <c r="U15" i="2"/>
  <c r="U14" i="2"/>
  <c r="U13" i="2"/>
  <c r="U12" i="2"/>
  <c r="U11" i="2"/>
  <c r="U10" i="2"/>
  <c r="Q59" i="2"/>
  <c r="O59" i="2"/>
  <c r="Q58" i="2"/>
  <c r="O58" i="2"/>
  <c r="Q57" i="2"/>
  <c r="O57" i="2"/>
  <c r="Q56" i="2"/>
  <c r="O56" i="2"/>
  <c r="S56" i="2" s="1"/>
  <c r="AA56" i="2" s="1"/>
  <c r="AC56" i="2" s="1"/>
  <c r="Q55" i="2"/>
  <c r="O55" i="2"/>
  <c r="S55" i="2" s="1"/>
  <c r="AA55" i="2" s="1"/>
  <c r="Q53" i="2"/>
  <c r="O53" i="2"/>
  <c r="Q52" i="2"/>
  <c r="O52" i="2"/>
  <c r="Q51" i="2"/>
  <c r="O51" i="2"/>
  <c r="Q50" i="2"/>
  <c r="O50" i="2"/>
  <c r="Q49" i="2"/>
  <c r="O49" i="2"/>
  <c r="Q48" i="2"/>
  <c r="O48" i="2"/>
  <c r="Q47" i="2"/>
  <c r="O47" i="2"/>
  <c r="Q46" i="2"/>
  <c r="O46" i="2"/>
  <c r="S46" i="2" s="1"/>
  <c r="AA46" i="2" s="1"/>
  <c r="Q45" i="2"/>
  <c r="O45" i="2"/>
  <c r="Q44" i="2"/>
  <c r="O44" i="2"/>
  <c r="Q43" i="2"/>
  <c r="O43" i="2"/>
  <c r="Q41" i="2"/>
  <c r="O41" i="2"/>
  <c r="Q40" i="2"/>
  <c r="O40" i="2"/>
  <c r="Q39" i="2"/>
  <c r="O39" i="2"/>
  <c r="Q38" i="2"/>
  <c r="O38" i="2"/>
  <c r="Q37" i="2"/>
  <c r="O37" i="2"/>
  <c r="Q36" i="2"/>
  <c r="O36" i="2"/>
  <c r="Q35" i="2"/>
  <c r="O35" i="2"/>
  <c r="Q34" i="2"/>
  <c r="O34" i="2"/>
  <c r="Q33" i="2"/>
  <c r="O33" i="2"/>
  <c r="Q32" i="2"/>
  <c r="S32" i="2" s="1"/>
  <c r="AC32" i="2" s="1"/>
  <c r="O32" i="2"/>
  <c r="Q31" i="2"/>
  <c r="O31" i="2"/>
  <c r="Q30" i="2"/>
  <c r="O30" i="2"/>
  <c r="Q29" i="2"/>
  <c r="O29" i="2"/>
  <c r="S29" i="2" s="1"/>
  <c r="AC29" i="2" s="1"/>
  <c r="Q28" i="2"/>
  <c r="S28" i="2" s="1"/>
  <c r="AC28" i="2" s="1"/>
  <c r="O28" i="2"/>
  <c r="Q27" i="2"/>
  <c r="O27" i="2"/>
  <c r="Q26" i="2"/>
  <c r="O26" i="2"/>
  <c r="S26" i="2" s="1"/>
  <c r="AC26" i="2" s="1"/>
  <c r="Q24" i="2"/>
  <c r="S24" i="2" s="1"/>
  <c r="O24" i="2"/>
  <c r="Q23" i="2"/>
  <c r="O23" i="2"/>
  <c r="Q22" i="2"/>
  <c r="O22" i="2"/>
  <c r="Q21" i="2"/>
  <c r="O21" i="2"/>
  <c r="S21" i="2" s="1"/>
  <c r="Q19" i="2"/>
  <c r="O19" i="2"/>
  <c r="S19" i="2" s="1"/>
  <c r="AA19" i="2" s="1"/>
  <c r="Q18" i="2"/>
  <c r="O18" i="2"/>
  <c r="Q17" i="2"/>
  <c r="S17" i="2" s="1"/>
  <c r="AA17" i="2" s="1"/>
  <c r="O17" i="2"/>
  <c r="Q16" i="2"/>
  <c r="O16" i="2"/>
  <c r="Q15" i="2"/>
  <c r="O15" i="2"/>
  <c r="S15" i="2" s="1"/>
  <c r="AA15" i="2" s="1"/>
  <c r="Q14" i="2"/>
  <c r="O14" i="2"/>
  <c r="S14" i="2" s="1"/>
  <c r="AA14" i="2" s="1"/>
  <c r="Q13" i="2"/>
  <c r="S13" i="2" s="1"/>
  <c r="AA13" i="2" s="1"/>
  <c r="O13" i="2"/>
  <c r="Q12" i="2"/>
  <c r="O12" i="2"/>
  <c r="Q11" i="2"/>
  <c r="O11" i="2"/>
  <c r="S11" i="2" s="1"/>
  <c r="AA11" i="2" s="1"/>
  <c r="Q10" i="2"/>
  <c r="O10" i="2"/>
  <c r="K55" i="2"/>
  <c r="K53" i="2"/>
  <c r="K52" i="2"/>
  <c r="K51" i="2"/>
  <c r="K50" i="2"/>
  <c r="K49" i="2"/>
  <c r="K48" i="2"/>
  <c r="K47" i="2"/>
  <c r="K46" i="2"/>
  <c r="K45" i="2"/>
  <c r="K44" i="2"/>
  <c r="K43" i="2"/>
  <c r="K41" i="2"/>
  <c r="K40" i="2"/>
  <c r="W40" i="2" s="1"/>
  <c r="K39" i="2"/>
  <c r="K38" i="2"/>
  <c r="K37" i="2"/>
  <c r="W37" i="2" s="1"/>
  <c r="K36" i="2"/>
  <c r="K35" i="2"/>
  <c r="K34" i="2"/>
  <c r="W34" i="2" s="1"/>
  <c r="K33" i="2"/>
  <c r="K32" i="2"/>
  <c r="K31" i="2"/>
  <c r="K30" i="2"/>
  <c r="K29" i="2"/>
  <c r="W29" i="2" s="1"/>
  <c r="K28" i="2"/>
  <c r="K27" i="2"/>
  <c r="K26" i="2"/>
  <c r="K24" i="2"/>
  <c r="K23" i="2"/>
  <c r="K22" i="2"/>
  <c r="K21" i="2"/>
  <c r="K19" i="2"/>
  <c r="W19" i="2" s="1"/>
  <c r="K18" i="2"/>
  <c r="K17" i="2"/>
  <c r="K16" i="2"/>
  <c r="W16" i="2" s="1"/>
  <c r="K15" i="2"/>
  <c r="K14" i="2"/>
  <c r="K13" i="2"/>
  <c r="K12" i="2"/>
  <c r="K11" i="2"/>
  <c r="K10" i="2"/>
  <c r="G59" i="2"/>
  <c r="G58" i="2"/>
  <c r="G57" i="2"/>
  <c r="G56" i="2"/>
  <c r="G55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W22" i="2" s="1"/>
  <c r="G21" i="2"/>
  <c r="G19" i="2"/>
  <c r="G18" i="2"/>
  <c r="G17" i="2"/>
  <c r="G16" i="2"/>
  <c r="G15" i="2"/>
  <c r="G14" i="2"/>
  <c r="G13" i="2"/>
  <c r="G12" i="2"/>
  <c r="W12" i="2" s="1"/>
  <c r="G11" i="2"/>
  <c r="G10" i="2"/>
  <c r="U9" i="2"/>
  <c r="Q9" i="2"/>
  <c r="O9" i="2"/>
  <c r="K9" i="2"/>
  <c r="G9" i="2"/>
  <c r="AC64" i="2"/>
  <c r="AA63" i="2"/>
  <c r="AC61" i="2"/>
  <c r="S57" i="2"/>
  <c r="AA57" i="2" s="1"/>
  <c r="Z55" i="2"/>
  <c r="Z53" i="2"/>
  <c r="S53" i="2"/>
  <c r="AA53" i="2" s="1"/>
  <c r="W53" i="2"/>
  <c r="Z52" i="2"/>
  <c r="Z51" i="2"/>
  <c r="W51" i="2"/>
  <c r="Z50" i="2"/>
  <c r="W50" i="2"/>
  <c r="Z49" i="2"/>
  <c r="Z48" i="2"/>
  <c r="Z47" i="2"/>
  <c r="W47" i="2"/>
  <c r="Z46" i="2"/>
  <c r="W46" i="2"/>
  <c r="Z45" i="2"/>
  <c r="W45" i="2"/>
  <c r="Z44" i="2"/>
  <c r="S44" i="2"/>
  <c r="AA44" i="2" s="1"/>
  <c r="Z43" i="2"/>
  <c r="W43" i="2"/>
  <c r="Z41" i="2"/>
  <c r="W41" i="2"/>
  <c r="S41" i="2"/>
  <c r="AC41" i="2" s="1"/>
  <c r="Z40" i="2"/>
  <c r="S40" i="2"/>
  <c r="AC40" i="2" s="1"/>
  <c r="Z39" i="2"/>
  <c r="W39" i="2"/>
  <c r="S39" i="2"/>
  <c r="AC39" i="2" s="1"/>
  <c r="Z38" i="2"/>
  <c r="W38" i="2"/>
  <c r="Z37" i="2"/>
  <c r="Z36" i="2"/>
  <c r="W36" i="2"/>
  <c r="S36" i="2"/>
  <c r="AC36" i="2" s="1"/>
  <c r="Z35" i="2"/>
  <c r="W35" i="2"/>
  <c r="S35" i="2"/>
  <c r="AC35" i="2" s="1"/>
  <c r="Z34" i="2"/>
  <c r="S34" i="2"/>
  <c r="AC34" i="2" s="1"/>
  <c r="Z33" i="2"/>
  <c r="W33" i="2"/>
  <c r="S33" i="2"/>
  <c r="AC33" i="2" s="1"/>
  <c r="Z32" i="2"/>
  <c r="Z31" i="2"/>
  <c r="W31" i="2"/>
  <c r="S31" i="2"/>
  <c r="AC31" i="2" s="1"/>
  <c r="Z30" i="2"/>
  <c r="W30" i="2"/>
  <c r="S30" i="2"/>
  <c r="AC30" i="2" s="1"/>
  <c r="Z29" i="2"/>
  <c r="Z28" i="2"/>
  <c r="W28" i="2"/>
  <c r="Z27" i="2"/>
  <c r="W27" i="2"/>
  <c r="S27" i="2"/>
  <c r="AC27" i="2" s="1"/>
  <c r="Z26" i="2"/>
  <c r="W26" i="2"/>
  <c r="Z24" i="2"/>
  <c r="W24" i="2"/>
  <c r="Z23" i="2"/>
  <c r="S23" i="2"/>
  <c r="Z22" i="2"/>
  <c r="S22" i="2"/>
  <c r="Z21" i="2"/>
  <c r="W21" i="2"/>
  <c r="Z19" i="2"/>
  <c r="Z18" i="2"/>
  <c r="S18" i="2"/>
  <c r="AA18" i="2" s="1"/>
  <c r="Z17" i="2"/>
  <c r="W17" i="2"/>
  <c r="Z16" i="2"/>
  <c r="S16" i="2"/>
  <c r="AA16" i="2" s="1"/>
  <c r="Z15" i="2"/>
  <c r="W15" i="2"/>
  <c r="Z14" i="2"/>
  <c r="W14" i="2"/>
  <c r="Z13" i="2"/>
  <c r="W13" i="2"/>
  <c r="Z12" i="2"/>
  <c r="S12" i="2"/>
  <c r="AA12" i="2" s="1"/>
  <c r="Z11" i="2"/>
  <c r="W11" i="2"/>
  <c r="Z10" i="2"/>
  <c r="S10" i="2"/>
  <c r="AA10" i="2" s="1"/>
  <c r="Z9" i="2"/>
  <c r="AC64" i="1"/>
  <c r="AA63" i="1"/>
  <c r="AC61" i="1"/>
  <c r="S57" i="1"/>
  <c r="AA57" i="1" s="1"/>
  <c r="AC57" i="1" s="1"/>
  <c r="S56" i="1"/>
  <c r="S41" i="1"/>
  <c r="S40" i="1"/>
  <c r="S39" i="1"/>
  <c r="S31" i="1"/>
  <c r="S30" i="1"/>
  <c r="S36" i="1"/>
  <c r="S35" i="1"/>
  <c r="S24" i="1"/>
  <c r="S34" i="1"/>
  <c r="S33" i="1"/>
  <c r="S32" i="1"/>
  <c r="S29" i="1"/>
  <c r="S28" i="1"/>
  <c r="S27" i="1"/>
  <c r="S26" i="1"/>
  <c r="S23" i="1"/>
  <c r="S22" i="1"/>
  <c r="S21" i="1"/>
  <c r="S18" i="1"/>
  <c r="S9" i="1"/>
  <c r="S19" i="1"/>
  <c r="S11" i="1"/>
  <c r="S12" i="1"/>
  <c r="S16" i="1"/>
  <c r="S14" i="1"/>
  <c r="S17" i="1"/>
  <c r="S15" i="1"/>
  <c r="S13" i="1"/>
  <c r="S10" i="1"/>
  <c r="S55" i="1"/>
  <c r="AA55" i="1" s="1"/>
  <c r="Q59" i="1"/>
  <c r="Q58" i="1"/>
  <c r="Q38" i="1"/>
  <c r="Q37" i="1"/>
  <c r="Q53" i="1"/>
  <c r="Q52" i="1"/>
  <c r="Q51" i="1"/>
  <c r="Q50" i="1"/>
  <c r="Q49" i="1"/>
  <c r="Q48" i="1"/>
  <c r="Q47" i="1"/>
  <c r="Q46" i="1"/>
  <c r="Q45" i="1"/>
  <c r="Q44" i="1"/>
  <c r="Q43" i="1"/>
  <c r="O59" i="1"/>
  <c r="O58" i="1"/>
  <c r="O38" i="1"/>
  <c r="O37" i="1"/>
  <c r="O53" i="1"/>
  <c r="O52" i="1"/>
  <c r="O51" i="1"/>
  <c r="O50" i="1"/>
  <c r="O49" i="1"/>
  <c r="O48" i="1"/>
  <c r="O47" i="1"/>
  <c r="O46" i="1"/>
  <c r="O45" i="1"/>
  <c r="O44" i="1"/>
  <c r="O43" i="1"/>
  <c r="AA24" i="2" l="1"/>
  <c r="AA22" i="2"/>
  <c r="W55" i="2"/>
  <c r="W32" i="2"/>
  <c r="W23" i="2"/>
  <c r="AA23" i="2" s="1"/>
  <c r="W10" i="2"/>
  <c r="W18" i="2"/>
  <c r="W49" i="2"/>
  <c r="W44" i="2"/>
  <c r="W48" i="2"/>
  <c r="W52" i="2"/>
  <c r="S9" i="2"/>
  <c r="AA9" i="2" s="1"/>
  <c r="AA61" i="2" s="1"/>
  <c r="W9" i="2"/>
  <c r="AA21" i="2"/>
  <c r="AC21" i="2" s="1"/>
  <c r="S38" i="2"/>
  <c r="AC38" i="2" s="1"/>
  <c r="S58" i="2"/>
  <c r="S48" i="2"/>
  <c r="AA48" i="2" s="1"/>
  <c r="S47" i="2"/>
  <c r="AA47" i="2" s="1"/>
  <c r="S50" i="2"/>
  <c r="AA50" i="2" s="1"/>
  <c r="S59" i="2"/>
  <c r="S52" i="2"/>
  <c r="AA52" i="2" s="1"/>
  <c r="S37" i="2"/>
  <c r="AC37" i="2" s="1"/>
  <c r="S43" i="2"/>
  <c r="AA43" i="2" s="1"/>
  <c r="S45" i="2"/>
  <c r="AA45" i="2" s="1"/>
  <c r="S51" i="2"/>
  <c r="AA51" i="2" s="1"/>
  <c r="AC57" i="2"/>
  <c r="AC55" i="2"/>
  <c r="AC22" i="2"/>
  <c r="S49" i="2"/>
  <c r="AA49" i="2" s="1"/>
  <c r="AA58" i="2"/>
  <c r="AC58" i="2" s="1"/>
  <c r="AC24" i="2"/>
  <c r="AC63" i="2"/>
  <c r="AA59" i="2"/>
  <c r="AC59" i="2" s="1"/>
  <c r="AC55" i="1"/>
  <c r="AA56" i="1"/>
  <c r="AC56" i="1" s="1"/>
  <c r="S44" i="1"/>
  <c r="S45" i="1"/>
  <c r="S38" i="1"/>
  <c r="S59" i="1"/>
  <c r="AA59" i="1" s="1"/>
  <c r="AC59" i="1" s="1"/>
  <c r="S52" i="1"/>
  <c r="S53" i="1"/>
  <c r="S46" i="1"/>
  <c r="S37" i="1"/>
  <c r="S47" i="1"/>
  <c r="S48" i="1"/>
  <c r="S58" i="1"/>
  <c r="AA58" i="1" s="1"/>
  <c r="AC58" i="1" s="1"/>
  <c r="S49" i="1"/>
  <c r="S50" i="1"/>
  <c r="S43" i="1"/>
  <c r="S51" i="1"/>
  <c r="K38" i="1"/>
  <c r="K37" i="1"/>
  <c r="K53" i="1"/>
  <c r="K52" i="1"/>
  <c r="K51" i="1"/>
  <c r="K50" i="1"/>
  <c r="K49" i="1"/>
  <c r="K48" i="1"/>
  <c r="K47" i="1"/>
  <c r="K46" i="1"/>
  <c r="K45" i="1"/>
  <c r="K44" i="1"/>
  <c r="K43" i="1"/>
  <c r="G10" i="1"/>
  <c r="AC23" i="2" l="1"/>
  <c r="AC62" i="2" s="1"/>
  <c r="AA62" i="2"/>
  <c r="AA66" i="2" s="1"/>
  <c r="AC65" i="1"/>
  <c r="AA65" i="1"/>
  <c r="AA64" i="2"/>
  <c r="AA65" i="2"/>
  <c r="AC65" i="2"/>
  <c r="AA53" i="1"/>
  <c r="AA52" i="1"/>
  <c r="AA51" i="1"/>
  <c r="AA50" i="1"/>
  <c r="AA49" i="1"/>
  <c r="AA48" i="1"/>
  <c r="AA47" i="1"/>
  <c r="AA46" i="1"/>
  <c r="AA45" i="1"/>
  <c r="AA44" i="1"/>
  <c r="AA43" i="1"/>
  <c r="AC38" i="1"/>
  <c r="AC37" i="1"/>
  <c r="Z41" i="1"/>
  <c r="Z10" i="1"/>
  <c r="Z11" i="1"/>
  <c r="Z29" i="1"/>
  <c r="Z28" i="1"/>
  <c r="Z27" i="1"/>
  <c r="Z26" i="1"/>
  <c r="Z23" i="1"/>
  <c r="Z22" i="1"/>
  <c r="Z32" i="1"/>
  <c r="Z40" i="1"/>
  <c r="Z39" i="1"/>
  <c r="Z53" i="1"/>
  <c r="Z52" i="1"/>
  <c r="Z51" i="1"/>
  <c r="Z50" i="1"/>
  <c r="Z49" i="1"/>
  <c r="Z48" i="1"/>
  <c r="Z47" i="1"/>
  <c r="Z46" i="1"/>
  <c r="Z13" i="1"/>
  <c r="Z15" i="1"/>
  <c r="Z14" i="1"/>
  <c r="Z12" i="1"/>
  <c r="Z38" i="1"/>
  <c r="Z37" i="1"/>
  <c r="Z19" i="1"/>
  <c r="Z18" i="1"/>
  <c r="Z17" i="1"/>
  <c r="Z16" i="1"/>
  <c r="Z45" i="1"/>
  <c r="Z44" i="1"/>
  <c r="Z43" i="1"/>
  <c r="Z9" i="1"/>
  <c r="Z55" i="1"/>
  <c r="Z36" i="1"/>
  <c r="Z34" i="1"/>
  <c r="Z33" i="1"/>
  <c r="Z35" i="1"/>
  <c r="Z31" i="1"/>
  <c r="Z30" i="1"/>
  <c r="Z24" i="1"/>
  <c r="Z21" i="1"/>
  <c r="AC41" i="1"/>
  <c r="AA10" i="1"/>
  <c r="AA11" i="1"/>
  <c r="AC29" i="1"/>
  <c r="AC28" i="1"/>
  <c r="AC27" i="1"/>
  <c r="AC26" i="1"/>
  <c r="AC32" i="1"/>
  <c r="AC40" i="1"/>
  <c r="AC39" i="1"/>
  <c r="AA13" i="1"/>
  <c r="AA15" i="1"/>
  <c r="AA14" i="1"/>
  <c r="AA12" i="1"/>
  <c r="AA19" i="1"/>
  <c r="AA18" i="1"/>
  <c r="AA17" i="1"/>
  <c r="AA16" i="1"/>
  <c r="AA9" i="1"/>
  <c r="AC36" i="1"/>
  <c r="AC34" i="1"/>
  <c r="AC33" i="1"/>
  <c r="AC35" i="1"/>
  <c r="AC31" i="1"/>
  <c r="AC30" i="1"/>
  <c r="W41" i="1"/>
  <c r="W10" i="1"/>
  <c r="W11" i="1"/>
  <c r="W29" i="1"/>
  <c r="W28" i="1"/>
  <c r="W27" i="1"/>
  <c r="W26" i="1"/>
  <c r="W23" i="1"/>
  <c r="AA23" i="1" s="1"/>
  <c r="W22" i="1"/>
  <c r="AA22" i="1" s="1"/>
  <c r="AC22" i="1" s="1"/>
  <c r="W32" i="1"/>
  <c r="W40" i="1"/>
  <c r="W39" i="1"/>
  <c r="W53" i="1"/>
  <c r="W52" i="1"/>
  <c r="W51" i="1"/>
  <c r="W50" i="1"/>
  <c r="W49" i="1"/>
  <c r="W48" i="1"/>
  <c r="W47" i="1"/>
  <c r="W46" i="1"/>
  <c r="W13" i="1"/>
  <c r="W15" i="1"/>
  <c r="W14" i="1"/>
  <c r="W12" i="1"/>
  <c r="W38" i="1"/>
  <c r="W37" i="1"/>
  <c r="W19" i="1"/>
  <c r="W18" i="1"/>
  <c r="W17" i="1"/>
  <c r="W16" i="1"/>
  <c r="W45" i="1"/>
  <c r="W44" i="1"/>
  <c r="W43" i="1"/>
  <c r="W9" i="1"/>
  <c r="W55" i="1"/>
  <c r="W36" i="1"/>
  <c r="W34" i="1"/>
  <c r="W33" i="1"/>
  <c r="W35" i="1"/>
  <c r="W31" i="1"/>
  <c r="W30" i="1"/>
  <c r="W24" i="1"/>
  <c r="AA24" i="1" s="1"/>
  <c r="AC24" i="1" s="1"/>
  <c r="W21" i="1"/>
  <c r="AC63" i="1" l="1"/>
  <c r="AA61" i="1"/>
  <c r="AA64" i="1"/>
  <c r="AC66" i="2"/>
  <c r="AC67" i="2" s="1"/>
  <c r="AC23" i="1"/>
  <c r="AA21" i="1"/>
  <c r="AA62" i="1" s="1"/>
  <c r="AA67" i="2" l="1"/>
  <c r="AA66" i="1"/>
  <c r="AC21" i="1"/>
  <c r="AC62" i="1" s="1"/>
  <c r="AC66" i="1" s="1"/>
  <c r="AA67" i="1" l="1"/>
  <c r="AC67" i="1"/>
</calcChain>
</file>

<file path=xl/sharedStrings.xml><?xml version="1.0" encoding="utf-8"?>
<sst xmlns="http://schemas.openxmlformats.org/spreadsheetml/2006/main" count="535" uniqueCount="121">
  <si>
    <t>Kentucky Utilities &amp; LG&amp;E</t>
  </si>
  <si>
    <t>Generating Unit</t>
  </si>
  <si>
    <t>Gross</t>
  </si>
  <si>
    <t>Net MWH</t>
  </si>
  <si>
    <t>Generation</t>
  </si>
  <si>
    <t>Total</t>
  </si>
  <si>
    <t xml:space="preserve">Net </t>
  </si>
  <si>
    <t>Energy</t>
  </si>
  <si>
    <t>Net Investment</t>
  </si>
  <si>
    <t>(1)</t>
  </si>
  <si>
    <t>(2)</t>
  </si>
  <si>
    <t>(3)</t>
  </si>
  <si>
    <t>(3A)</t>
  </si>
  <si>
    <t>(4)</t>
  </si>
  <si>
    <t>(5)</t>
  </si>
  <si>
    <t>(6)</t>
  </si>
  <si>
    <t>(7)</t>
  </si>
  <si>
    <t>(8)</t>
  </si>
  <si>
    <t>Brown 3</t>
  </si>
  <si>
    <t>Brown 5</t>
  </si>
  <si>
    <t>Brown 6</t>
  </si>
  <si>
    <t>Brown 7</t>
  </si>
  <si>
    <t>Brown 8</t>
  </si>
  <si>
    <t>Brown 9</t>
  </si>
  <si>
    <t>Brown 10</t>
  </si>
  <si>
    <t>Brown 11</t>
  </si>
  <si>
    <t>Brown Solar</t>
  </si>
  <si>
    <t>Cane Run 7</t>
  </si>
  <si>
    <t>Dix Dam 1</t>
  </si>
  <si>
    <t>Dix Dam 2</t>
  </si>
  <si>
    <t>Dix Dam 3</t>
  </si>
  <si>
    <t>Ghent 1</t>
  </si>
  <si>
    <t>Ghent 2</t>
  </si>
  <si>
    <t>Ghent 3</t>
  </si>
  <si>
    <t>Ghent 4</t>
  </si>
  <si>
    <t>Haefling 1</t>
  </si>
  <si>
    <t>Haefling 2</t>
  </si>
  <si>
    <t>Mill Creek 1</t>
  </si>
  <si>
    <t>Mill Creek 2</t>
  </si>
  <si>
    <t>Mill Creek 3</t>
  </si>
  <si>
    <t>Mill Creek 4</t>
  </si>
  <si>
    <t>Ohio Falls 1</t>
  </si>
  <si>
    <t>Ohio Falls 2</t>
  </si>
  <si>
    <t>Ohio Falls 3</t>
  </si>
  <si>
    <t>Ohio Falls 4</t>
  </si>
  <si>
    <t>Ohio Falls 5</t>
  </si>
  <si>
    <t>Ohio Falls 6</t>
  </si>
  <si>
    <t>Ohio Falls 7</t>
  </si>
  <si>
    <t>Ohio Falls 8</t>
  </si>
  <si>
    <t>Paddy's Run 11</t>
  </si>
  <si>
    <t>Paddy's Run 12</t>
  </si>
  <si>
    <t>Paddy's Run 13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</si>
  <si>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</si>
  <si>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</si>
  <si>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</si>
  <si>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</si>
  <si>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</si>
  <si>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</si>
  <si>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Trimble County 2</t>
  </si>
  <si>
    <t>Zorn 1</t>
  </si>
  <si>
    <t>Coal</t>
  </si>
  <si>
    <t>Gas</t>
  </si>
  <si>
    <t>Gas/Oil</t>
  </si>
  <si>
    <t>Solar</t>
  </si>
  <si>
    <t>Hydro</t>
  </si>
  <si>
    <t>Trimble County 1</t>
  </si>
  <si>
    <t>Demand</t>
  </si>
  <si>
    <t>Forecasted</t>
  </si>
  <si>
    <t>Forecasted Test Year Generation Statistics</t>
  </si>
  <si>
    <t>Peak</t>
  </si>
  <si>
    <t>Base</t>
  </si>
  <si>
    <t>Average</t>
  </si>
  <si>
    <t>Intermediate</t>
  </si>
  <si>
    <t>TOTAL BASE</t>
  </si>
  <si>
    <t>TOTAL INTERMEDIATE</t>
  </si>
  <si>
    <t>TOTAL PEAK</t>
  </si>
  <si>
    <t>TOTAL HYDRO</t>
  </si>
  <si>
    <t>TOTAL SOLAR</t>
  </si>
  <si>
    <t>TOTAL ALL UNITS</t>
  </si>
  <si>
    <t>PERCENT OF TOTAL</t>
  </si>
  <si>
    <t>KU + LG&amp;E</t>
  </si>
  <si>
    <t xml:space="preserve"> (a)</t>
  </si>
  <si>
    <t>Ownership</t>
  </si>
  <si>
    <t>Capacity</t>
  </si>
  <si>
    <t>Capacity 1/</t>
  </si>
  <si>
    <t>Fuel Cost 2/</t>
  </si>
  <si>
    <t>Produced 3/</t>
  </si>
  <si>
    <t>Order 4/</t>
  </si>
  <si>
    <t>Investment 1/</t>
  </si>
  <si>
    <t>Factor</t>
  </si>
  <si>
    <t>Designation</t>
  </si>
  <si>
    <t>(a) Reflects KU and LG&amp;E combined 75% ownership</t>
  </si>
  <si>
    <t>Business Solar-AOL</t>
  </si>
  <si>
    <t>Maker's Mark Solar</t>
  </si>
  <si>
    <t>Simpsonville Solar 1</t>
  </si>
  <si>
    <t>Simpsonville Solar 2</t>
  </si>
  <si>
    <t>Fuel  1/</t>
  </si>
  <si>
    <t>1/ Per KU response to AG-KIUC-1-126.</t>
  </si>
  <si>
    <t>N/A</t>
  </si>
  <si>
    <t>2/ Per KU response to AG-KIUC-1-130.</t>
  </si>
  <si>
    <t>3/ Per KU response to AG-KIUC-1-127.  Kwh reflects only KU + LG&amp;E ownership share of output.</t>
  </si>
  <si>
    <t>4/ Per KU response to AG-KIUC-1-128.</t>
  </si>
  <si>
    <t>Depreciation</t>
  </si>
  <si>
    <t>Reserve 1/</t>
  </si>
  <si>
    <t>&gt; 25 %</t>
  </si>
  <si>
    <t>Gen Hours</t>
  </si>
  <si>
    <t>Capacity 5/</t>
  </si>
  <si>
    <t>5/  Calculated per AG-KIUC-117.</t>
  </si>
  <si>
    <t>Note</t>
  </si>
  <si>
    <t>50%/50%</t>
  </si>
  <si>
    <t>Base due to order of dispatch &amp; fuel cost &amp; prior case</t>
  </si>
  <si>
    <t>Kentucky Utilities</t>
  </si>
  <si>
    <t>KU</t>
  </si>
  <si>
    <t>Joint</t>
  </si>
  <si>
    <t>LGE</t>
  </si>
  <si>
    <t>Percent</t>
  </si>
  <si>
    <t>(9)</t>
  </si>
  <si>
    <t>(10)</t>
  </si>
  <si>
    <t>(11)</t>
  </si>
  <si>
    <t>(12)</t>
  </si>
  <si>
    <t>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</si>
</sst>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00"/>
    <numFmt numFmtId="165" formatCode="&quot;$&quot;#,##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10" fontId="1" fillId="0" borderId="1" xfId="0" applyNumberFormat="1" applyFont="1" applyBorder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3" fontId="3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5" fillId="0" borderId="0" xfId="0" applyFont="1"/>
    <xf numFmtId="0" fontId="5" fillId="0" borderId="1" xfId="0" applyFont="1" applyBorder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0" fontId="1" fillId="0" borderId="0" xfId="1" applyNumberFormat="1" applyFont="1"/>
    <xf numFmtId="0" fontId="1" fillId="0" borderId="0" xfId="0" applyFont="1" applyBorder="1" applyAlignment="1"/>
    <xf numFmtId="37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3" fontId="1" fillId="0" borderId="0" xfId="0" applyNumberFormat="1" applyFont="1" applyBorder="1"/>
    <xf numFmtId="165" fontId="1" fillId="0" borderId="0" xfId="0" applyNumberFormat="1" applyFont="1" applyBorder="1"/>
    <xf numFmtId="10" fontId="1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166" fontId="1" fillId="0" borderId="1" xfId="2" applyNumberFormat="1" applyFont="1" applyBorder="1"/>
    <xf numFmtId="166" fontId="1" fillId="0" borderId="0" xfId="2" applyNumberFormat="1" applyFont="1" applyAlignment="1">
      <alignment horizontal="center"/>
    </xf>
    <xf numFmtId="166" fontId="1" fillId="0" borderId="0" xfId="2" applyNumberFormat="1" applyFont="1"/>
    <xf numFmtId="166" fontId="1" fillId="0" borderId="0" xfId="2" applyNumberFormat="1" applyFont="1" applyBorder="1"/>
    <xf numFmtId="0" fontId="1" fillId="0" borderId="0" xfId="0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165" fontId="1" fillId="0" borderId="0" xfId="0" applyNumberFormat="1" applyFont="1" applyFill="1"/>
    <xf numFmtId="166" fontId="1" fillId="0" borderId="0" xfId="2" applyNumberFormat="1" applyFont="1" applyFill="1"/>
    <xf numFmtId="10" fontId="1" fillId="0" borderId="0" xfId="0" applyNumberFormat="1" applyFont="1" applyFill="1"/>
    <xf numFmtId="0" fontId="5" fillId="0" borderId="0" xfId="0" applyFont="1" applyFill="1"/>
    <xf numFmtId="0" fontId="1" fillId="0" borderId="0" xfId="0" applyFont="1" applyBorder="1" applyAlignment="1">
      <alignment horizontal="center"/>
    </xf>
    <xf numFmtId="166" fontId="1" fillId="0" borderId="1" xfId="2" applyNumberFormat="1" applyFont="1" applyBorder="1" applyAlignment="1">
      <alignment horizontal="center"/>
    </xf>
    <xf numFmtId="3" fontId="3" fillId="0" borderId="1" xfId="0" applyNumberFormat="1" applyFont="1" applyBorder="1"/>
    <xf numFmtId="9" fontId="1" fillId="0" borderId="0" xfId="1" applyFont="1" applyAlignment="1">
      <alignment horizontal="center"/>
    </xf>
    <xf numFmtId="43" fontId="1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6" fontId="1" fillId="0" borderId="0" xfId="2" applyNumberFormat="1" applyFont="1" applyAlignment="1">
      <alignment horizontal="right"/>
    </xf>
    <xf numFmtId="166" fontId="1" fillId="0" borderId="1" xfId="2" applyNumberFormat="1" applyFont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6"/>
  <sheetViews>
    <sheetView tabSelected="1" workbookViewId="0">
      <pane ySplit="7" topLeftCell="A38" activePane="bottomLeft" state="frozen"/>
      <selection pane="bottomLeft" activeCell="O7" sqref="O7"/>
    </sheetView>
  </sheetViews>
  <sheetFormatPr defaultColWidth="9.1796875" defaultRowHeight="11.5" x14ac:dyDescent="0.25"/>
  <cols>
    <col min="1" max="1" width="0" style="1" hidden="1" customWidth="1"/>
    <col min="2" max="2" width="0" style="52" hidden="1" customWidth="1"/>
    <col min="3" max="3" width="14.453125" style="1" bestFit="1" customWidth="1"/>
    <col min="4" max="4" width="1" style="1" customWidth="1"/>
    <col min="5" max="5" width="6.26953125" style="1" bestFit="1" customWidth="1"/>
    <col min="6" max="6" width="0.81640625" style="1" customWidth="1"/>
    <col min="7" max="7" width="9.453125" style="1" bestFit="1" customWidth="1"/>
    <col min="8" max="8" width="3.54296875" style="1" customWidth="1"/>
    <col min="9" max="9" width="9.453125" style="18" bestFit="1" customWidth="1"/>
    <col min="10" max="10" width="1" style="1" customWidth="1"/>
    <col min="11" max="11" width="8.54296875" style="8" bestFit="1" customWidth="1"/>
    <col min="12" max="12" width="1" style="1" customWidth="1"/>
    <col min="13" max="13" width="8.54296875" style="1" bestFit="1" customWidth="1"/>
    <col min="14" max="14" width="0.7265625" style="1" customWidth="1"/>
    <col min="15" max="15" width="11.7265625" style="8" customWidth="1"/>
    <col min="16" max="16" width="1.1796875" style="1" customWidth="1"/>
    <col min="17" max="17" width="11.08984375" style="1" hidden="1" customWidth="1"/>
    <col min="18" max="18" width="1.1796875" style="1" hidden="1" customWidth="1"/>
    <col min="19" max="19" width="11.6328125" style="1" customWidth="1"/>
    <col min="20" max="20" width="1" style="1" customWidth="1"/>
    <col min="21" max="21" width="9.36328125" style="40" bestFit="1" customWidth="1"/>
    <col min="22" max="22" width="1" style="1" customWidth="1"/>
    <col min="23" max="23" width="6.54296875" style="10" bestFit="1" customWidth="1"/>
    <col min="24" max="24" width="1.1796875" style="10" customWidth="1"/>
    <col min="25" max="25" width="9" style="19" bestFit="1" customWidth="1"/>
    <col min="26" max="26" width="1" style="1" customWidth="1"/>
    <col min="27" max="27" width="11.1796875" style="8" bestFit="1" customWidth="1"/>
    <col min="28" max="28" width="1.26953125" style="1" customWidth="1"/>
    <col min="29" max="29" width="9.90625" style="8" bestFit="1" customWidth="1"/>
    <col min="30" max="30" width="9.1796875" style="1"/>
    <col min="31" max="33" width="10.81640625" style="1" bestFit="1" customWidth="1"/>
    <col min="34" max="16384" width="9.1796875" style="1"/>
  </cols>
  <sheetData>
    <row r="1" spans="1:30" ht="15" x14ac:dyDescent="0.3">
      <c r="B1" s="53"/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30" ht="15" x14ac:dyDescent="0.3">
      <c r="C2" s="54" t="s">
        <v>68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0" x14ac:dyDescent="0.25">
      <c r="C3" s="2"/>
      <c r="D3" s="2"/>
      <c r="E3" s="2"/>
      <c r="F3" s="2"/>
      <c r="G3" s="2"/>
      <c r="H3" s="2"/>
      <c r="I3" s="15"/>
      <c r="J3" s="2"/>
      <c r="K3" s="3"/>
      <c r="L3" s="2"/>
      <c r="M3" s="2"/>
      <c r="N3" s="2"/>
      <c r="O3" s="3"/>
      <c r="P3" s="2"/>
      <c r="Q3" s="2"/>
      <c r="R3" s="2"/>
      <c r="S3" s="2"/>
      <c r="T3" s="2"/>
      <c r="U3" s="38"/>
      <c r="V3" s="2"/>
      <c r="W3" s="4"/>
      <c r="X3" s="4"/>
      <c r="Y3" s="20"/>
      <c r="Z3" s="2"/>
      <c r="AA3" s="3"/>
      <c r="AB3" s="2"/>
      <c r="AC3" s="3"/>
    </row>
    <row r="4" spans="1:30" x14ac:dyDescent="0.25">
      <c r="C4" s="5" t="s">
        <v>9</v>
      </c>
      <c r="D4" s="5"/>
      <c r="E4" s="5" t="s">
        <v>10</v>
      </c>
      <c r="F4" s="5"/>
      <c r="G4" s="5" t="s">
        <v>11</v>
      </c>
      <c r="H4" s="5"/>
      <c r="I4" s="6" t="s">
        <v>13</v>
      </c>
      <c r="J4" s="5"/>
      <c r="K4" s="5" t="s">
        <v>14</v>
      </c>
      <c r="L4" s="5"/>
      <c r="M4" s="5" t="s">
        <v>15</v>
      </c>
      <c r="N4" s="5"/>
      <c r="O4" s="5" t="s">
        <v>16</v>
      </c>
      <c r="P4" s="5"/>
      <c r="Q4" s="5" t="s">
        <v>14</v>
      </c>
      <c r="R4" s="5"/>
      <c r="S4" s="5" t="s">
        <v>17</v>
      </c>
      <c r="T4" s="5"/>
      <c r="U4" s="5" t="s">
        <v>116</v>
      </c>
      <c r="V4" s="5"/>
      <c r="W4" s="5" t="s">
        <v>117</v>
      </c>
      <c r="X4" s="7"/>
      <c r="Y4" s="5" t="s">
        <v>118</v>
      </c>
      <c r="Z4" s="5"/>
      <c r="AA4" s="5" t="s">
        <v>119</v>
      </c>
      <c r="AB4" s="5"/>
      <c r="AC4" s="5" t="s">
        <v>120</v>
      </c>
    </row>
    <row r="5" spans="1:30" x14ac:dyDescent="0.25">
      <c r="G5" s="9" t="s">
        <v>80</v>
      </c>
      <c r="I5" s="16" t="s">
        <v>67</v>
      </c>
      <c r="K5" s="6" t="s">
        <v>67</v>
      </c>
      <c r="O5" s="6" t="s">
        <v>5</v>
      </c>
      <c r="S5" s="9" t="s">
        <v>5</v>
      </c>
      <c r="U5" s="39" t="s">
        <v>105</v>
      </c>
      <c r="V5" s="9"/>
      <c r="W5" s="7"/>
      <c r="X5" s="7"/>
    </row>
    <row r="6" spans="1:30" ht="9.5" customHeight="1" x14ac:dyDescent="0.25">
      <c r="B6" s="52" t="s">
        <v>112</v>
      </c>
      <c r="G6" s="9" t="s">
        <v>82</v>
      </c>
      <c r="I6" s="16" t="s">
        <v>71</v>
      </c>
      <c r="K6" s="6" t="s">
        <v>3</v>
      </c>
      <c r="M6" s="9" t="s">
        <v>4</v>
      </c>
      <c r="O6" s="6" t="s">
        <v>2</v>
      </c>
      <c r="Q6" s="9" t="s">
        <v>102</v>
      </c>
      <c r="S6" s="9" t="s">
        <v>6</v>
      </c>
      <c r="U6" s="39" t="s">
        <v>104</v>
      </c>
      <c r="V6" s="9"/>
      <c r="W6" s="49" t="s">
        <v>83</v>
      </c>
      <c r="X6" s="49"/>
      <c r="Y6" s="24"/>
      <c r="AA6" s="55" t="s">
        <v>8</v>
      </c>
      <c r="AB6" s="55"/>
      <c r="AC6" s="55"/>
    </row>
    <row r="7" spans="1:30" x14ac:dyDescent="0.25">
      <c r="B7" s="52" t="s">
        <v>115</v>
      </c>
      <c r="C7" s="11" t="s">
        <v>1</v>
      </c>
      <c r="D7" s="2"/>
      <c r="E7" s="11" t="s">
        <v>96</v>
      </c>
      <c r="F7" s="2"/>
      <c r="G7" s="11" t="s">
        <v>84</v>
      </c>
      <c r="H7" s="2"/>
      <c r="I7" s="17" t="s">
        <v>85</v>
      </c>
      <c r="J7" s="2"/>
      <c r="K7" s="12" t="s">
        <v>86</v>
      </c>
      <c r="L7" s="2"/>
      <c r="M7" s="11" t="s">
        <v>87</v>
      </c>
      <c r="N7" s="2"/>
      <c r="O7" s="12" t="s">
        <v>88</v>
      </c>
      <c r="P7" s="2"/>
      <c r="Q7" s="28" t="s">
        <v>103</v>
      </c>
      <c r="R7" s="2"/>
      <c r="S7" s="11" t="s">
        <v>88</v>
      </c>
      <c r="T7" s="2"/>
      <c r="U7" s="50" t="s">
        <v>106</v>
      </c>
      <c r="V7" s="28"/>
      <c r="W7" s="13" t="s">
        <v>89</v>
      </c>
      <c r="X7" s="13"/>
      <c r="Y7" s="22" t="s">
        <v>90</v>
      </c>
      <c r="Z7" s="2"/>
      <c r="AA7" s="12" t="s">
        <v>7</v>
      </c>
      <c r="AB7" s="11"/>
      <c r="AC7" s="12" t="s">
        <v>66</v>
      </c>
      <c r="AD7" s="1" t="s">
        <v>108</v>
      </c>
    </row>
    <row r="9" spans="1:30" x14ac:dyDescent="0.25">
      <c r="A9" s="1" t="s">
        <v>113</v>
      </c>
      <c r="B9" s="52">
        <v>0.78</v>
      </c>
      <c r="C9" s="1" t="s">
        <v>27</v>
      </c>
      <c r="E9" s="1" t="s">
        <v>61</v>
      </c>
      <c r="G9" s="1">
        <v>808</v>
      </c>
      <c r="I9" s="18">
        <v>1.83E-2</v>
      </c>
      <c r="K9" s="8">
        <v>4933304.5999999996</v>
      </c>
      <c r="M9" s="1">
        <v>3</v>
      </c>
      <c r="O9" s="26">
        <v>570186872</v>
      </c>
      <c r="P9" s="26"/>
      <c r="Q9" s="26">
        <v>-75371489</v>
      </c>
      <c r="R9" s="26"/>
      <c r="S9" s="26">
        <f t="shared" ref="S9:S19" si="0">O9+Q9</f>
        <v>494815383</v>
      </c>
      <c r="U9" s="40">
        <v>7304</v>
      </c>
      <c r="W9" s="10">
        <f t="shared" ref="W9:W19" si="1">+K9/(G9*8760)</f>
        <v>0.69698344748858443</v>
      </c>
      <c r="Y9" s="19" t="s">
        <v>70</v>
      </c>
      <c r="Z9" s="8">
        <f t="shared" ref="Z9:Z19" si="2">+T9*P9</f>
        <v>0</v>
      </c>
      <c r="AA9" s="26">
        <f t="shared" ref="AA9:AA19" si="3">+S9</f>
        <v>494815383</v>
      </c>
      <c r="AB9" s="26"/>
      <c r="AC9" s="26">
        <v>0</v>
      </c>
    </row>
    <row r="10" spans="1:30" x14ac:dyDescent="0.25">
      <c r="A10" s="1" t="s">
        <v>113</v>
      </c>
      <c r="B10" s="52">
        <v>0.81</v>
      </c>
      <c r="C10" s="1" t="s">
        <v>58</v>
      </c>
      <c r="E10" s="1" t="s">
        <v>60</v>
      </c>
      <c r="G10" s="1">
        <f>838-209</f>
        <v>629</v>
      </c>
      <c r="H10" s="1" t="s">
        <v>81</v>
      </c>
      <c r="I10" s="18">
        <v>1.9599999999999999E-2</v>
      </c>
      <c r="K10" s="8">
        <v>2910263.45</v>
      </c>
      <c r="M10" s="1">
        <v>4</v>
      </c>
      <c r="O10" s="26">
        <v>1411623602</v>
      </c>
      <c r="P10" s="26"/>
      <c r="Q10" s="26">
        <v>-300176139</v>
      </c>
      <c r="R10" s="26"/>
      <c r="S10" s="26">
        <f t="shared" si="0"/>
        <v>1111447463</v>
      </c>
      <c r="U10" s="40">
        <v>6468</v>
      </c>
      <c r="W10" s="10">
        <f t="shared" si="1"/>
        <v>0.52817465027477117</v>
      </c>
      <c r="Y10" s="19" t="s">
        <v>70</v>
      </c>
      <c r="Z10" s="8">
        <f t="shared" si="2"/>
        <v>0</v>
      </c>
      <c r="AA10" s="26">
        <f t="shared" si="3"/>
        <v>1111447463</v>
      </c>
      <c r="AB10" s="26"/>
      <c r="AC10" s="26">
        <v>0</v>
      </c>
    </row>
    <row r="11" spans="1:30" x14ac:dyDescent="0.25">
      <c r="A11" s="1" t="s">
        <v>114</v>
      </c>
      <c r="B11" s="52">
        <v>0</v>
      </c>
      <c r="C11" s="1" t="s">
        <v>65</v>
      </c>
      <c r="E11" s="1" t="s">
        <v>60</v>
      </c>
      <c r="G11" s="1">
        <v>425</v>
      </c>
      <c r="H11" s="1" t="s">
        <v>81</v>
      </c>
      <c r="I11" s="18">
        <v>2.0500000000000001E-2</v>
      </c>
      <c r="K11" s="8">
        <v>2400269.0699999998</v>
      </c>
      <c r="M11" s="1">
        <v>5</v>
      </c>
      <c r="O11" s="26">
        <v>662350173</v>
      </c>
      <c r="P11" s="26"/>
      <c r="Q11" s="26">
        <v>-282506954</v>
      </c>
      <c r="R11" s="26"/>
      <c r="S11" s="26">
        <f t="shared" si="0"/>
        <v>379843219</v>
      </c>
      <c r="U11" s="40">
        <v>7156</v>
      </c>
      <c r="W11" s="10">
        <f t="shared" si="1"/>
        <v>0.64471369057211925</v>
      </c>
      <c r="Y11" s="19" t="s">
        <v>70</v>
      </c>
      <c r="Z11" s="8">
        <f t="shared" si="2"/>
        <v>0</v>
      </c>
      <c r="AA11" s="26">
        <f t="shared" si="3"/>
        <v>379843219</v>
      </c>
      <c r="AB11" s="26"/>
      <c r="AC11" s="26">
        <v>0</v>
      </c>
    </row>
    <row r="12" spans="1:30" x14ac:dyDescent="0.25">
      <c r="A12" s="1" t="s">
        <v>114</v>
      </c>
      <c r="B12" s="52">
        <v>0</v>
      </c>
      <c r="C12" s="1" t="s">
        <v>37</v>
      </c>
      <c r="E12" s="1" t="s">
        <v>60</v>
      </c>
      <c r="G12" s="1">
        <v>356</v>
      </c>
      <c r="I12" s="18">
        <v>2.1299999999999999E-2</v>
      </c>
      <c r="K12" s="8">
        <v>2011881.12</v>
      </c>
      <c r="M12" s="1">
        <v>6</v>
      </c>
      <c r="O12" s="26">
        <v>304789474</v>
      </c>
      <c r="P12" s="26"/>
      <c r="Q12" s="26">
        <v>-145405013</v>
      </c>
      <c r="R12" s="26"/>
      <c r="S12" s="26">
        <f t="shared" si="0"/>
        <v>159384461</v>
      </c>
      <c r="U12" s="40">
        <v>7723</v>
      </c>
      <c r="W12" s="10">
        <f t="shared" si="1"/>
        <v>0.64513144528243804</v>
      </c>
      <c r="Y12" s="19" t="s">
        <v>70</v>
      </c>
      <c r="Z12" s="8">
        <f t="shared" si="2"/>
        <v>0</v>
      </c>
      <c r="AA12" s="26">
        <f t="shared" si="3"/>
        <v>159384461</v>
      </c>
      <c r="AB12" s="26"/>
      <c r="AC12" s="26">
        <v>0</v>
      </c>
    </row>
    <row r="13" spans="1:30" x14ac:dyDescent="0.25">
      <c r="A13" s="1" t="s">
        <v>114</v>
      </c>
      <c r="B13" s="52">
        <v>0</v>
      </c>
      <c r="C13" s="1" t="s">
        <v>40</v>
      </c>
      <c r="E13" s="1" t="s">
        <v>60</v>
      </c>
      <c r="G13" s="1">
        <v>544</v>
      </c>
      <c r="I13" s="18">
        <v>2.1100000000000001E-2</v>
      </c>
      <c r="K13" s="8">
        <v>3155834.84</v>
      </c>
      <c r="M13" s="1">
        <v>7</v>
      </c>
      <c r="O13" s="26">
        <v>1167644074</v>
      </c>
      <c r="P13" s="26"/>
      <c r="Q13" s="26">
        <v>-294332500</v>
      </c>
      <c r="R13" s="26"/>
      <c r="S13" s="26">
        <f t="shared" si="0"/>
        <v>873311574</v>
      </c>
      <c r="U13" s="40">
        <v>7951</v>
      </c>
      <c r="W13" s="10">
        <f t="shared" si="1"/>
        <v>0.66223367412033307</v>
      </c>
      <c r="Y13" s="19" t="s">
        <v>70</v>
      </c>
      <c r="Z13" s="8">
        <f t="shared" si="2"/>
        <v>0</v>
      </c>
      <c r="AA13" s="26">
        <f t="shared" si="3"/>
        <v>873311574</v>
      </c>
      <c r="AB13" s="26"/>
      <c r="AC13" s="26">
        <v>0</v>
      </c>
    </row>
    <row r="14" spans="1:30" x14ac:dyDescent="0.25">
      <c r="A14" s="1" t="s">
        <v>114</v>
      </c>
      <c r="B14" s="52">
        <v>0</v>
      </c>
      <c r="C14" s="1" t="s">
        <v>38</v>
      </c>
      <c r="E14" s="1" t="s">
        <v>60</v>
      </c>
      <c r="G14" s="1">
        <v>356</v>
      </c>
      <c r="I14" s="18">
        <v>2.12E-2</v>
      </c>
      <c r="K14" s="8">
        <v>803712.08</v>
      </c>
      <c r="M14" s="1">
        <v>8</v>
      </c>
      <c r="O14" s="26">
        <v>400343253</v>
      </c>
      <c r="P14" s="26"/>
      <c r="Q14" s="26">
        <v>-98782693</v>
      </c>
      <c r="R14" s="26"/>
      <c r="S14" s="26">
        <f t="shared" si="0"/>
        <v>301560560</v>
      </c>
      <c r="U14" s="40">
        <v>3070</v>
      </c>
      <c r="W14" s="10">
        <f t="shared" si="1"/>
        <v>0.25771897285926837</v>
      </c>
      <c r="Y14" s="19" t="s">
        <v>70</v>
      </c>
      <c r="Z14" s="8">
        <f t="shared" si="2"/>
        <v>0</v>
      </c>
      <c r="AA14" s="26">
        <f t="shared" si="3"/>
        <v>301560560</v>
      </c>
      <c r="AB14" s="26"/>
      <c r="AC14" s="26">
        <v>0</v>
      </c>
      <c r="AD14" s="1" t="s">
        <v>110</v>
      </c>
    </row>
    <row r="15" spans="1:30" x14ac:dyDescent="0.25">
      <c r="A15" s="1" t="s">
        <v>114</v>
      </c>
      <c r="B15" s="52">
        <v>0</v>
      </c>
      <c r="C15" s="1" t="s">
        <v>39</v>
      </c>
      <c r="E15" s="1" t="s">
        <v>60</v>
      </c>
      <c r="G15" s="1">
        <v>463</v>
      </c>
      <c r="I15" s="18">
        <v>2.1600000000000001E-2</v>
      </c>
      <c r="K15" s="8">
        <v>2296900.91</v>
      </c>
      <c r="M15" s="1">
        <v>9</v>
      </c>
      <c r="O15" s="26">
        <v>561923387</v>
      </c>
      <c r="P15" s="26"/>
      <c r="Q15" s="26">
        <v>-160731068</v>
      </c>
      <c r="R15" s="26"/>
      <c r="S15" s="26">
        <f t="shared" si="0"/>
        <v>401192319</v>
      </c>
      <c r="U15" s="40">
        <v>6927</v>
      </c>
      <c r="W15" s="10">
        <f t="shared" si="1"/>
        <v>0.56631382338727976</v>
      </c>
      <c r="Y15" s="19" t="s">
        <v>70</v>
      </c>
      <c r="Z15" s="8">
        <f t="shared" si="2"/>
        <v>0</v>
      </c>
      <c r="AA15" s="26">
        <f t="shared" si="3"/>
        <v>401192319</v>
      </c>
      <c r="AB15" s="26"/>
      <c r="AC15" s="26">
        <v>0</v>
      </c>
    </row>
    <row r="16" spans="1:30" x14ac:dyDescent="0.25">
      <c r="A16" s="1" t="s">
        <v>112</v>
      </c>
      <c r="B16" s="52">
        <v>1</v>
      </c>
      <c r="C16" s="1" t="s">
        <v>31</v>
      </c>
      <c r="E16" s="1" t="s">
        <v>60</v>
      </c>
      <c r="G16" s="1">
        <v>557</v>
      </c>
      <c r="I16" s="18">
        <v>2.1000000000000001E-2</v>
      </c>
      <c r="K16" s="8">
        <v>2595109.8199999998</v>
      </c>
      <c r="M16" s="1">
        <v>10</v>
      </c>
      <c r="O16" s="26">
        <v>734078843</v>
      </c>
      <c r="P16" s="26"/>
      <c r="Q16" s="26">
        <v>-340050122</v>
      </c>
      <c r="R16" s="26"/>
      <c r="S16" s="26">
        <f t="shared" si="0"/>
        <v>394028721</v>
      </c>
      <c r="U16" s="40">
        <v>6882</v>
      </c>
      <c r="W16" s="10">
        <f t="shared" si="1"/>
        <v>0.53185891066787994</v>
      </c>
      <c r="Y16" s="19" t="s">
        <v>70</v>
      </c>
      <c r="Z16" s="8">
        <f t="shared" si="2"/>
        <v>0</v>
      </c>
      <c r="AA16" s="26">
        <f t="shared" si="3"/>
        <v>394028721</v>
      </c>
      <c r="AB16" s="26"/>
      <c r="AC16" s="26">
        <v>0</v>
      </c>
    </row>
    <row r="17" spans="1:30" x14ac:dyDescent="0.25">
      <c r="A17" s="1" t="s">
        <v>112</v>
      </c>
      <c r="B17" s="52">
        <v>1</v>
      </c>
      <c r="C17" s="1" t="s">
        <v>32</v>
      </c>
      <c r="E17" s="1" t="s">
        <v>60</v>
      </c>
      <c r="G17" s="1">
        <v>556</v>
      </c>
      <c r="I17" s="18">
        <v>2.1100000000000001E-2</v>
      </c>
      <c r="K17" s="8">
        <v>2702053.93</v>
      </c>
      <c r="M17" s="1">
        <v>11</v>
      </c>
      <c r="O17" s="26">
        <v>448900563</v>
      </c>
      <c r="P17" s="26"/>
      <c r="Q17" s="26">
        <v>-216654807</v>
      </c>
      <c r="R17" s="26"/>
      <c r="S17" s="26">
        <f t="shared" si="0"/>
        <v>232245756</v>
      </c>
      <c r="U17" s="40">
        <v>7331</v>
      </c>
      <c r="W17" s="10">
        <f t="shared" si="1"/>
        <v>0.55477274276469235</v>
      </c>
      <c r="Y17" s="19" t="s">
        <v>70</v>
      </c>
      <c r="Z17" s="8">
        <f t="shared" si="2"/>
        <v>0</v>
      </c>
      <c r="AA17" s="26">
        <f t="shared" si="3"/>
        <v>232245756</v>
      </c>
      <c r="AB17" s="26"/>
      <c r="AC17" s="26">
        <v>0</v>
      </c>
    </row>
    <row r="18" spans="1:30" x14ac:dyDescent="0.25">
      <c r="A18" s="1" t="s">
        <v>112</v>
      </c>
      <c r="B18" s="52">
        <v>1</v>
      </c>
      <c r="C18" s="1" t="s">
        <v>33</v>
      </c>
      <c r="E18" s="1" t="s">
        <v>60</v>
      </c>
      <c r="G18" s="1">
        <v>557</v>
      </c>
      <c r="I18" s="18">
        <v>2.1100000000000001E-2</v>
      </c>
      <c r="K18" s="8">
        <v>2501699.5699999998</v>
      </c>
      <c r="M18" s="1">
        <v>12</v>
      </c>
      <c r="O18" s="26">
        <v>726483326</v>
      </c>
      <c r="P18" s="26"/>
      <c r="Q18" s="26">
        <v>-346839753</v>
      </c>
      <c r="R18" s="26"/>
      <c r="S18" s="26">
        <f t="shared" si="0"/>
        <v>379643573</v>
      </c>
      <c r="U18" s="40">
        <v>7317</v>
      </c>
      <c r="W18" s="10">
        <f t="shared" si="1"/>
        <v>0.51271479837354383</v>
      </c>
      <c r="Y18" s="19" t="s">
        <v>70</v>
      </c>
      <c r="Z18" s="8">
        <f t="shared" si="2"/>
        <v>0</v>
      </c>
      <c r="AA18" s="26">
        <f t="shared" si="3"/>
        <v>379643573</v>
      </c>
      <c r="AB18" s="26"/>
      <c r="AC18" s="26">
        <v>0</v>
      </c>
    </row>
    <row r="19" spans="1:30" x14ac:dyDescent="0.25">
      <c r="A19" s="1" t="s">
        <v>112</v>
      </c>
      <c r="B19" s="52">
        <v>1</v>
      </c>
      <c r="C19" s="1" t="s">
        <v>34</v>
      </c>
      <c r="E19" s="1" t="s">
        <v>60</v>
      </c>
      <c r="G19" s="1">
        <v>556</v>
      </c>
      <c r="I19" s="18">
        <v>2.1399999999999999E-2</v>
      </c>
      <c r="K19" s="8">
        <v>2311311.73</v>
      </c>
      <c r="M19" s="1">
        <v>13</v>
      </c>
      <c r="O19" s="26">
        <v>1458257674</v>
      </c>
      <c r="P19" s="26"/>
      <c r="Q19" s="26">
        <v>-463695479</v>
      </c>
      <c r="R19" s="26"/>
      <c r="S19" s="26">
        <f t="shared" si="0"/>
        <v>994562195</v>
      </c>
      <c r="U19" s="40">
        <v>6750</v>
      </c>
      <c r="W19" s="10">
        <f t="shared" si="1"/>
        <v>0.47454742986432769</v>
      </c>
      <c r="Y19" s="19" t="s">
        <v>70</v>
      </c>
      <c r="Z19" s="8">
        <f t="shared" si="2"/>
        <v>0</v>
      </c>
      <c r="AA19" s="26">
        <f t="shared" si="3"/>
        <v>994562195</v>
      </c>
      <c r="AB19" s="26"/>
      <c r="AC19" s="26">
        <v>0</v>
      </c>
    </row>
    <row r="20" spans="1:30" x14ac:dyDescent="0.25">
      <c r="O20" s="26"/>
      <c r="P20" s="26"/>
      <c r="Q20" s="26"/>
      <c r="R20" s="26"/>
      <c r="S20" s="26"/>
      <c r="Z20" s="8"/>
      <c r="AA20" s="26"/>
      <c r="AB20" s="26"/>
      <c r="AC20" s="26"/>
    </row>
    <row r="21" spans="1:30" x14ac:dyDescent="0.25">
      <c r="A21" s="1" t="s">
        <v>112</v>
      </c>
      <c r="B21" s="52">
        <v>1</v>
      </c>
      <c r="C21" s="1" t="s">
        <v>18</v>
      </c>
      <c r="E21" s="1" t="s">
        <v>60</v>
      </c>
      <c r="G21" s="1">
        <v>464</v>
      </c>
      <c r="I21" s="18">
        <v>3.3000000000000002E-2</v>
      </c>
      <c r="K21" s="8">
        <v>754401.68</v>
      </c>
      <c r="M21" s="1">
        <v>15</v>
      </c>
      <c r="O21" s="26">
        <v>1020978028</v>
      </c>
      <c r="P21" s="26"/>
      <c r="Q21" s="26">
        <v>-331093724</v>
      </c>
      <c r="R21" s="26"/>
      <c r="S21" s="26">
        <f>O21+Q21</f>
        <v>689884304</v>
      </c>
      <c r="U21" s="40">
        <v>4855</v>
      </c>
      <c r="W21" s="10">
        <f>+K21/(G21*8760)</f>
        <v>0.1856011061250197</v>
      </c>
      <c r="Y21" s="19" t="s">
        <v>72</v>
      </c>
      <c r="Z21" s="8">
        <f>+T21*P21</f>
        <v>0</v>
      </c>
      <c r="AA21" s="26">
        <f>W21*S21</f>
        <v>128043289.92068936</v>
      </c>
      <c r="AB21" s="26"/>
      <c r="AC21" s="26">
        <f>S21-AA21</f>
        <v>561841014.07931066</v>
      </c>
      <c r="AD21" s="30"/>
    </row>
    <row r="22" spans="1:30" x14ac:dyDescent="0.25">
      <c r="A22" s="1" t="s">
        <v>113</v>
      </c>
      <c r="B22" s="52">
        <v>0.71</v>
      </c>
      <c r="C22" s="1" t="s">
        <v>52</v>
      </c>
      <c r="E22" s="1" t="s">
        <v>61</v>
      </c>
      <c r="G22" s="1">
        <v>199</v>
      </c>
      <c r="I22" s="18">
        <v>3.44E-2</v>
      </c>
      <c r="K22" s="8">
        <v>432131.31</v>
      </c>
      <c r="M22" s="1">
        <v>16</v>
      </c>
      <c r="O22" s="26">
        <v>72409648</v>
      </c>
      <c r="P22" s="26"/>
      <c r="Q22" s="26">
        <v>-40234536</v>
      </c>
      <c r="R22" s="26"/>
      <c r="S22" s="26">
        <f>O22+Q22</f>
        <v>32175112</v>
      </c>
      <c r="U22" s="40">
        <v>2736</v>
      </c>
      <c r="W22" s="10">
        <f>+K22/(G22*8760)</f>
        <v>0.24788973979486473</v>
      </c>
      <c r="Y22" s="19" t="s">
        <v>72</v>
      </c>
      <c r="Z22" s="8">
        <f>+T22*P22</f>
        <v>0</v>
      </c>
      <c r="AA22" s="26">
        <f>W22*S22</f>
        <v>7975880.1415506294</v>
      </c>
      <c r="AB22" s="26"/>
      <c r="AC22" s="26">
        <f>S22-AA22</f>
        <v>24199231.85844937</v>
      </c>
    </row>
    <row r="23" spans="1:30" x14ac:dyDescent="0.25">
      <c r="A23" s="1" t="s">
        <v>113</v>
      </c>
      <c r="B23" s="52">
        <v>0.71</v>
      </c>
      <c r="C23" s="1" t="s">
        <v>53</v>
      </c>
      <c r="E23" s="1" t="s">
        <v>61</v>
      </c>
      <c r="G23" s="1">
        <v>199</v>
      </c>
      <c r="I23" s="18">
        <v>3.6700000000000003E-2</v>
      </c>
      <c r="K23" s="8">
        <v>335063.59999999998</v>
      </c>
      <c r="M23" s="1">
        <v>17</v>
      </c>
      <c r="O23" s="26">
        <v>66354392</v>
      </c>
      <c r="P23" s="26"/>
      <c r="Q23" s="26">
        <v>-38498563</v>
      </c>
      <c r="R23" s="26"/>
      <c r="S23" s="26">
        <f>O23+Q23</f>
        <v>27855829</v>
      </c>
      <c r="U23" s="40">
        <v>2134</v>
      </c>
      <c r="W23" s="10">
        <f>+K23/(G23*8760)</f>
        <v>0.19220738395172207</v>
      </c>
      <c r="Y23" s="19" t="s">
        <v>72</v>
      </c>
      <c r="Z23" s="8">
        <f>+T23*P23</f>
        <v>0</v>
      </c>
      <c r="AA23" s="26">
        <f>W23*S23</f>
        <v>5354096.0198965147</v>
      </c>
      <c r="AB23" s="26"/>
      <c r="AC23" s="26">
        <f>S23-AA23</f>
        <v>22501732.980103485</v>
      </c>
    </row>
    <row r="24" spans="1:30" x14ac:dyDescent="0.25">
      <c r="A24" s="1" t="s">
        <v>113</v>
      </c>
      <c r="B24" s="52">
        <v>0.47</v>
      </c>
      <c r="C24" s="1" t="s">
        <v>19</v>
      </c>
      <c r="E24" s="1" t="s">
        <v>61</v>
      </c>
      <c r="G24" s="1">
        <v>123</v>
      </c>
      <c r="I24" s="18">
        <v>3.4500000000000003E-2</v>
      </c>
      <c r="K24" s="8">
        <v>97182.11</v>
      </c>
      <c r="M24" s="1">
        <v>27</v>
      </c>
      <c r="O24" s="26">
        <v>54981642</v>
      </c>
      <c r="P24" s="26"/>
      <c r="Q24" s="26">
        <v>-30223273</v>
      </c>
      <c r="R24" s="26"/>
      <c r="S24" s="26">
        <f>O24+Q24</f>
        <v>24758369</v>
      </c>
      <c r="U24" s="40">
        <v>1373</v>
      </c>
      <c r="W24" s="10">
        <f>+K24/(G24*8760)</f>
        <v>9.0193887589560831E-2</v>
      </c>
      <c r="Y24" s="19" t="s">
        <v>72</v>
      </c>
      <c r="Z24" s="8">
        <f>+T24*P24</f>
        <v>0</v>
      </c>
      <c r="AA24" s="26">
        <f>W24*S24</f>
        <v>2233053.5504868678</v>
      </c>
      <c r="AB24" s="26"/>
      <c r="AC24" s="26">
        <f>S24-AA24</f>
        <v>22525315.449513134</v>
      </c>
    </row>
    <row r="25" spans="1:30" x14ac:dyDescent="0.25">
      <c r="O25" s="26"/>
      <c r="P25" s="26"/>
      <c r="Q25" s="26"/>
      <c r="R25" s="26"/>
      <c r="S25" s="26"/>
      <c r="Z25" s="8"/>
      <c r="AA25" s="26"/>
      <c r="AB25" s="26"/>
      <c r="AC25" s="26"/>
    </row>
    <row r="26" spans="1:30" x14ac:dyDescent="0.25">
      <c r="A26" s="1" t="s">
        <v>113</v>
      </c>
      <c r="B26" s="52">
        <v>0.63</v>
      </c>
      <c r="C26" s="1" t="s">
        <v>54</v>
      </c>
      <c r="E26" s="1" t="s">
        <v>61</v>
      </c>
      <c r="G26" s="1">
        <v>199</v>
      </c>
      <c r="I26" s="18">
        <v>4.3999999999999997E-2</v>
      </c>
      <c r="K26" s="8">
        <v>196717.87</v>
      </c>
      <c r="M26" s="1">
        <v>18</v>
      </c>
      <c r="O26" s="26">
        <v>59767292</v>
      </c>
      <c r="P26" s="26"/>
      <c r="Q26" s="26">
        <v>-30235479</v>
      </c>
      <c r="R26" s="26"/>
      <c r="S26" s="26">
        <f t="shared" ref="S26:S41" si="4">O26+Q26</f>
        <v>29531813</v>
      </c>
      <c r="U26" s="40">
        <v>1259</v>
      </c>
      <c r="W26" s="10">
        <f t="shared" ref="W26:W41" si="5">+K26/(G26*8760)</f>
        <v>0.11284611986875014</v>
      </c>
      <c r="Y26" s="19" t="s">
        <v>69</v>
      </c>
      <c r="Z26" s="8">
        <f t="shared" ref="Z26:Z41" si="6">+T26*P26</f>
        <v>0</v>
      </c>
      <c r="AA26" s="26">
        <v>0</v>
      </c>
      <c r="AB26" s="26"/>
      <c r="AC26" s="26">
        <f t="shared" ref="AC26:AC41" si="7">+S26</f>
        <v>29531813</v>
      </c>
    </row>
    <row r="27" spans="1:30" x14ac:dyDescent="0.25">
      <c r="A27" s="1" t="s">
        <v>113</v>
      </c>
      <c r="B27" s="52">
        <v>0.63</v>
      </c>
      <c r="C27" s="1" t="s">
        <v>55</v>
      </c>
      <c r="E27" s="1" t="s">
        <v>61</v>
      </c>
      <c r="G27" s="1">
        <v>199</v>
      </c>
      <c r="I27" s="18">
        <v>0.1139</v>
      </c>
      <c r="K27" s="8">
        <v>39287.35</v>
      </c>
      <c r="M27" s="1">
        <v>19</v>
      </c>
      <c r="O27" s="26">
        <v>56919433</v>
      </c>
      <c r="P27" s="26"/>
      <c r="Q27" s="26">
        <v>-30707696</v>
      </c>
      <c r="R27" s="26"/>
      <c r="S27" s="26">
        <f t="shared" si="4"/>
        <v>26211737</v>
      </c>
      <c r="U27" s="40">
        <v>251</v>
      </c>
      <c r="W27" s="10">
        <f t="shared" si="5"/>
        <v>2.2536971386613432E-2</v>
      </c>
      <c r="Y27" s="19" t="s">
        <v>69</v>
      </c>
      <c r="Z27" s="8">
        <f t="shared" si="6"/>
        <v>0</v>
      </c>
      <c r="AA27" s="26">
        <v>0</v>
      </c>
      <c r="AB27" s="26"/>
      <c r="AC27" s="26">
        <f t="shared" si="7"/>
        <v>26211737</v>
      </c>
    </row>
    <row r="28" spans="1:30" x14ac:dyDescent="0.25">
      <c r="A28" s="1" t="s">
        <v>113</v>
      </c>
      <c r="B28" s="52">
        <v>0.63</v>
      </c>
      <c r="C28" s="1" t="s">
        <v>56</v>
      </c>
      <c r="E28" s="1" t="s">
        <v>61</v>
      </c>
      <c r="G28" s="1">
        <v>199</v>
      </c>
      <c r="I28" s="18">
        <v>4.6600000000000003E-2</v>
      </c>
      <c r="K28" s="8">
        <v>170933.61</v>
      </c>
      <c r="M28" s="1">
        <v>20</v>
      </c>
      <c r="O28" s="26">
        <v>57618210</v>
      </c>
      <c r="P28" s="26"/>
      <c r="Q28" s="26">
        <v>-30407395</v>
      </c>
      <c r="R28" s="26"/>
      <c r="S28" s="26">
        <f t="shared" si="4"/>
        <v>27210815</v>
      </c>
      <c r="U28" s="40">
        <v>1084</v>
      </c>
      <c r="W28" s="10">
        <f t="shared" si="5"/>
        <v>9.8055121497900452E-2</v>
      </c>
      <c r="Y28" s="19" t="s">
        <v>69</v>
      </c>
      <c r="Z28" s="8">
        <f t="shared" si="6"/>
        <v>0</v>
      </c>
      <c r="AA28" s="26">
        <v>0</v>
      </c>
      <c r="AB28" s="26"/>
      <c r="AC28" s="26">
        <f t="shared" si="7"/>
        <v>27210815</v>
      </c>
    </row>
    <row r="29" spans="1:30" x14ac:dyDescent="0.25">
      <c r="A29" s="1" t="s">
        <v>113</v>
      </c>
      <c r="B29" s="52">
        <v>0.63</v>
      </c>
      <c r="C29" s="1" t="s">
        <v>57</v>
      </c>
      <c r="E29" s="1" t="s">
        <v>61</v>
      </c>
      <c r="G29" s="1">
        <v>199</v>
      </c>
      <c r="I29" s="18">
        <v>0.18360000000000001</v>
      </c>
      <c r="K29" s="8">
        <v>21846.61</v>
      </c>
      <c r="M29" s="1">
        <v>21</v>
      </c>
      <c r="O29" s="26">
        <v>71654033</v>
      </c>
      <c r="P29" s="26"/>
      <c r="Q29" s="26">
        <v>-35380686</v>
      </c>
      <c r="R29" s="26"/>
      <c r="S29" s="26">
        <f t="shared" si="4"/>
        <v>36273347</v>
      </c>
      <c r="U29" s="40">
        <v>140</v>
      </c>
      <c r="W29" s="10">
        <f t="shared" si="5"/>
        <v>1.2532187191666093E-2</v>
      </c>
      <c r="Y29" s="19" t="s">
        <v>69</v>
      </c>
      <c r="Z29" s="8">
        <f t="shared" si="6"/>
        <v>0</v>
      </c>
      <c r="AA29" s="26">
        <v>0</v>
      </c>
      <c r="AB29" s="26"/>
      <c r="AC29" s="26">
        <f t="shared" si="7"/>
        <v>36273347</v>
      </c>
    </row>
    <row r="30" spans="1:30" x14ac:dyDescent="0.25">
      <c r="A30" s="1" t="s">
        <v>113</v>
      </c>
      <c r="B30" s="52">
        <v>0.62</v>
      </c>
      <c r="C30" s="1" t="s">
        <v>20</v>
      </c>
      <c r="E30" s="1" t="s">
        <v>62</v>
      </c>
      <c r="G30" s="1">
        <v>177</v>
      </c>
      <c r="I30" s="18">
        <v>2.7300000000000001E-2</v>
      </c>
      <c r="K30" s="8">
        <v>112872.47</v>
      </c>
      <c r="M30" s="1">
        <v>22</v>
      </c>
      <c r="O30" s="26">
        <v>79112377</v>
      </c>
      <c r="P30" s="26"/>
      <c r="Q30" s="26">
        <v>-37526148</v>
      </c>
      <c r="R30" s="26"/>
      <c r="S30" s="26">
        <f t="shared" si="4"/>
        <v>41586229</v>
      </c>
      <c r="U30" s="40">
        <v>782</v>
      </c>
      <c r="W30" s="10">
        <f t="shared" si="5"/>
        <v>7.2796526326651706E-2</v>
      </c>
      <c r="Y30" s="19" t="s">
        <v>69</v>
      </c>
      <c r="Z30" s="8">
        <f t="shared" si="6"/>
        <v>0</v>
      </c>
      <c r="AA30" s="26">
        <v>0</v>
      </c>
      <c r="AB30" s="26"/>
      <c r="AC30" s="26">
        <f t="shared" si="7"/>
        <v>41586229</v>
      </c>
    </row>
    <row r="31" spans="1:30" x14ac:dyDescent="0.25">
      <c r="A31" s="1" t="s">
        <v>113</v>
      </c>
      <c r="B31" s="52">
        <v>0.62</v>
      </c>
      <c r="C31" s="31" t="s">
        <v>21</v>
      </c>
      <c r="D31" s="31"/>
      <c r="E31" s="31" t="s">
        <v>62</v>
      </c>
      <c r="F31" s="31"/>
      <c r="G31" s="31">
        <v>177</v>
      </c>
      <c r="H31" s="31"/>
      <c r="I31" s="32">
        <v>2.7099999999999999E-2</v>
      </c>
      <c r="J31" s="31"/>
      <c r="K31" s="33">
        <v>62815.86</v>
      </c>
      <c r="L31" s="31"/>
      <c r="M31" s="31">
        <v>23</v>
      </c>
      <c r="N31" s="31"/>
      <c r="O31" s="34">
        <v>63424666</v>
      </c>
      <c r="P31" s="34"/>
      <c r="Q31" s="34">
        <v>-42377026</v>
      </c>
      <c r="R31" s="34"/>
      <c r="S31" s="26">
        <f t="shared" si="4"/>
        <v>21047640</v>
      </c>
      <c r="T31" s="31"/>
      <c r="U31" s="41">
        <v>433</v>
      </c>
      <c r="V31" s="31"/>
      <c r="W31" s="35">
        <f t="shared" si="5"/>
        <v>4.0512769909449735E-2</v>
      </c>
      <c r="X31" s="35"/>
      <c r="Y31" s="36" t="s">
        <v>69</v>
      </c>
      <c r="Z31" s="33">
        <f t="shared" si="6"/>
        <v>0</v>
      </c>
      <c r="AA31" s="34">
        <v>0</v>
      </c>
      <c r="AB31" s="34"/>
      <c r="AC31" s="34">
        <f t="shared" si="7"/>
        <v>21047640</v>
      </c>
    </row>
    <row r="32" spans="1:30" x14ac:dyDescent="0.25">
      <c r="A32" s="1" t="s">
        <v>113</v>
      </c>
      <c r="B32" s="52">
        <v>0.47</v>
      </c>
      <c r="C32" s="1" t="s">
        <v>51</v>
      </c>
      <c r="E32" s="1" t="s">
        <v>61</v>
      </c>
      <c r="G32" s="1">
        <v>178</v>
      </c>
      <c r="I32" s="18">
        <v>6.1499999999999999E-2</v>
      </c>
      <c r="K32" s="8">
        <v>73300.25</v>
      </c>
      <c r="M32" s="1">
        <v>24</v>
      </c>
      <c r="O32" s="26">
        <v>84355668</v>
      </c>
      <c r="P32" s="26"/>
      <c r="Q32" s="26">
        <v>-41850299</v>
      </c>
      <c r="R32" s="26"/>
      <c r="S32" s="26">
        <f t="shared" si="4"/>
        <v>42505369</v>
      </c>
      <c r="U32" s="40">
        <v>493</v>
      </c>
      <c r="W32" s="10">
        <f t="shared" si="5"/>
        <v>4.7009036221845983E-2</v>
      </c>
      <c r="Y32" s="19" t="s">
        <v>69</v>
      </c>
      <c r="Z32" s="8">
        <f t="shared" si="6"/>
        <v>0</v>
      </c>
      <c r="AA32" s="26">
        <v>0</v>
      </c>
      <c r="AB32" s="26"/>
      <c r="AC32" s="26">
        <f t="shared" si="7"/>
        <v>42505369</v>
      </c>
    </row>
    <row r="33" spans="1:30" x14ac:dyDescent="0.25">
      <c r="A33" s="1" t="s">
        <v>112</v>
      </c>
      <c r="B33" s="52">
        <v>1</v>
      </c>
      <c r="C33" s="1" t="s">
        <v>23</v>
      </c>
      <c r="E33" s="1" t="s">
        <v>62</v>
      </c>
      <c r="G33" s="1">
        <v>126</v>
      </c>
      <c r="I33" s="18">
        <v>3.9399999999999998E-2</v>
      </c>
      <c r="K33" s="8">
        <v>17769.07</v>
      </c>
      <c r="M33" s="1">
        <v>25</v>
      </c>
      <c r="O33" s="26">
        <v>77209085</v>
      </c>
      <c r="P33" s="26"/>
      <c r="Q33" s="26">
        <v>-38565234</v>
      </c>
      <c r="R33" s="26"/>
      <c r="S33" s="26">
        <f t="shared" si="4"/>
        <v>38643851</v>
      </c>
      <c r="U33" s="40">
        <v>310</v>
      </c>
      <c r="W33" s="10">
        <f t="shared" si="5"/>
        <v>1.6098671812712909E-2</v>
      </c>
      <c r="Y33" s="19" t="s">
        <v>69</v>
      </c>
      <c r="Z33" s="8">
        <f t="shared" si="6"/>
        <v>0</v>
      </c>
      <c r="AA33" s="26">
        <v>0</v>
      </c>
      <c r="AB33" s="26"/>
      <c r="AC33" s="26">
        <f t="shared" si="7"/>
        <v>38643851</v>
      </c>
    </row>
    <row r="34" spans="1:30" x14ac:dyDescent="0.25">
      <c r="A34" s="1" t="s">
        <v>112</v>
      </c>
      <c r="B34" s="52">
        <v>1</v>
      </c>
      <c r="C34" s="1" t="s">
        <v>24</v>
      </c>
      <c r="E34" s="1" t="s">
        <v>62</v>
      </c>
      <c r="G34" s="1">
        <v>126</v>
      </c>
      <c r="I34" s="18">
        <v>4.0300000000000002E-2</v>
      </c>
      <c r="K34" s="8">
        <v>16598.240000000002</v>
      </c>
      <c r="M34" s="1">
        <v>26</v>
      </c>
      <c r="O34" s="26">
        <v>36555865</v>
      </c>
      <c r="P34" s="26"/>
      <c r="Q34" s="26">
        <v>-23227364</v>
      </c>
      <c r="R34" s="26"/>
      <c r="S34" s="26">
        <f t="shared" si="4"/>
        <v>13328501</v>
      </c>
      <c r="U34" s="40">
        <v>290</v>
      </c>
      <c r="W34" s="10">
        <f t="shared" si="5"/>
        <v>1.503790679133145E-2</v>
      </c>
      <c r="Y34" s="19" t="s">
        <v>69</v>
      </c>
      <c r="Z34" s="8">
        <f t="shared" si="6"/>
        <v>0</v>
      </c>
      <c r="AA34" s="26">
        <v>0</v>
      </c>
      <c r="AB34" s="26"/>
      <c r="AC34" s="26">
        <f t="shared" si="7"/>
        <v>13328501</v>
      </c>
    </row>
    <row r="35" spans="1:30" x14ac:dyDescent="0.25">
      <c r="A35" s="1" t="s">
        <v>112</v>
      </c>
      <c r="B35" s="52">
        <v>1</v>
      </c>
      <c r="C35" s="1" t="s">
        <v>22</v>
      </c>
      <c r="E35" s="1" t="s">
        <v>62</v>
      </c>
      <c r="G35" s="1">
        <v>126</v>
      </c>
      <c r="I35" s="18">
        <v>3.9699999999999999E-2</v>
      </c>
      <c r="K35" s="8">
        <v>8089.13</v>
      </c>
      <c r="M35" s="1">
        <v>28</v>
      </c>
      <c r="O35" s="26">
        <v>38107776</v>
      </c>
      <c r="P35" s="26"/>
      <c r="Q35" s="26">
        <v>-31598745</v>
      </c>
      <c r="R35" s="26"/>
      <c r="S35" s="26">
        <f t="shared" si="4"/>
        <v>6509031</v>
      </c>
      <c r="U35" s="40">
        <v>132</v>
      </c>
      <c r="W35" s="10">
        <f t="shared" si="5"/>
        <v>7.3287037037037036E-3</v>
      </c>
      <c r="Y35" s="19" t="s">
        <v>69</v>
      </c>
      <c r="Z35" s="8">
        <f t="shared" si="6"/>
        <v>0</v>
      </c>
      <c r="AA35" s="26">
        <v>0</v>
      </c>
      <c r="AB35" s="26"/>
      <c r="AC35" s="26">
        <f t="shared" si="7"/>
        <v>6509031</v>
      </c>
    </row>
    <row r="36" spans="1:30" x14ac:dyDescent="0.25">
      <c r="A36" s="1" t="s">
        <v>112</v>
      </c>
      <c r="B36" s="52">
        <v>1</v>
      </c>
      <c r="C36" s="1" t="s">
        <v>25</v>
      </c>
      <c r="E36" s="1" t="s">
        <v>62</v>
      </c>
      <c r="G36" s="1">
        <v>126</v>
      </c>
      <c r="I36" s="18">
        <v>3.9600000000000003E-2</v>
      </c>
      <c r="K36" s="8">
        <v>5651.7</v>
      </c>
      <c r="M36" s="1">
        <v>29</v>
      </c>
      <c r="O36" s="26">
        <v>53676683</v>
      </c>
      <c r="P36" s="26"/>
      <c r="Q36" s="26">
        <v>-37775462</v>
      </c>
      <c r="R36" s="26"/>
      <c r="S36" s="26">
        <f t="shared" si="4"/>
        <v>15901221</v>
      </c>
      <c r="U36" s="40">
        <v>83</v>
      </c>
      <c r="W36" s="10">
        <f t="shared" si="5"/>
        <v>5.1204066101326372E-3</v>
      </c>
      <c r="Y36" s="19" t="s">
        <v>69</v>
      </c>
      <c r="Z36" s="8">
        <f t="shared" si="6"/>
        <v>0</v>
      </c>
      <c r="AA36" s="26">
        <v>0</v>
      </c>
      <c r="AB36" s="26"/>
      <c r="AC36" s="26">
        <f t="shared" si="7"/>
        <v>15901221</v>
      </c>
      <c r="AD36" s="31"/>
    </row>
    <row r="37" spans="1:30" x14ac:dyDescent="0.25">
      <c r="A37" s="1" t="s">
        <v>112</v>
      </c>
      <c r="B37" s="52">
        <v>1</v>
      </c>
      <c r="C37" s="1" t="s">
        <v>35</v>
      </c>
      <c r="E37" s="1" t="s">
        <v>62</v>
      </c>
      <c r="G37" s="1">
        <v>21</v>
      </c>
      <c r="I37" s="18">
        <v>0.12540000000000001</v>
      </c>
      <c r="K37" s="8">
        <f>179/2</f>
        <v>89.5</v>
      </c>
      <c r="M37" s="1">
        <v>30</v>
      </c>
      <c r="O37" s="26">
        <f>4398404/2</f>
        <v>2199202</v>
      </c>
      <c r="P37" s="26"/>
      <c r="Q37" s="26">
        <f>-4649481/2</f>
        <v>-2324740.5</v>
      </c>
      <c r="R37" s="26"/>
      <c r="S37" s="26">
        <f t="shared" si="4"/>
        <v>-125538.5</v>
      </c>
      <c r="U37" s="40">
        <v>12</v>
      </c>
      <c r="W37" s="10">
        <f t="shared" si="5"/>
        <v>4.8651880843661666E-4</v>
      </c>
      <c r="Y37" s="19" t="s">
        <v>69</v>
      </c>
      <c r="Z37" s="8">
        <f t="shared" si="6"/>
        <v>0</v>
      </c>
      <c r="AA37" s="26">
        <v>0</v>
      </c>
      <c r="AB37" s="26"/>
      <c r="AC37" s="26">
        <f t="shared" si="7"/>
        <v>-125538.5</v>
      </c>
      <c r="AD37" s="37"/>
    </row>
    <row r="38" spans="1:30" x14ac:dyDescent="0.25">
      <c r="A38" s="1" t="s">
        <v>112</v>
      </c>
      <c r="B38" s="52">
        <v>1</v>
      </c>
      <c r="C38" s="1" t="s">
        <v>36</v>
      </c>
      <c r="E38" s="1" t="s">
        <v>62</v>
      </c>
      <c r="G38" s="1">
        <v>21</v>
      </c>
      <c r="I38" s="18">
        <v>0.12540000000000001</v>
      </c>
      <c r="K38" s="8">
        <f>179/2</f>
        <v>89.5</v>
      </c>
      <c r="M38" s="1">
        <v>30</v>
      </c>
      <c r="O38" s="26">
        <f>4398404/2</f>
        <v>2199202</v>
      </c>
      <c r="P38" s="26"/>
      <c r="Q38" s="26">
        <f>-4649481/2</f>
        <v>-2324740.5</v>
      </c>
      <c r="R38" s="26"/>
      <c r="S38" s="26">
        <f t="shared" si="4"/>
        <v>-125538.5</v>
      </c>
      <c r="U38" s="40">
        <v>12</v>
      </c>
      <c r="W38" s="10">
        <f t="shared" si="5"/>
        <v>4.8651880843661666E-4</v>
      </c>
      <c r="Y38" s="19" t="s">
        <v>69</v>
      </c>
      <c r="Z38" s="8">
        <f t="shared" si="6"/>
        <v>0</v>
      </c>
      <c r="AA38" s="26">
        <v>0</v>
      </c>
      <c r="AB38" s="26"/>
      <c r="AC38" s="26">
        <f t="shared" si="7"/>
        <v>-125538.5</v>
      </c>
      <c r="AD38" s="42"/>
    </row>
    <row r="39" spans="1:30" x14ac:dyDescent="0.25">
      <c r="A39" s="1" t="s">
        <v>114</v>
      </c>
      <c r="B39" s="52">
        <v>0</v>
      </c>
      <c r="C39" s="42" t="s">
        <v>49</v>
      </c>
      <c r="D39" s="42"/>
      <c r="E39" s="42" t="s">
        <v>61</v>
      </c>
      <c r="F39" s="42"/>
      <c r="G39" s="42">
        <v>16</v>
      </c>
      <c r="H39" s="42"/>
      <c r="I39" s="43">
        <v>0.2984</v>
      </c>
      <c r="J39" s="42"/>
      <c r="K39" s="44">
        <v>84</v>
      </c>
      <c r="L39" s="42"/>
      <c r="M39" s="42">
        <v>31</v>
      </c>
      <c r="N39" s="42"/>
      <c r="O39" s="45">
        <v>2153904</v>
      </c>
      <c r="P39" s="45"/>
      <c r="Q39" s="45">
        <v>-2398847</v>
      </c>
      <c r="R39" s="45"/>
      <c r="S39" s="45">
        <f t="shared" si="4"/>
        <v>-244943</v>
      </c>
      <c r="T39" s="42"/>
      <c r="U39" s="46">
        <v>7</v>
      </c>
      <c r="V39" s="42"/>
      <c r="W39" s="47">
        <f t="shared" si="5"/>
        <v>5.9931506849315072E-4</v>
      </c>
      <c r="X39" s="47"/>
      <c r="Y39" s="48" t="s">
        <v>69</v>
      </c>
      <c r="Z39" s="44">
        <f t="shared" si="6"/>
        <v>0</v>
      </c>
      <c r="AA39" s="45">
        <v>0</v>
      </c>
      <c r="AB39" s="45"/>
      <c r="AC39" s="45">
        <f t="shared" si="7"/>
        <v>-244943</v>
      </c>
      <c r="AD39" s="42"/>
    </row>
    <row r="40" spans="1:30" x14ac:dyDescent="0.25">
      <c r="A40" s="1" t="s">
        <v>114</v>
      </c>
      <c r="B40" s="52">
        <v>0</v>
      </c>
      <c r="C40" s="42" t="s">
        <v>50</v>
      </c>
      <c r="D40" s="42"/>
      <c r="E40" s="42" t="s">
        <v>61</v>
      </c>
      <c r="F40" s="42"/>
      <c r="G40" s="42">
        <v>33</v>
      </c>
      <c r="H40" s="42"/>
      <c r="I40" s="43">
        <v>0.2397</v>
      </c>
      <c r="J40" s="42"/>
      <c r="K40" s="44">
        <v>234</v>
      </c>
      <c r="L40" s="42"/>
      <c r="M40" s="42">
        <v>32</v>
      </c>
      <c r="N40" s="42"/>
      <c r="O40" s="45">
        <v>4321813</v>
      </c>
      <c r="P40" s="45"/>
      <c r="Q40" s="45">
        <v>-4619054</v>
      </c>
      <c r="R40" s="45"/>
      <c r="S40" s="45">
        <f t="shared" si="4"/>
        <v>-297241</v>
      </c>
      <c r="T40" s="42"/>
      <c r="U40" s="46">
        <v>9</v>
      </c>
      <c r="V40" s="42"/>
      <c r="W40" s="47">
        <f t="shared" si="5"/>
        <v>8.0946450809464511E-4</v>
      </c>
      <c r="X40" s="47"/>
      <c r="Y40" s="48" t="s">
        <v>69</v>
      </c>
      <c r="Z40" s="44">
        <f t="shared" si="6"/>
        <v>0</v>
      </c>
      <c r="AA40" s="45">
        <v>0</v>
      </c>
      <c r="AB40" s="45"/>
      <c r="AC40" s="45">
        <f t="shared" si="7"/>
        <v>-297241</v>
      </c>
    </row>
    <row r="41" spans="1:30" x14ac:dyDescent="0.25">
      <c r="A41" s="1" t="s">
        <v>114</v>
      </c>
      <c r="B41" s="52">
        <v>0</v>
      </c>
      <c r="C41" s="1" t="s">
        <v>59</v>
      </c>
      <c r="E41" s="1" t="s">
        <v>61</v>
      </c>
      <c r="G41" s="1">
        <v>18</v>
      </c>
      <c r="I41" s="18">
        <v>5.5E-2</v>
      </c>
      <c r="K41" s="8">
        <v>75</v>
      </c>
      <c r="M41" s="1">
        <v>33</v>
      </c>
      <c r="O41" s="26">
        <v>2069475</v>
      </c>
      <c r="P41" s="26"/>
      <c r="Q41" s="26">
        <v>-2156673</v>
      </c>
      <c r="R41" s="26"/>
      <c r="S41" s="26">
        <f t="shared" si="4"/>
        <v>-87198</v>
      </c>
      <c r="U41" s="40">
        <v>5</v>
      </c>
      <c r="W41" s="10">
        <f t="shared" si="5"/>
        <v>4.7564687975646877E-4</v>
      </c>
      <c r="Y41" s="19" t="s">
        <v>69</v>
      </c>
      <c r="Z41" s="8">
        <f t="shared" si="6"/>
        <v>0</v>
      </c>
      <c r="AA41" s="26">
        <v>0</v>
      </c>
      <c r="AB41" s="26"/>
      <c r="AC41" s="26">
        <f t="shared" si="7"/>
        <v>-87198</v>
      </c>
    </row>
    <row r="42" spans="1:30" x14ac:dyDescent="0.25">
      <c r="O42" s="26"/>
      <c r="P42" s="26"/>
      <c r="Q42" s="26"/>
      <c r="R42" s="26"/>
      <c r="S42" s="26"/>
      <c r="Z42" s="8"/>
      <c r="AA42" s="26"/>
      <c r="AB42" s="26"/>
      <c r="AC42" s="26"/>
    </row>
    <row r="43" spans="1:30" x14ac:dyDescent="0.25">
      <c r="A43" s="1" t="s">
        <v>112</v>
      </c>
      <c r="B43" s="52">
        <v>1</v>
      </c>
      <c r="C43" s="1" t="s">
        <v>28</v>
      </c>
      <c r="E43" s="1" t="s">
        <v>64</v>
      </c>
      <c r="G43" s="1">
        <v>11</v>
      </c>
      <c r="I43" s="18">
        <v>0</v>
      </c>
      <c r="K43" s="8">
        <f>89329.84/3</f>
        <v>29776.613333333331</v>
      </c>
      <c r="M43" s="1">
        <v>2</v>
      </c>
      <c r="O43" s="26">
        <f>43955429/3</f>
        <v>14651809.666666666</v>
      </c>
      <c r="P43" s="26"/>
      <c r="Q43" s="26">
        <f>-16544862/3</f>
        <v>-5514954</v>
      </c>
      <c r="R43" s="26"/>
      <c r="S43" s="26">
        <f t="shared" ref="S43:S53" si="8">O43+Q43</f>
        <v>9136855.666666666</v>
      </c>
      <c r="U43" s="40">
        <v>2933</v>
      </c>
      <c r="W43" s="10">
        <f t="shared" ref="W43:W53" si="9">+K43/(G43*8760)</f>
        <v>0.3090142521101425</v>
      </c>
      <c r="Y43" s="19" t="s">
        <v>64</v>
      </c>
      <c r="Z43" s="8">
        <f t="shared" ref="Z43:Z53" si="10">+T43*P43</f>
        <v>0</v>
      </c>
      <c r="AA43" s="26">
        <f t="shared" ref="AA43:AA53" si="11">+S43</f>
        <v>9136855.666666666</v>
      </c>
      <c r="AB43" s="26"/>
      <c r="AC43" s="26">
        <v>0</v>
      </c>
    </row>
    <row r="44" spans="1:30" x14ac:dyDescent="0.25">
      <c r="A44" s="1" t="s">
        <v>112</v>
      </c>
      <c r="B44" s="52">
        <v>1</v>
      </c>
      <c r="C44" s="1" t="s">
        <v>29</v>
      </c>
      <c r="E44" s="1" t="s">
        <v>64</v>
      </c>
      <c r="G44" s="1">
        <v>11</v>
      </c>
      <c r="I44" s="18">
        <v>0</v>
      </c>
      <c r="K44" s="8">
        <f>89329.84/3</f>
        <v>29776.613333333331</v>
      </c>
      <c r="M44" s="1">
        <v>2</v>
      </c>
      <c r="O44" s="26">
        <f>43955429/3</f>
        <v>14651809.666666666</v>
      </c>
      <c r="P44" s="26"/>
      <c r="Q44" s="26">
        <f>-16544862/3</f>
        <v>-5514954</v>
      </c>
      <c r="R44" s="26"/>
      <c r="S44" s="26">
        <f t="shared" si="8"/>
        <v>9136855.666666666</v>
      </c>
      <c r="U44" s="40">
        <v>2933</v>
      </c>
      <c r="W44" s="10">
        <f t="shared" si="9"/>
        <v>0.3090142521101425</v>
      </c>
      <c r="Y44" s="19" t="s">
        <v>64</v>
      </c>
      <c r="Z44" s="8">
        <f t="shared" si="10"/>
        <v>0</v>
      </c>
      <c r="AA44" s="26">
        <f t="shared" si="11"/>
        <v>9136855.666666666</v>
      </c>
      <c r="AB44" s="26"/>
      <c r="AC44" s="26">
        <v>0</v>
      </c>
    </row>
    <row r="45" spans="1:30" x14ac:dyDescent="0.25">
      <c r="A45" s="1" t="s">
        <v>112</v>
      </c>
      <c r="B45" s="52">
        <v>1</v>
      </c>
      <c r="C45" s="1" t="s">
        <v>30</v>
      </c>
      <c r="E45" s="1" t="s">
        <v>64</v>
      </c>
      <c r="G45" s="1">
        <v>11</v>
      </c>
      <c r="I45" s="18">
        <v>0</v>
      </c>
      <c r="K45" s="8">
        <f>89329.84/3</f>
        <v>29776.613333333331</v>
      </c>
      <c r="M45" s="1">
        <v>2</v>
      </c>
      <c r="O45" s="26">
        <f>43955429/3</f>
        <v>14651809.666666666</v>
      </c>
      <c r="P45" s="26"/>
      <c r="Q45" s="26">
        <f>-16544862/3</f>
        <v>-5514954</v>
      </c>
      <c r="R45" s="26"/>
      <c r="S45" s="26">
        <f t="shared" si="8"/>
        <v>9136855.666666666</v>
      </c>
      <c r="U45" s="40">
        <v>2933</v>
      </c>
      <c r="W45" s="10">
        <f t="shared" si="9"/>
        <v>0.3090142521101425</v>
      </c>
      <c r="Y45" s="19" t="s">
        <v>64</v>
      </c>
      <c r="Z45" s="8">
        <f t="shared" si="10"/>
        <v>0</v>
      </c>
      <c r="AA45" s="26">
        <f t="shared" si="11"/>
        <v>9136855.666666666</v>
      </c>
      <c r="AB45" s="26"/>
      <c r="AC45" s="26">
        <v>0</v>
      </c>
    </row>
    <row r="46" spans="1:30" x14ac:dyDescent="0.25">
      <c r="A46" s="1" t="s">
        <v>114</v>
      </c>
      <c r="B46" s="52">
        <v>0</v>
      </c>
      <c r="C46" s="1" t="s">
        <v>41</v>
      </c>
      <c r="E46" s="1" t="s">
        <v>64</v>
      </c>
      <c r="G46" s="1">
        <v>13</v>
      </c>
      <c r="I46" s="18">
        <v>0</v>
      </c>
      <c r="K46" s="8">
        <f t="shared" ref="K46:K53" si="12">300292.8/8</f>
        <v>37536.6</v>
      </c>
      <c r="M46" s="1">
        <v>2</v>
      </c>
      <c r="O46" s="26">
        <f t="shared" ref="O46:O53" si="13">148045650/8</f>
        <v>18505706.25</v>
      </c>
      <c r="P46" s="26"/>
      <c r="Q46" s="26">
        <f t="shared" ref="Q46:Q53" si="14">-16501034/8</f>
        <v>-2062629.25</v>
      </c>
      <c r="R46" s="26"/>
      <c r="S46" s="26">
        <f t="shared" si="8"/>
        <v>16443077</v>
      </c>
      <c r="U46" s="40">
        <v>8760</v>
      </c>
      <c r="W46" s="10">
        <f t="shared" si="9"/>
        <v>0.32961538461538459</v>
      </c>
      <c r="Y46" s="19" t="s">
        <v>64</v>
      </c>
      <c r="Z46" s="8">
        <f t="shared" si="10"/>
        <v>0</v>
      </c>
      <c r="AA46" s="26">
        <f t="shared" si="11"/>
        <v>16443077</v>
      </c>
      <c r="AB46" s="26"/>
      <c r="AC46" s="26">
        <v>0</v>
      </c>
    </row>
    <row r="47" spans="1:30" x14ac:dyDescent="0.25">
      <c r="A47" s="1" t="s">
        <v>114</v>
      </c>
      <c r="B47" s="52">
        <v>0</v>
      </c>
      <c r="C47" s="1" t="s">
        <v>42</v>
      </c>
      <c r="E47" s="1" t="s">
        <v>64</v>
      </c>
      <c r="G47" s="1">
        <v>13</v>
      </c>
      <c r="I47" s="18">
        <v>0</v>
      </c>
      <c r="K47" s="8">
        <f t="shared" si="12"/>
        <v>37536.6</v>
      </c>
      <c r="M47" s="1">
        <v>2</v>
      </c>
      <c r="O47" s="26">
        <f t="shared" si="13"/>
        <v>18505706.25</v>
      </c>
      <c r="P47" s="26"/>
      <c r="Q47" s="26">
        <f t="shared" si="14"/>
        <v>-2062629.25</v>
      </c>
      <c r="R47" s="26"/>
      <c r="S47" s="26">
        <f t="shared" si="8"/>
        <v>16443077</v>
      </c>
      <c r="U47" s="40">
        <v>8760</v>
      </c>
      <c r="W47" s="10">
        <f t="shared" si="9"/>
        <v>0.32961538461538459</v>
      </c>
      <c r="Y47" s="19" t="s">
        <v>64</v>
      </c>
      <c r="Z47" s="8">
        <f t="shared" si="10"/>
        <v>0</v>
      </c>
      <c r="AA47" s="26">
        <f t="shared" si="11"/>
        <v>16443077</v>
      </c>
      <c r="AB47" s="26"/>
      <c r="AC47" s="26">
        <v>0</v>
      </c>
    </row>
    <row r="48" spans="1:30" x14ac:dyDescent="0.25">
      <c r="A48" s="1" t="s">
        <v>114</v>
      </c>
      <c r="B48" s="52">
        <v>0</v>
      </c>
      <c r="C48" s="1" t="s">
        <v>43</v>
      </c>
      <c r="E48" s="1" t="s">
        <v>64</v>
      </c>
      <c r="G48" s="1">
        <v>13</v>
      </c>
      <c r="I48" s="18">
        <v>0</v>
      </c>
      <c r="K48" s="8">
        <f t="shared" si="12"/>
        <v>37536.6</v>
      </c>
      <c r="M48" s="1">
        <v>2</v>
      </c>
      <c r="O48" s="26">
        <f t="shared" si="13"/>
        <v>18505706.25</v>
      </c>
      <c r="P48" s="26"/>
      <c r="Q48" s="26">
        <f t="shared" si="14"/>
        <v>-2062629.25</v>
      </c>
      <c r="R48" s="26"/>
      <c r="S48" s="26">
        <f t="shared" si="8"/>
        <v>16443077</v>
      </c>
      <c r="U48" s="40">
        <v>8760</v>
      </c>
      <c r="W48" s="10">
        <f t="shared" si="9"/>
        <v>0.32961538461538459</v>
      </c>
      <c r="Y48" s="19" t="s">
        <v>64</v>
      </c>
      <c r="Z48" s="8">
        <f t="shared" si="10"/>
        <v>0</v>
      </c>
      <c r="AA48" s="26">
        <f t="shared" si="11"/>
        <v>16443077</v>
      </c>
      <c r="AB48" s="26"/>
      <c r="AC48" s="26">
        <v>0</v>
      </c>
    </row>
    <row r="49" spans="1:31" x14ac:dyDescent="0.25">
      <c r="A49" s="1" t="s">
        <v>114</v>
      </c>
      <c r="B49" s="52">
        <v>0</v>
      </c>
      <c r="C49" s="1" t="s">
        <v>44</v>
      </c>
      <c r="E49" s="1" t="s">
        <v>64</v>
      </c>
      <c r="G49" s="1">
        <v>13</v>
      </c>
      <c r="I49" s="18">
        <v>0</v>
      </c>
      <c r="K49" s="8">
        <f t="shared" si="12"/>
        <v>37536.6</v>
      </c>
      <c r="M49" s="1">
        <v>2</v>
      </c>
      <c r="O49" s="26">
        <f t="shared" si="13"/>
        <v>18505706.25</v>
      </c>
      <c r="P49" s="26"/>
      <c r="Q49" s="26">
        <f t="shared" si="14"/>
        <v>-2062629.25</v>
      </c>
      <c r="R49" s="26"/>
      <c r="S49" s="26">
        <f t="shared" si="8"/>
        <v>16443077</v>
      </c>
      <c r="U49" s="40">
        <v>8760</v>
      </c>
      <c r="W49" s="10">
        <f t="shared" si="9"/>
        <v>0.32961538461538459</v>
      </c>
      <c r="Y49" s="19" t="s">
        <v>64</v>
      </c>
      <c r="Z49" s="8">
        <f t="shared" si="10"/>
        <v>0</v>
      </c>
      <c r="AA49" s="26">
        <f t="shared" si="11"/>
        <v>16443077</v>
      </c>
      <c r="AB49" s="26"/>
      <c r="AC49" s="26">
        <v>0</v>
      </c>
    </row>
    <row r="50" spans="1:31" x14ac:dyDescent="0.25">
      <c r="A50" s="1" t="s">
        <v>114</v>
      </c>
      <c r="B50" s="52">
        <v>0</v>
      </c>
      <c r="C50" s="1" t="s">
        <v>45</v>
      </c>
      <c r="E50" s="1" t="s">
        <v>64</v>
      </c>
      <c r="G50" s="1">
        <v>13</v>
      </c>
      <c r="I50" s="18">
        <v>0</v>
      </c>
      <c r="K50" s="8">
        <f t="shared" si="12"/>
        <v>37536.6</v>
      </c>
      <c r="M50" s="1">
        <v>2</v>
      </c>
      <c r="O50" s="26">
        <f t="shared" si="13"/>
        <v>18505706.25</v>
      </c>
      <c r="P50" s="26"/>
      <c r="Q50" s="26">
        <f t="shared" si="14"/>
        <v>-2062629.25</v>
      </c>
      <c r="R50" s="26"/>
      <c r="S50" s="26">
        <f t="shared" si="8"/>
        <v>16443077</v>
      </c>
      <c r="U50" s="40">
        <v>8760</v>
      </c>
      <c r="W50" s="10">
        <f t="shared" si="9"/>
        <v>0.32961538461538459</v>
      </c>
      <c r="Y50" s="19" t="s">
        <v>64</v>
      </c>
      <c r="Z50" s="8">
        <f t="shared" si="10"/>
        <v>0</v>
      </c>
      <c r="AA50" s="26">
        <f t="shared" si="11"/>
        <v>16443077</v>
      </c>
      <c r="AB50" s="26"/>
      <c r="AC50" s="26">
        <v>0</v>
      </c>
    </row>
    <row r="51" spans="1:31" x14ac:dyDescent="0.25">
      <c r="A51" s="1" t="s">
        <v>114</v>
      </c>
      <c r="B51" s="52">
        <v>0</v>
      </c>
      <c r="C51" s="1" t="s">
        <v>46</v>
      </c>
      <c r="E51" s="1" t="s">
        <v>64</v>
      </c>
      <c r="G51" s="1">
        <v>13</v>
      </c>
      <c r="I51" s="18">
        <v>0</v>
      </c>
      <c r="K51" s="8">
        <f t="shared" si="12"/>
        <v>37536.6</v>
      </c>
      <c r="M51" s="1">
        <v>2</v>
      </c>
      <c r="O51" s="26">
        <f t="shared" si="13"/>
        <v>18505706.25</v>
      </c>
      <c r="P51" s="26"/>
      <c r="Q51" s="26">
        <f t="shared" si="14"/>
        <v>-2062629.25</v>
      </c>
      <c r="R51" s="26"/>
      <c r="S51" s="26">
        <f t="shared" si="8"/>
        <v>16443077</v>
      </c>
      <c r="U51" s="40">
        <v>8760</v>
      </c>
      <c r="W51" s="10">
        <f t="shared" si="9"/>
        <v>0.32961538461538459</v>
      </c>
      <c r="Y51" s="19" t="s">
        <v>64</v>
      </c>
      <c r="Z51" s="8">
        <f t="shared" si="10"/>
        <v>0</v>
      </c>
      <c r="AA51" s="26">
        <f t="shared" si="11"/>
        <v>16443077</v>
      </c>
      <c r="AB51" s="26"/>
      <c r="AC51" s="26">
        <v>0</v>
      </c>
    </row>
    <row r="52" spans="1:31" x14ac:dyDescent="0.25">
      <c r="A52" s="1" t="s">
        <v>114</v>
      </c>
      <c r="B52" s="52">
        <v>0</v>
      </c>
      <c r="C52" s="1" t="s">
        <v>47</v>
      </c>
      <c r="E52" s="1" t="s">
        <v>64</v>
      </c>
      <c r="G52" s="1">
        <v>13</v>
      </c>
      <c r="I52" s="18">
        <v>0</v>
      </c>
      <c r="K52" s="8">
        <f t="shared" si="12"/>
        <v>37536.6</v>
      </c>
      <c r="M52" s="1">
        <v>2</v>
      </c>
      <c r="O52" s="26">
        <f t="shared" si="13"/>
        <v>18505706.25</v>
      </c>
      <c r="P52" s="26"/>
      <c r="Q52" s="26">
        <f t="shared" si="14"/>
        <v>-2062629.25</v>
      </c>
      <c r="R52" s="26"/>
      <c r="S52" s="26">
        <f t="shared" si="8"/>
        <v>16443077</v>
      </c>
      <c r="U52" s="40">
        <v>8760</v>
      </c>
      <c r="W52" s="10">
        <f t="shared" si="9"/>
        <v>0.32961538461538459</v>
      </c>
      <c r="Y52" s="19" t="s">
        <v>64</v>
      </c>
      <c r="Z52" s="8">
        <f t="shared" si="10"/>
        <v>0</v>
      </c>
      <c r="AA52" s="26">
        <f t="shared" si="11"/>
        <v>16443077</v>
      </c>
      <c r="AB52" s="26"/>
      <c r="AC52" s="26">
        <v>0</v>
      </c>
    </row>
    <row r="53" spans="1:31" x14ac:dyDescent="0.25">
      <c r="A53" s="1" t="s">
        <v>114</v>
      </c>
      <c r="B53" s="52">
        <v>0</v>
      </c>
      <c r="C53" s="1" t="s">
        <v>48</v>
      </c>
      <c r="E53" s="1" t="s">
        <v>64</v>
      </c>
      <c r="G53" s="1">
        <v>13</v>
      </c>
      <c r="I53" s="18">
        <v>0</v>
      </c>
      <c r="K53" s="8">
        <f t="shared" si="12"/>
        <v>37536.6</v>
      </c>
      <c r="M53" s="1">
        <v>2</v>
      </c>
      <c r="O53" s="26">
        <f t="shared" si="13"/>
        <v>18505706.25</v>
      </c>
      <c r="P53" s="26"/>
      <c r="Q53" s="26">
        <f t="shared" si="14"/>
        <v>-2062629.25</v>
      </c>
      <c r="R53" s="26"/>
      <c r="S53" s="26">
        <f t="shared" si="8"/>
        <v>16443077</v>
      </c>
      <c r="U53" s="40">
        <v>8760</v>
      </c>
      <c r="W53" s="10">
        <f t="shared" si="9"/>
        <v>0.32961538461538459</v>
      </c>
      <c r="Y53" s="19" t="s">
        <v>64</v>
      </c>
      <c r="Z53" s="8">
        <f t="shared" si="10"/>
        <v>0</v>
      </c>
      <c r="AA53" s="26">
        <f t="shared" si="11"/>
        <v>16443077</v>
      </c>
      <c r="AB53" s="26"/>
      <c r="AC53" s="26">
        <v>0</v>
      </c>
    </row>
    <row r="54" spans="1:31" x14ac:dyDescent="0.25">
      <c r="O54" s="26"/>
      <c r="P54" s="26"/>
      <c r="Q54" s="26"/>
      <c r="R54" s="26"/>
      <c r="S54" s="26"/>
      <c r="Z54" s="8"/>
      <c r="AA54" s="26"/>
      <c r="AB54" s="26"/>
      <c r="AC54" s="26"/>
    </row>
    <row r="55" spans="1:31" x14ac:dyDescent="0.25">
      <c r="A55" s="1" t="s">
        <v>113</v>
      </c>
      <c r="B55" s="52">
        <v>0.61</v>
      </c>
      <c r="C55" s="1" t="s">
        <v>26</v>
      </c>
      <c r="E55" s="1" t="s">
        <v>63</v>
      </c>
      <c r="G55" s="1">
        <v>10</v>
      </c>
      <c r="I55" s="18">
        <v>0</v>
      </c>
      <c r="K55" s="8">
        <v>17533.5</v>
      </c>
      <c r="M55" s="1">
        <v>1</v>
      </c>
      <c r="O55" s="26">
        <v>25492376</v>
      </c>
      <c r="P55" s="26"/>
      <c r="Q55" s="26">
        <v>-5208471</v>
      </c>
      <c r="R55" s="26"/>
      <c r="S55" s="26">
        <f>O55+Q55</f>
        <v>20283905</v>
      </c>
      <c r="U55" s="40">
        <v>2598</v>
      </c>
      <c r="W55" s="10">
        <f>+K55/(G55*8760)</f>
        <v>0.20015410958904109</v>
      </c>
      <c r="Y55" s="19" t="s">
        <v>63</v>
      </c>
      <c r="Z55" s="8">
        <f>+T55*P55</f>
        <v>0</v>
      </c>
      <c r="AA55" s="26">
        <f>S55/2</f>
        <v>10141952.5</v>
      </c>
      <c r="AB55" s="26"/>
      <c r="AC55" s="26">
        <f>S55-AA55</f>
        <v>10141952.5</v>
      </c>
      <c r="AD55" s="1" t="s">
        <v>109</v>
      </c>
    </row>
    <row r="56" spans="1:31" x14ac:dyDescent="0.25">
      <c r="A56" s="1" t="s">
        <v>114</v>
      </c>
      <c r="B56" s="52">
        <v>0</v>
      </c>
      <c r="C56" s="1" t="s">
        <v>92</v>
      </c>
      <c r="E56" s="1" t="s">
        <v>63</v>
      </c>
      <c r="G56" s="1">
        <v>0.3</v>
      </c>
      <c r="I56" s="18">
        <v>0</v>
      </c>
      <c r="K56" s="56" t="s">
        <v>98</v>
      </c>
      <c r="L56" s="57"/>
      <c r="M56" s="56" t="s">
        <v>98</v>
      </c>
      <c r="O56" s="26">
        <v>84972</v>
      </c>
      <c r="P56" s="26"/>
      <c r="Q56" s="26">
        <v>-9141</v>
      </c>
      <c r="R56" s="26"/>
      <c r="S56" s="26">
        <f>O56+Q56</f>
        <v>75831</v>
      </c>
      <c r="U56" s="60" t="s">
        <v>98</v>
      </c>
      <c r="Y56" s="19" t="s">
        <v>63</v>
      </c>
      <c r="Z56" s="8"/>
      <c r="AA56" s="26">
        <f>S56/2</f>
        <v>37915.5</v>
      </c>
      <c r="AB56" s="26"/>
      <c r="AC56" s="26">
        <f>S56-AA56</f>
        <v>37915.5</v>
      </c>
      <c r="AD56" s="1" t="s">
        <v>109</v>
      </c>
    </row>
    <row r="57" spans="1:31" x14ac:dyDescent="0.25">
      <c r="A57" s="1" t="s">
        <v>112</v>
      </c>
      <c r="B57" s="52">
        <v>1</v>
      </c>
      <c r="C57" s="1" t="s">
        <v>93</v>
      </c>
      <c r="E57" s="1" t="s">
        <v>63</v>
      </c>
      <c r="G57" s="1">
        <v>0.2</v>
      </c>
      <c r="I57" s="18">
        <v>0</v>
      </c>
      <c r="K57" s="56" t="s">
        <v>98</v>
      </c>
      <c r="L57" s="57"/>
      <c r="M57" s="56" t="s">
        <v>98</v>
      </c>
      <c r="O57" s="26">
        <v>403730</v>
      </c>
      <c r="P57" s="26"/>
      <c r="Q57" s="26">
        <v>-15790</v>
      </c>
      <c r="R57" s="26"/>
      <c r="S57" s="26">
        <f>O57+Q57</f>
        <v>387940</v>
      </c>
      <c r="U57" s="60" t="s">
        <v>98</v>
      </c>
      <c r="Y57" s="19" t="s">
        <v>63</v>
      </c>
      <c r="Z57" s="8"/>
      <c r="AA57" s="26">
        <f>S57/2</f>
        <v>193970</v>
      </c>
      <c r="AB57" s="26"/>
      <c r="AC57" s="26">
        <f>S57-AA57</f>
        <v>193970</v>
      </c>
      <c r="AD57" s="1" t="s">
        <v>109</v>
      </c>
    </row>
    <row r="58" spans="1:31" x14ac:dyDescent="0.25">
      <c r="A58" s="1" t="s">
        <v>113</v>
      </c>
      <c r="B58" s="52">
        <v>0.56000000000000005</v>
      </c>
      <c r="C58" s="1" t="s">
        <v>94</v>
      </c>
      <c r="E58" s="1" t="s">
        <v>63</v>
      </c>
      <c r="G58" s="1">
        <v>0.4</v>
      </c>
      <c r="I58" s="18">
        <v>0</v>
      </c>
      <c r="K58" s="56" t="s">
        <v>98</v>
      </c>
      <c r="L58" s="57"/>
      <c r="M58" s="56" t="s">
        <v>98</v>
      </c>
      <c r="O58" s="26">
        <f>4006203/2</f>
        <v>2003101.5</v>
      </c>
      <c r="P58" s="26"/>
      <c r="Q58" s="26">
        <f>-166498/2</f>
        <v>-83249</v>
      </c>
      <c r="R58" s="26"/>
      <c r="S58" s="26">
        <f>O58+Q58</f>
        <v>1919852.5</v>
      </c>
      <c r="U58" s="60" t="s">
        <v>98</v>
      </c>
      <c r="Y58" s="19" t="s">
        <v>63</v>
      </c>
      <c r="Z58" s="8"/>
      <c r="AA58" s="26">
        <f>S58/2</f>
        <v>959926.25</v>
      </c>
      <c r="AB58" s="26"/>
      <c r="AC58" s="26">
        <f>S58-AA58</f>
        <v>959926.25</v>
      </c>
      <c r="AD58" s="1" t="s">
        <v>109</v>
      </c>
    </row>
    <row r="59" spans="1:31" x14ac:dyDescent="0.25">
      <c r="A59" s="1" t="s">
        <v>113</v>
      </c>
      <c r="B59" s="52">
        <v>0.56000000000000005</v>
      </c>
      <c r="C59" s="2" t="s">
        <v>95</v>
      </c>
      <c r="D59" s="2"/>
      <c r="E59" s="2" t="s">
        <v>63</v>
      </c>
      <c r="F59" s="2"/>
      <c r="G59" s="2">
        <v>0.4</v>
      </c>
      <c r="H59" s="2"/>
      <c r="I59" s="15">
        <v>0</v>
      </c>
      <c r="J59" s="2"/>
      <c r="K59" s="58" t="s">
        <v>98</v>
      </c>
      <c r="L59" s="59"/>
      <c r="M59" s="58" t="s">
        <v>98</v>
      </c>
      <c r="N59" s="2"/>
      <c r="O59" s="27">
        <f>4006203/2</f>
        <v>2003101.5</v>
      </c>
      <c r="P59" s="27"/>
      <c r="Q59" s="27">
        <f>-166498/2</f>
        <v>-83249</v>
      </c>
      <c r="R59" s="27"/>
      <c r="S59" s="27">
        <f>O59+Q59</f>
        <v>1919852.5</v>
      </c>
      <c r="T59" s="2"/>
      <c r="U59" s="61" t="s">
        <v>98</v>
      </c>
      <c r="V59" s="2"/>
      <c r="W59" s="4"/>
      <c r="X59" s="4"/>
      <c r="Y59" s="20" t="s">
        <v>63</v>
      </c>
      <c r="Z59" s="3"/>
      <c r="AA59" s="27">
        <f>S59/2</f>
        <v>959926.25</v>
      </c>
      <c r="AB59" s="27"/>
      <c r="AC59" s="27">
        <f>S59-AA59</f>
        <v>959926.25</v>
      </c>
      <c r="AD59" s="1" t="s">
        <v>109</v>
      </c>
    </row>
    <row r="60" spans="1:31" x14ac:dyDescent="0.25">
      <c r="S60" s="8"/>
      <c r="Z60" s="8"/>
      <c r="AA60" s="26"/>
      <c r="AB60" s="26"/>
      <c r="AC60" s="26"/>
    </row>
    <row r="61" spans="1:31" x14ac:dyDescent="0.25">
      <c r="S61" s="14" t="s">
        <v>73</v>
      </c>
      <c r="Z61" s="8"/>
      <c r="AA61" s="26">
        <f>SUM(AA9:AA19)</f>
        <v>5722035224</v>
      </c>
      <c r="AB61" s="26"/>
      <c r="AC61" s="26">
        <f>SUM(AC9:AC19)</f>
        <v>0</v>
      </c>
      <c r="AE61" s="8"/>
    </row>
    <row r="62" spans="1:31" x14ac:dyDescent="0.25">
      <c r="S62" s="14" t="s">
        <v>74</v>
      </c>
      <c r="Z62" s="8"/>
      <c r="AA62" s="26">
        <f>SUM(AA21:AA24)</f>
        <v>143606319.63262334</v>
      </c>
      <c r="AB62" s="26"/>
      <c r="AC62" s="26">
        <f>SUM(AC21:AC24)</f>
        <v>631067294.36737657</v>
      </c>
      <c r="AE62" s="8"/>
    </row>
    <row r="63" spans="1:31" x14ac:dyDescent="0.25">
      <c r="S63" s="14" t="s">
        <v>75</v>
      </c>
      <c r="Z63" s="8"/>
      <c r="AA63" s="26">
        <f>SUM(AA26:AA41)</f>
        <v>0</v>
      </c>
      <c r="AB63" s="26"/>
      <c r="AC63" s="26">
        <f>SUM(AC26:AC41)</f>
        <v>297869095</v>
      </c>
      <c r="AE63" s="8"/>
    </row>
    <row r="64" spans="1:31" x14ac:dyDescent="0.25">
      <c r="S64" s="14" t="s">
        <v>76</v>
      </c>
      <c r="Z64" s="8"/>
      <c r="AA64" s="26">
        <f>SUM(AA43:AA53)</f>
        <v>158955183</v>
      </c>
      <c r="AB64" s="26"/>
      <c r="AC64" s="26">
        <f>SUM(AC43:AC53)</f>
        <v>0</v>
      </c>
      <c r="AE64" s="8"/>
    </row>
    <row r="65" spans="3:29" x14ac:dyDescent="0.25">
      <c r="S65" s="14" t="s">
        <v>77</v>
      </c>
      <c r="Z65" s="8"/>
      <c r="AA65" s="26">
        <f>SUM(AA55:AA59)</f>
        <v>12293690.5</v>
      </c>
      <c r="AB65" s="26"/>
      <c r="AC65" s="26">
        <f>SUM(AC55:AC59)</f>
        <v>12293690.5</v>
      </c>
    </row>
    <row r="66" spans="3:29" x14ac:dyDescent="0.25">
      <c r="S66" s="51" t="s">
        <v>78</v>
      </c>
      <c r="T66" s="2"/>
      <c r="U66" s="38"/>
      <c r="V66" s="2"/>
      <c r="W66" s="4"/>
      <c r="X66" s="4"/>
      <c r="Y66" s="20"/>
      <c r="Z66" s="3"/>
      <c r="AA66" s="27">
        <f>SUM(AA61:AA65)</f>
        <v>6036890417.1326237</v>
      </c>
      <c r="AB66" s="27"/>
      <c r="AC66" s="27">
        <f>SUM(AC61:AC65)</f>
        <v>941230079.86737657</v>
      </c>
    </row>
    <row r="67" spans="3:29" x14ac:dyDescent="0.25">
      <c r="S67" s="14" t="s">
        <v>79</v>
      </c>
      <c r="Z67" s="8"/>
      <c r="AA67" s="23">
        <f>AA66/(AA66+AC66)</f>
        <v>0.86511696376237335</v>
      </c>
      <c r="AB67" s="8"/>
      <c r="AC67" s="23">
        <f>AC66/(AC66+AA66)</f>
        <v>0.13488303623762668</v>
      </c>
    </row>
    <row r="68" spans="3:29" x14ac:dyDescent="0.25">
      <c r="C68" s="2"/>
      <c r="D68" s="2"/>
      <c r="E68" s="2"/>
      <c r="F68" s="2"/>
      <c r="G68" s="2"/>
      <c r="H68" s="2"/>
      <c r="I68" s="15"/>
      <c r="J68" s="2"/>
      <c r="K68" s="3"/>
      <c r="L68" s="2"/>
      <c r="M68" s="2"/>
      <c r="N68" s="2"/>
      <c r="O68" s="3"/>
      <c r="P68" s="2"/>
      <c r="Q68" s="2"/>
      <c r="R68" s="2"/>
      <c r="S68" s="2"/>
      <c r="T68" s="2"/>
      <c r="U68" s="38"/>
      <c r="V68" s="2"/>
      <c r="W68" s="4"/>
      <c r="X68" s="4"/>
      <c r="Y68" s="20"/>
      <c r="Z68" s="2"/>
      <c r="AA68" s="3"/>
      <c r="AB68" s="2"/>
      <c r="AC68" s="3"/>
    </row>
    <row r="70" spans="3:29" x14ac:dyDescent="0.25">
      <c r="C70" s="1" t="s">
        <v>97</v>
      </c>
    </row>
    <row r="71" spans="3:29" x14ac:dyDescent="0.25">
      <c r="C71" s="1" t="s">
        <v>99</v>
      </c>
    </row>
    <row r="72" spans="3:29" x14ac:dyDescent="0.25">
      <c r="C72" s="1" t="s">
        <v>100</v>
      </c>
    </row>
    <row r="73" spans="3:29" x14ac:dyDescent="0.25">
      <c r="C73" s="1" t="s">
        <v>101</v>
      </c>
    </row>
    <row r="74" spans="3:29" x14ac:dyDescent="0.25">
      <c r="C74" s="1" t="s">
        <v>107</v>
      </c>
    </row>
    <row r="76" spans="3:29" x14ac:dyDescent="0.25">
      <c r="C76" s="1" t="s">
        <v>91</v>
      </c>
    </row>
  </sheetData>
  <sortState xmlns:xlrd2="http://schemas.microsoft.com/office/spreadsheetml/2017/richdata2" ref="C9:AD59">
    <sortCondition ref="Y9:Y59"/>
    <sortCondition ref="M9:M59"/>
  </sortState>
  <mergeCells count="3">
    <mergeCell ref="C1:AC1"/>
    <mergeCell ref="AA6:AC6"/>
    <mergeCell ref="C2:AC2"/>
  </mergeCells>
  <printOptions horizontalCentered="1"/>
  <pageMargins left="0.2" right="0.2" top="0.5" bottom="0.5" header="0.3" footer="0.3"/>
  <pageSetup scale="96" fitToHeight="0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6"/>
  <sheetViews>
    <sheetView workbookViewId="0">
      <pane xSplit="6" ySplit="7" topLeftCell="K51" activePane="bottomRight" state="frozen"/>
      <selection pane="topRight" activeCell="F1" sqref="F1"/>
      <selection pane="bottomLeft" activeCell="A8" sqref="A8"/>
      <selection pane="bottomRight" activeCell="AD67" sqref="AD67"/>
    </sheetView>
  </sheetViews>
  <sheetFormatPr defaultColWidth="9.1796875" defaultRowHeight="11.5" x14ac:dyDescent="0.25"/>
  <cols>
    <col min="1" max="1" width="9.1796875" style="1"/>
    <col min="2" max="2" width="9.1796875" style="52"/>
    <col min="3" max="3" width="14.453125" style="1" bestFit="1" customWidth="1"/>
    <col min="4" max="4" width="1" style="1" customWidth="1"/>
    <col min="5" max="5" width="6.26953125" style="1" bestFit="1" customWidth="1"/>
    <col min="6" max="6" width="0.81640625" style="1" customWidth="1"/>
    <col min="7" max="7" width="13.453125" style="1" bestFit="1" customWidth="1"/>
    <col min="8" max="8" width="3.54296875" style="1" customWidth="1"/>
    <col min="9" max="9" width="9.453125" style="18" bestFit="1" customWidth="1"/>
    <col min="10" max="10" width="1" style="1" customWidth="1"/>
    <col min="11" max="11" width="8.54296875" style="8" bestFit="1" customWidth="1"/>
    <col min="12" max="12" width="1" style="1" customWidth="1"/>
    <col min="13" max="13" width="8.54296875" style="1" bestFit="1" customWidth="1"/>
    <col min="14" max="14" width="0.7265625" style="1" customWidth="1"/>
    <col min="15" max="15" width="11.7265625" style="8" customWidth="1"/>
    <col min="16" max="16" width="1.1796875" style="1" customWidth="1"/>
    <col min="17" max="17" width="11.08984375" style="1" customWidth="1"/>
    <col min="18" max="18" width="1.1796875" style="1" customWidth="1"/>
    <col min="19" max="19" width="11.81640625" style="1" customWidth="1"/>
    <col min="20" max="20" width="1" style="1" customWidth="1"/>
    <col min="21" max="21" width="10.08984375" style="40" customWidth="1"/>
    <col min="22" max="22" width="1" style="1" customWidth="1"/>
    <col min="23" max="23" width="10" style="10" customWidth="1"/>
    <col min="24" max="24" width="1.1796875" style="10" customWidth="1"/>
    <col min="25" max="25" width="9.453125" style="19" customWidth="1"/>
    <col min="26" max="26" width="1" style="1" customWidth="1"/>
    <col min="27" max="27" width="15.1796875" style="8" bestFit="1" customWidth="1"/>
    <col min="28" max="28" width="1.26953125" style="1" customWidth="1"/>
    <col min="29" max="29" width="11.7265625" style="8" bestFit="1" customWidth="1"/>
    <col min="30" max="30" width="9.1796875" style="1"/>
    <col min="31" max="33" width="10.81640625" style="1" bestFit="1" customWidth="1"/>
    <col min="34" max="16384" width="9.1796875" style="1"/>
  </cols>
  <sheetData>
    <row r="1" spans="1:30" ht="15" x14ac:dyDescent="0.3">
      <c r="B1" s="53"/>
      <c r="C1" s="54" t="s">
        <v>111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30" ht="15" x14ac:dyDescent="0.3">
      <c r="C2" s="54" t="s">
        <v>68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0" x14ac:dyDescent="0.25">
      <c r="C3" s="2"/>
      <c r="D3" s="2"/>
      <c r="E3" s="2"/>
      <c r="F3" s="2"/>
      <c r="G3" s="2"/>
      <c r="H3" s="2"/>
      <c r="I3" s="15"/>
      <c r="J3" s="2"/>
      <c r="K3" s="3"/>
      <c r="L3" s="2"/>
      <c r="M3" s="2"/>
      <c r="N3" s="2"/>
      <c r="O3" s="3"/>
      <c r="P3" s="2"/>
      <c r="Q3" s="2"/>
      <c r="R3" s="2"/>
      <c r="S3" s="2"/>
      <c r="T3" s="2"/>
      <c r="U3" s="38"/>
      <c r="V3" s="2"/>
      <c r="W3" s="4"/>
      <c r="X3" s="4"/>
      <c r="Y3" s="20"/>
      <c r="Z3" s="2"/>
      <c r="AA3" s="3"/>
      <c r="AB3" s="2"/>
      <c r="AC3" s="3"/>
    </row>
    <row r="4" spans="1:30" x14ac:dyDescent="0.25">
      <c r="C4" s="5" t="s">
        <v>9</v>
      </c>
      <c r="D4" s="5"/>
      <c r="E4" s="5" t="s">
        <v>10</v>
      </c>
      <c r="F4" s="5"/>
      <c r="G4" s="5" t="s">
        <v>11</v>
      </c>
      <c r="H4" s="5"/>
      <c r="I4" s="16" t="s">
        <v>12</v>
      </c>
      <c r="J4" s="5"/>
      <c r="K4" s="6" t="s">
        <v>13</v>
      </c>
      <c r="L4" s="5"/>
      <c r="M4" s="5" t="s">
        <v>14</v>
      </c>
      <c r="N4" s="5"/>
      <c r="O4" s="6" t="s">
        <v>15</v>
      </c>
      <c r="P4" s="5"/>
      <c r="Q4" s="5"/>
      <c r="R4" s="5"/>
      <c r="S4" s="5" t="s">
        <v>16</v>
      </c>
      <c r="T4" s="5"/>
      <c r="U4" s="39"/>
      <c r="V4" s="5"/>
      <c r="W4" s="7" t="s">
        <v>17</v>
      </c>
      <c r="X4" s="7"/>
      <c r="Y4" s="21"/>
      <c r="Z4" s="5"/>
      <c r="AA4" s="25">
        <v>-9</v>
      </c>
      <c r="AB4" s="5"/>
      <c r="AC4" s="25">
        <v>-10</v>
      </c>
    </row>
    <row r="5" spans="1:30" x14ac:dyDescent="0.25">
      <c r="G5" s="9" t="s">
        <v>112</v>
      </c>
      <c r="I5" s="16" t="s">
        <v>67</v>
      </c>
      <c r="K5" s="6" t="s">
        <v>67</v>
      </c>
      <c r="O5" s="6" t="s">
        <v>5</v>
      </c>
      <c r="S5" s="9" t="s">
        <v>5</v>
      </c>
      <c r="U5" s="39" t="s">
        <v>105</v>
      </c>
      <c r="V5" s="9"/>
      <c r="W5" s="7"/>
      <c r="X5" s="7"/>
    </row>
    <row r="6" spans="1:30" ht="9.5" customHeight="1" x14ac:dyDescent="0.25">
      <c r="B6" s="52" t="s">
        <v>112</v>
      </c>
      <c r="G6" s="9" t="s">
        <v>82</v>
      </c>
      <c r="I6" s="16" t="s">
        <v>71</v>
      </c>
      <c r="K6" s="6" t="s">
        <v>3</v>
      </c>
      <c r="M6" s="9" t="s">
        <v>4</v>
      </c>
      <c r="O6" s="6" t="s">
        <v>2</v>
      </c>
      <c r="Q6" s="9" t="s">
        <v>102</v>
      </c>
      <c r="S6" s="9" t="s">
        <v>6</v>
      </c>
      <c r="U6" s="39" t="s">
        <v>104</v>
      </c>
      <c r="V6" s="9"/>
      <c r="W6" s="49" t="s">
        <v>83</v>
      </c>
      <c r="X6" s="49"/>
      <c r="Y6" s="24"/>
      <c r="AA6" s="55" t="s">
        <v>8</v>
      </c>
      <c r="AB6" s="55"/>
      <c r="AC6" s="55"/>
    </row>
    <row r="7" spans="1:30" x14ac:dyDescent="0.25">
      <c r="B7" s="52" t="s">
        <v>115</v>
      </c>
      <c r="C7" s="29" t="s">
        <v>1</v>
      </c>
      <c r="D7" s="2"/>
      <c r="E7" s="29" t="s">
        <v>96</v>
      </c>
      <c r="F7" s="2"/>
      <c r="G7" s="29" t="s">
        <v>84</v>
      </c>
      <c r="H7" s="2"/>
      <c r="I7" s="17" t="s">
        <v>85</v>
      </c>
      <c r="J7" s="2"/>
      <c r="K7" s="12" t="s">
        <v>86</v>
      </c>
      <c r="L7" s="2"/>
      <c r="M7" s="29" t="s">
        <v>87</v>
      </c>
      <c r="N7" s="2"/>
      <c r="O7" s="12" t="s">
        <v>88</v>
      </c>
      <c r="P7" s="2"/>
      <c r="Q7" s="29" t="s">
        <v>103</v>
      </c>
      <c r="R7" s="2"/>
      <c r="S7" s="29" t="s">
        <v>88</v>
      </c>
      <c r="T7" s="2"/>
      <c r="U7" s="50" t="s">
        <v>106</v>
      </c>
      <c r="V7" s="29"/>
      <c r="W7" s="13" t="s">
        <v>89</v>
      </c>
      <c r="X7" s="13"/>
      <c r="Y7" s="22" t="s">
        <v>90</v>
      </c>
      <c r="Z7" s="2"/>
      <c r="AA7" s="12" t="s">
        <v>7</v>
      </c>
      <c r="AB7" s="29"/>
      <c r="AC7" s="12" t="s">
        <v>66</v>
      </c>
      <c r="AD7" s="1" t="s">
        <v>108</v>
      </c>
    </row>
    <row r="9" spans="1:30" x14ac:dyDescent="0.25">
      <c r="A9" s="1" t="s">
        <v>113</v>
      </c>
      <c r="B9" s="52">
        <v>0.78</v>
      </c>
      <c r="C9" s="1" t="s">
        <v>27</v>
      </c>
      <c r="E9" s="1" t="s">
        <v>61</v>
      </c>
      <c r="G9" s="1">
        <f>Combined!G9*KU!B9</f>
        <v>630.24</v>
      </c>
      <c r="I9" s="18">
        <v>1.83E-2</v>
      </c>
      <c r="K9" s="8">
        <f>+Combined!K9*KU!B9</f>
        <v>3847977.588</v>
      </c>
      <c r="M9" s="1">
        <v>3</v>
      </c>
      <c r="O9" s="26">
        <f>+Combined!O9*Combined!B9</f>
        <v>444745760.16000003</v>
      </c>
      <c r="P9" s="26"/>
      <c r="Q9" s="26">
        <f>Combined!Q9*Combined!B9</f>
        <v>-58789761.420000002</v>
      </c>
      <c r="R9" s="26"/>
      <c r="S9" s="26">
        <f t="shared" ref="S9:S19" si="0">O9+Q9</f>
        <v>385955998.74000001</v>
      </c>
      <c r="U9" s="40">
        <f>Combined!U9*Combined!B9</f>
        <v>5697.12</v>
      </c>
      <c r="W9" s="10">
        <f t="shared" ref="W9:W19" si="1">+K9/(G9*8760)</f>
        <v>0.69698344748858443</v>
      </c>
      <c r="Y9" s="19" t="s">
        <v>70</v>
      </c>
      <c r="Z9" s="8">
        <f t="shared" ref="Z9:Z19" si="2">+T9*P9</f>
        <v>0</v>
      </c>
      <c r="AA9" s="26">
        <f t="shared" ref="AA9:AA19" si="3">+S9</f>
        <v>385955998.74000001</v>
      </c>
      <c r="AB9" s="26"/>
      <c r="AC9" s="26">
        <v>0</v>
      </c>
    </row>
    <row r="10" spans="1:30" x14ac:dyDescent="0.25">
      <c r="A10" s="1" t="s">
        <v>113</v>
      </c>
      <c r="B10" s="52">
        <v>0.81</v>
      </c>
      <c r="C10" s="1" t="s">
        <v>58</v>
      </c>
      <c r="E10" s="1" t="s">
        <v>60</v>
      </c>
      <c r="G10" s="1">
        <f>Combined!G10*KU!B10</f>
        <v>509.49</v>
      </c>
      <c r="H10" s="1" t="s">
        <v>81</v>
      </c>
      <c r="I10" s="18">
        <v>1.9599999999999999E-2</v>
      </c>
      <c r="K10" s="8">
        <f>+Combined!K10*KU!B10</f>
        <v>2357313.3945000004</v>
      </c>
      <c r="M10" s="1">
        <v>4</v>
      </c>
      <c r="O10" s="26">
        <f>+Combined!O10*Combined!B10</f>
        <v>1143415117.6200001</v>
      </c>
      <c r="P10" s="26"/>
      <c r="Q10" s="26">
        <f>Combined!Q10*Combined!B10</f>
        <v>-243142672.59</v>
      </c>
      <c r="R10" s="26"/>
      <c r="S10" s="26">
        <f t="shared" si="0"/>
        <v>900272445.03000009</v>
      </c>
      <c r="U10" s="40">
        <f>Combined!U10*Combined!B10</f>
        <v>5239.08</v>
      </c>
      <c r="W10" s="10">
        <f t="shared" si="1"/>
        <v>0.52817465027477117</v>
      </c>
      <c r="Y10" s="19" t="s">
        <v>70</v>
      </c>
      <c r="Z10" s="8">
        <f t="shared" si="2"/>
        <v>0</v>
      </c>
      <c r="AA10" s="26">
        <f t="shared" si="3"/>
        <v>900272445.03000009</v>
      </c>
      <c r="AB10" s="26"/>
      <c r="AC10" s="26">
        <v>0</v>
      </c>
    </row>
    <row r="11" spans="1:30" x14ac:dyDescent="0.25">
      <c r="A11" s="1" t="s">
        <v>114</v>
      </c>
      <c r="B11" s="52">
        <v>0</v>
      </c>
      <c r="C11" s="1" t="s">
        <v>65</v>
      </c>
      <c r="E11" s="1" t="s">
        <v>60</v>
      </c>
      <c r="G11" s="1">
        <f>Combined!G11*KU!B11</f>
        <v>0</v>
      </c>
      <c r="H11" s="1" t="s">
        <v>81</v>
      </c>
      <c r="I11" s="18">
        <v>2.0500000000000001E-2</v>
      </c>
      <c r="K11" s="8">
        <f>+Combined!K11*KU!B11</f>
        <v>0</v>
      </c>
      <c r="M11" s="1">
        <v>5</v>
      </c>
      <c r="O11" s="26">
        <f>+Combined!O11*Combined!B11</f>
        <v>0</v>
      </c>
      <c r="P11" s="26"/>
      <c r="Q11" s="26">
        <f>Combined!Q11*Combined!B11</f>
        <v>0</v>
      </c>
      <c r="R11" s="26"/>
      <c r="S11" s="26">
        <f t="shared" si="0"/>
        <v>0</v>
      </c>
      <c r="U11" s="40">
        <f>Combined!U11*Combined!B11</f>
        <v>0</v>
      </c>
      <c r="W11" s="10" t="e">
        <f t="shared" si="1"/>
        <v>#DIV/0!</v>
      </c>
      <c r="Y11" s="19" t="s">
        <v>70</v>
      </c>
      <c r="Z11" s="8">
        <f t="shared" si="2"/>
        <v>0</v>
      </c>
      <c r="AA11" s="26">
        <f t="shared" si="3"/>
        <v>0</v>
      </c>
      <c r="AB11" s="26"/>
      <c r="AC11" s="26">
        <v>0</v>
      </c>
    </row>
    <row r="12" spans="1:30" x14ac:dyDescent="0.25">
      <c r="A12" s="1" t="s">
        <v>114</v>
      </c>
      <c r="B12" s="52">
        <v>0</v>
      </c>
      <c r="C12" s="1" t="s">
        <v>37</v>
      </c>
      <c r="E12" s="1" t="s">
        <v>60</v>
      </c>
      <c r="G12" s="1">
        <f>Combined!G12*KU!B12</f>
        <v>0</v>
      </c>
      <c r="I12" s="18">
        <v>2.1299999999999999E-2</v>
      </c>
      <c r="K12" s="8">
        <f>+Combined!K12*KU!B12</f>
        <v>0</v>
      </c>
      <c r="M12" s="1">
        <v>6</v>
      </c>
      <c r="O12" s="26">
        <f>+Combined!O12*Combined!B12</f>
        <v>0</v>
      </c>
      <c r="P12" s="26"/>
      <c r="Q12" s="26">
        <f>Combined!Q12*Combined!B12</f>
        <v>0</v>
      </c>
      <c r="R12" s="26"/>
      <c r="S12" s="26">
        <f t="shared" si="0"/>
        <v>0</v>
      </c>
      <c r="U12" s="40">
        <f>Combined!U12*Combined!B12</f>
        <v>0</v>
      </c>
      <c r="W12" s="10" t="e">
        <f t="shared" si="1"/>
        <v>#DIV/0!</v>
      </c>
      <c r="Y12" s="19" t="s">
        <v>70</v>
      </c>
      <c r="Z12" s="8">
        <f t="shared" si="2"/>
        <v>0</v>
      </c>
      <c r="AA12" s="26">
        <f t="shared" si="3"/>
        <v>0</v>
      </c>
      <c r="AB12" s="26"/>
      <c r="AC12" s="26">
        <v>0</v>
      </c>
    </row>
    <row r="13" spans="1:30" x14ac:dyDescent="0.25">
      <c r="A13" s="1" t="s">
        <v>114</v>
      </c>
      <c r="B13" s="52">
        <v>0</v>
      </c>
      <c r="C13" s="1" t="s">
        <v>40</v>
      </c>
      <c r="E13" s="1" t="s">
        <v>60</v>
      </c>
      <c r="G13" s="1">
        <f>Combined!G13*KU!B13</f>
        <v>0</v>
      </c>
      <c r="I13" s="18">
        <v>2.1100000000000001E-2</v>
      </c>
      <c r="K13" s="8">
        <f>+Combined!K13*KU!B13</f>
        <v>0</v>
      </c>
      <c r="M13" s="1">
        <v>7</v>
      </c>
      <c r="O13" s="26">
        <f>+Combined!O13*Combined!B13</f>
        <v>0</v>
      </c>
      <c r="P13" s="26"/>
      <c r="Q13" s="26">
        <f>Combined!Q13*Combined!B13</f>
        <v>0</v>
      </c>
      <c r="R13" s="26"/>
      <c r="S13" s="26">
        <f t="shared" si="0"/>
        <v>0</v>
      </c>
      <c r="U13" s="40">
        <f>Combined!U13*Combined!B13</f>
        <v>0</v>
      </c>
      <c r="W13" s="10" t="e">
        <f t="shared" si="1"/>
        <v>#DIV/0!</v>
      </c>
      <c r="Y13" s="19" t="s">
        <v>70</v>
      </c>
      <c r="Z13" s="8">
        <f t="shared" si="2"/>
        <v>0</v>
      </c>
      <c r="AA13" s="26">
        <f t="shared" si="3"/>
        <v>0</v>
      </c>
      <c r="AB13" s="26"/>
      <c r="AC13" s="26">
        <v>0</v>
      </c>
    </row>
    <row r="14" spans="1:30" x14ac:dyDescent="0.25">
      <c r="A14" s="1" t="s">
        <v>114</v>
      </c>
      <c r="B14" s="52">
        <v>0</v>
      </c>
      <c r="C14" s="1" t="s">
        <v>38</v>
      </c>
      <c r="E14" s="1" t="s">
        <v>60</v>
      </c>
      <c r="G14" s="1">
        <f>Combined!G14*KU!B14</f>
        <v>0</v>
      </c>
      <c r="I14" s="18">
        <v>2.12E-2</v>
      </c>
      <c r="K14" s="8">
        <f>+Combined!K14*KU!B14</f>
        <v>0</v>
      </c>
      <c r="M14" s="1">
        <v>8</v>
      </c>
      <c r="O14" s="26">
        <f>+Combined!O14*Combined!B14</f>
        <v>0</v>
      </c>
      <c r="P14" s="26"/>
      <c r="Q14" s="26">
        <f>Combined!Q14*Combined!B14</f>
        <v>0</v>
      </c>
      <c r="R14" s="26"/>
      <c r="S14" s="26">
        <f t="shared" si="0"/>
        <v>0</v>
      </c>
      <c r="U14" s="40">
        <f>Combined!U14*Combined!B14</f>
        <v>0</v>
      </c>
      <c r="W14" s="10" t="e">
        <f t="shared" si="1"/>
        <v>#DIV/0!</v>
      </c>
      <c r="Y14" s="19" t="s">
        <v>70</v>
      </c>
      <c r="Z14" s="8">
        <f t="shared" si="2"/>
        <v>0</v>
      </c>
      <c r="AA14" s="26">
        <f t="shared" si="3"/>
        <v>0</v>
      </c>
      <c r="AB14" s="26"/>
      <c r="AC14" s="26">
        <v>0</v>
      </c>
      <c r="AD14" s="1" t="s">
        <v>110</v>
      </c>
    </row>
    <row r="15" spans="1:30" x14ac:dyDescent="0.25">
      <c r="A15" s="1" t="s">
        <v>114</v>
      </c>
      <c r="B15" s="52">
        <v>0</v>
      </c>
      <c r="C15" s="1" t="s">
        <v>39</v>
      </c>
      <c r="E15" s="1" t="s">
        <v>60</v>
      </c>
      <c r="G15" s="1">
        <f>Combined!G15*KU!B15</f>
        <v>0</v>
      </c>
      <c r="I15" s="18">
        <v>2.1600000000000001E-2</v>
      </c>
      <c r="K15" s="8">
        <f>+Combined!K15*KU!B15</f>
        <v>0</v>
      </c>
      <c r="M15" s="1">
        <v>9</v>
      </c>
      <c r="O15" s="26">
        <f>+Combined!O15*Combined!B15</f>
        <v>0</v>
      </c>
      <c r="P15" s="26"/>
      <c r="Q15" s="26">
        <f>Combined!Q15*Combined!B15</f>
        <v>0</v>
      </c>
      <c r="R15" s="26"/>
      <c r="S15" s="26">
        <f t="shared" si="0"/>
        <v>0</v>
      </c>
      <c r="U15" s="40">
        <f>Combined!U15*Combined!B15</f>
        <v>0</v>
      </c>
      <c r="W15" s="10" t="e">
        <f t="shared" si="1"/>
        <v>#DIV/0!</v>
      </c>
      <c r="Y15" s="19" t="s">
        <v>70</v>
      </c>
      <c r="Z15" s="8">
        <f t="shared" si="2"/>
        <v>0</v>
      </c>
      <c r="AA15" s="26">
        <f t="shared" si="3"/>
        <v>0</v>
      </c>
      <c r="AB15" s="26"/>
      <c r="AC15" s="26">
        <v>0</v>
      </c>
    </row>
    <row r="16" spans="1:30" x14ac:dyDescent="0.25">
      <c r="A16" s="1" t="s">
        <v>112</v>
      </c>
      <c r="B16" s="52">
        <v>1</v>
      </c>
      <c r="C16" s="1" t="s">
        <v>31</v>
      </c>
      <c r="E16" s="1" t="s">
        <v>60</v>
      </c>
      <c r="G16" s="1">
        <f>Combined!G16*KU!B16</f>
        <v>557</v>
      </c>
      <c r="I16" s="18">
        <v>2.1000000000000001E-2</v>
      </c>
      <c r="K16" s="8">
        <f>+Combined!K16*KU!B16</f>
        <v>2595109.8199999998</v>
      </c>
      <c r="M16" s="1">
        <v>10</v>
      </c>
      <c r="O16" s="26">
        <f>+Combined!O16*Combined!B16</f>
        <v>734078843</v>
      </c>
      <c r="P16" s="26"/>
      <c r="Q16" s="26">
        <f>Combined!Q16*Combined!B16</f>
        <v>-340050122</v>
      </c>
      <c r="R16" s="26"/>
      <c r="S16" s="26">
        <f t="shared" si="0"/>
        <v>394028721</v>
      </c>
      <c r="U16" s="40">
        <f>Combined!U16*Combined!B16</f>
        <v>6882</v>
      </c>
      <c r="W16" s="10">
        <f t="shared" si="1"/>
        <v>0.53185891066787994</v>
      </c>
      <c r="Y16" s="19" t="s">
        <v>70</v>
      </c>
      <c r="Z16" s="8">
        <f t="shared" si="2"/>
        <v>0</v>
      </c>
      <c r="AA16" s="26">
        <f t="shared" si="3"/>
        <v>394028721</v>
      </c>
      <c r="AB16" s="26"/>
      <c r="AC16" s="26">
        <v>0</v>
      </c>
    </row>
    <row r="17" spans="1:30" x14ac:dyDescent="0.25">
      <c r="A17" s="1" t="s">
        <v>112</v>
      </c>
      <c r="B17" s="52">
        <v>1</v>
      </c>
      <c r="C17" s="1" t="s">
        <v>32</v>
      </c>
      <c r="E17" s="1" t="s">
        <v>60</v>
      </c>
      <c r="G17" s="1">
        <f>Combined!G17*KU!B17</f>
        <v>556</v>
      </c>
      <c r="I17" s="18">
        <v>2.1100000000000001E-2</v>
      </c>
      <c r="K17" s="8">
        <f>+Combined!K17*KU!B17</f>
        <v>2702053.93</v>
      </c>
      <c r="M17" s="1">
        <v>11</v>
      </c>
      <c r="O17" s="26">
        <f>+Combined!O17*Combined!B17</f>
        <v>448900563</v>
      </c>
      <c r="P17" s="26"/>
      <c r="Q17" s="26">
        <f>Combined!Q17*Combined!B17</f>
        <v>-216654807</v>
      </c>
      <c r="R17" s="26"/>
      <c r="S17" s="26">
        <f t="shared" si="0"/>
        <v>232245756</v>
      </c>
      <c r="U17" s="40">
        <f>Combined!U17*Combined!B17</f>
        <v>7331</v>
      </c>
      <c r="W17" s="10">
        <f t="shared" si="1"/>
        <v>0.55477274276469235</v>
      </c>
      <c r="Y17" s="19" t="s">
        <v>70</v>
      </c>
      <c r="Z17" s="8">
        <f t="shared" si="2"/>
        <v>0</v>
      </c>
      <c r="AA17" s="26">
        <f t="shared" si="3"/>
        <v>232245756</v>
      </c>
      <c r="AB17" s="26"/>
      <c r="AC17" s="26">
        <v>0</v>
      </c>
    </row>
    <row r="18" spans="1:30" x14ac:dyDescent="0.25">
      <c r="A18" s="1" t="s">
        <v>112</v>
      </c>
      <c r="B18" s="52">
        <v>1</v>
      </c>
      <c r="C18" s="1" t="s">
        <v>33</v>
      </c>
      <c r="E18" s="1" t="s">
        <v>60</v>
      </c>
      <c r="G18" s="1">
        <f>Combined!G18*KU!B18</f>
        <v>557</v>
      </c>
      <c r="I18" s="18">
        <v>2.1100000000000001E-2</v>
      </c>
      <c r="K18" s="8">
        <f>+Combined!K18*KU!B18</f>
        <v>2501699.5699999998</v>
      </c>
      <c r="M18" s="1">
        <v>12</v>
      </c>
      <c r="O18" s="26">
        <f>+Combined!O18*Combined!B18</f>
        <v>726483326</v>
      </c>
      <c r="P18" s="26"/>
      <c r="Q18" s="26">
        <f>Combined!Q18*Combined!B18</f>
        <v>-346839753</v>
      </c>
      <c r="R18" s="26"/>
      <c r="S18" s="26">
        <f t="shared" si="0"/>
        <v>379643573</v>
      </c>
      <c r="U18" s="40">
        <f>Combined!U18*Combined!B18</f>
        <v>7317</v>
      </c>
      <c r="W18" s="10">
        <f t="shared" si="1"/>
        <v>0.51271479837354383</v>
      </c>
      <c r="Y18" s="19" t="s">
        <v>70</v>
      </c>
      <c r="Z18" s="8">
        <f t="shared" si="2"/>
        <v>0</v>
      </c>
      <c r="AA18" s="26">
        <f t="shared" si="3"/>
        <v>379643573</v>
      </c>
      <c r="AB18" s="26"/>
      <c r="AC18" s="26">
        <v>0</v>
      </c>
    </row>
    <row r="19" spans="1:30" x14ac:dyDescent="0.25">
      <c r="A19" s="1" t="s">
        <v>112</v>
      </c>
      <c r="B19" s="52">
        <v>1</v>
      </c>
      <c r="C19" s="1" t="s">
        <v>34</v>
      </c>
      <c r="E19" s="1" t="s">
        <v>60</v>
      </c>
      <c r="G19" s="1">
        <f>Combined!G19*KU!B19</f>
        <v>556</v>
      </c>
      <c r="I19" s="18">
        <v>2.1399999999999999E-2</v>
      </c>
      <c r="K19" s="8">
        <f>+Combined!K19*KU!B19</f>
        <v>2311311.73</v>
      </c>
      <c r="M19" s="1">
        <v>13</v>
      </c>
      <c r="O19" s="26">
        <f>+Combined!O19*Combined!B19</f>
        <v>1458257674</v>
      </c>
      <c r="P19" s="26"/>
      <c r="Q19" s="26">
        <f>Combined!Q19*Combined!B19</f>
        <v>-463695479</v>
      </c>
      <c r="R19" s="26"/>
      <c r="S19" s="26">
        <f t="shared" si="0"/>
        <v>994562195</v>
      </c>
      <c r="U19" s="40">
        <f>Combined!U19*Combined!B19</f>
        <v>6750</v>
      </c>
      <c r="W19" s="10">
        <f t="shared" si="1"/>
        <v>0.47454742986432769</v>
      </c>
      <c r="Y19" s="19" t="s">
        <v>70</v>
      </c>
      <c r="Z19" s="8">
        <f t="shared" si="2"/>
        <v>0</v>
      </c>
      <c r="AA19" s="26">
        <f t="shared" si="3"/>
        <v>994562195</v>
      </c>
      <c r="AB19" s="26"/>
      <c r="AC19" s="26">
        <v>0</v>
      </c>
    </row>
    <row r="20" spans="1:30" x14ac:dyDescent="0.25">
      <c r="O20" s="26"/>
      <c r="P20" s="26"/>
      <c r="Q20" s="26"/>
      <c r="R20" s="26"/>
      <c r="S20" s="26"/>
      <c r="Z20" s="8"/>
      <c r="AA20" s="26"/>
      <c r="AB20" s="26"/>
      <c r="AC20" s="26"/>
    </row>
    <row r="21" spans="1:30" x14ac:dyDescent="0.25">
      <c r="A21" s="1" t="s">
        <v>112</v>
      </c>
      <c r="B21" s="52">
        <v>1</v>
      </c>
      <c r="C21" s="1" t="s">
        <v>18</v>
      </c>
      <c r="E21" s="1" t="s">
        <v>60</v>
      </c>
      <c r="G21" s="1">
        <f>Combined!G21*KU!B21</f>
        <v>464</v>
      </c>
      <c r="I21" s="18">
        <v>3.3000000000000002E-2</v>
      </c>
      <c r="K21" s="8">
        <f>+Combined!K21*KU!B21</f>
        <v>754401.68</v>
      </c>
      <c r="M21" s="1">
        <v>15</v>
      </c>
      <c r="O21" s="26">
        <f>+Combined!O21*Combined!B21</f>
        <v>1020978028</v>
      </c>
      <c r="P21" s="26"/>
      <c r="Q21" s="26">
        <f>Combined!Q21*Combined!B21</f>
        <v>-331093724</v>
      </c>
      <c r="R21" s="26"/>
      <c r="S21" s="26">
        <f>O21+Q21</f>
        <v>689884304</v>
      </c>
      <c r="U21" s="40">
        <f>Combined!U21*Combined!B21</f>
        <v>4855</v>
      </c>
      <c r="W21" s="10">
        <f>+K21/(G21*8760)</f>
        <v>0.1856011061250197</v>
      </c>
      <c r="Y21" s="19" t="s">
        <v>72</v>
      </c>
      <c r="Z21" s="8">
        <f>+T21*P21</f>
        <v>0</v>
      </c>
      <c r="AA21" s="26">
        <f>W21*S21</f>
        <v>128043289.92068936</v>
      </c>
      <c r="AB21" s="26"/>
      <c r="AC21" s="26">
        <f>S21-AA21</f>
        <v>561841014.07931066</v>
      </c>
      <c r="AD21" s="30"/>
    </row>
    <row r="22" spans="1:30" x14ac:dyDescent="0.25">
      <c r="A22" s="1" t="s">
        <v>113</v>
      </c>
      <c r="B22" s="52">
        <v>0.71</v>
      </c>
      <c r="C22" s="1" t="s">
        <v>52</v>
      </c>
      <c r="E22" s="1" t="s">
        <v>61</v>
      </c>
      <c r="G22" s="1">
        <f>Combined!G22*KU!B22</f>
        <v>141.29</v>
      </c>
      <c r="I22" s="18">
        <v>3.44E-2</v>
      </c>
      <c r="K22" s="8">
        <f>+Combined!K22*KU!B22</f>
        <v>306813.23009999999</v>
      </c>
      <c r="M22" s="1">
        <v>16</v>
      </c>
      <c r="O22" s="26">
        <f>+Combined!O22*Combined!B22</f>
        <v>51410850.079999998</v>
      </c>
      <c r="P22" s="26"/>
      <c r="Q22" s="26">
        <f>Combined!Q22*Combined!B22</f>
        <v>-28566520.559999999</v>
      </c>
      <c r="R22" s="26"/>
      <c r="S22" s="26">
        <f>O22+Q22</f>
        <v>22844329.52</v>
      </c>
      <c r="U22" s="40">
        <f>Combined!U22*Combined!B22</f>
        <v>1942.56</v>
      </c>
      <c r="W22" s="10">
        <f>+K22/(G22*8760)</f>
        <v>0.24788973979486476</v>
      </c>
      <c r="Y22" s="19" t="s">
        <v>72</v>
      </c>
      <c r="Z22" s="8">
        <f>+T22*P22</f>
        <v>0</v>
      </c>
      <c r="AA22" s="26">
        <f>W22*S22</f>
        <v>5662874.9005009476</v>
      </c>
      <c r="AB22" s="26"/>
      <c r="AC22" s="26">
        <f>S22-AA22</f>
        <v>17181454.61949905</v>
      </c>
    </row>
    <row r="23" spans="1:30" x14ac:dyDescent="0.25">
      <c r="A23" s="1" t="s">
        <v>113</v>
      </c>
      <c r="B23" s="52">
        <v>0.71</v>
      </c>
      <c r="C23" s="1" t="s">
        <v>53</v>
      </c>
      <c r="E23" s="1" t="s">
        <v>61</v>
      </c>
      <c r="G23" s="1">
        <f>Combined!G23*KU!B23</f>
        <v>141.29</v>
      </c>
      <c r="I23" s="18">
        <v>3.6700000000000003E-2</v>
      </c>
      <c r="K23" s="8">
        <f>+Combined!K23*KU!B23</f>
        <v>237895.15599999996</v>
      </c>
      <c r="M23" s="1">
        <v>17</v>
      </c>
      <c r="O23" s="26">
        <f>+Combined!O23*Combined!B23</f>
        <v>47111618.32</v>
      </c>
      <c r="P23" s="26"/>
      <c r="Q23" s="26">
        <f>Combined!Q23*Combined!B23</f>
        <v>-27333979.73</v>
      </c>
      <c r="R23" s="26"/>
      <c r="S23" s="26">
        <f>O23+Q23</f>
        <v>19777638.59</v>
      </c>
      <c r="U23" s="40">
        <f>Combined!U23*Combined!B23</f>
        <v>1515.1399999999999</v>
      </c>
      <c r="W23" s="10">
        <f>+K23/(G23*8760)</f>
        <v>0.19220738395172207</v>
      </c>
      <c r="Y23" s="19" t="s">
        <v>72</v>
      </c>
      <c r="Z23" s="8">
        <f>+T23*P23</f>
        <v>0</v>
      </c>
      <c r="AA23" s="26">
        <f>W23*S23</f>
        <v>3801408.1741265249</v>
      </c>
      <c r="AB23" s="26"/>
      <c r="AC23" s="26">
        <f>S23-AA23</f>
        <v>15976230.415873475</v>
      </c>
    </row>
    <row r="24" spans="1:30" x14ac:dyDescent="0.25">
      <c r="A24" s="1" t="s">
        <v>113</v>
      </c>
      <c r="B24" s="52">
        <v>0.47</v>
      </c>
      <c r="C24" s="1" t="s">
        <v>19</v>
      </c>
      <c r="E24" s="1" t="s">
        <v>61</v>
      </c>
      <c r="G24" s="1">
        <f>Combined!G24*KU!B24</f>
        <v>57.809999999999995</v>
      </c>
      <c r="I24" s="18">
        <v>3.4500000000000003E-2</v>
      </c>
      <c r="K24" s="8">
        <f>+Combined!K24*KU!B24</f>
        <v>45675.591699999997</v>
      </c>
      <c r="M24" s="1">
        <v>27</v>
      </c>
      <c r="O24" s="26">
        <f>+Combined!O24*Combined!B24</f>
        <v>25841371.739999998</v>
      </c>
      <c r="P24" s="26"/>
      <c r="Q24" s="26">
        <f>Combined!Q24*Combined!B24</f>
        <v>-14204938.309999999</v>
      </c>
      <c r="R24" s="26"/>
      <c r="S24" s="26">
        <f>O24+Q24</f>
        <v>11636433.43</v>
      </c>
      <c r="U24" s="40">
        <f>Combined!U24*Combined!B24</f>
        <v>645.30999999999995</v>
      </c>
      <c r="W24" s="10">
        <f>+K24/(G24*8760)</f>
        <v>9.0193887589560831E-2</v>
      </c>
      <c r="Y24" s="19" t="s">
        <v>72</v>
      </c>
      <c r="Z24" s="8">
        <f>+T24*P24</f>
        <v>0</v>
      </c>
      <c r="AA24" s="26">
        <f>W24*S24</f>
        <v>1049535.1687288277</v>
      </c>
      <c r="AB24" s="26"/>
      <c r="AC24" s="26">
        <f>S24-AA24</f>
        <v>10586898.261271171</v>
      </c>
    </row>
    <row r="25" spans="1:30" x14ac:dyDescent="0.25">
      <c r="O25" s="26"/>
      <c r="P25" s="26"/>
      <c r="Q25" s="26"/>
      <c r="R25" s="26"/>
      <c r="S25" s="26"/>
      <c r="Z25" s="8"/>
      <c r="AA25" s="26"/>
      <c r="AB25" s="26"/>
      <c r="AC25" s="26"/>
    </row>
    <row r="26" spans="1:30" x14ac:dyDescent="0.25">
      <c r="A26" s="1" t="s">
        <v>113</v>
      </c>
      <c r="B26" s="52">
        <v>0.63</v>
      </c>
      <c r="C26" s="1" t="s">
        <v>54</v>
      </c>
      <c r="E26" s="1" t="s">
        <v>61</v>
      </c>
      <c r="G26" s="1">
        <f>Combined!G26*KU!B26</f>
        <v>125.37</v>
      </c>
      <c r="I26" s="18">
        <v>4.3999999999999997E-2</v>
      </c>
      <c r="K26" s="8">
        <f>+Combined!K26*KU!B26</f>
        <v>123932.25809999999</v>
      </c>
      <c r="M26" s="1">
        <v>18</v>
      </c>
      <c r="O26" s="26">
        <f>+Combined!O26*Combined!B26</f>
        <v>37653393.960000001</v>
      </c>
      <c r="P26" s="26"/>
      <c r="Q26" s="26">
        <f>Combined!Q26*Combined!B26</f>
        <v>-19048351.77</v>
      </c>
      <c r="R26" s="26"/>
      <c r="S26" s="26">
        <f t="shared" ref="S26:S41" si="4">O26+Q26</f>
        <v>18605042.190000001</v>
      </c>
      <c r="U26" s="40">
        <f>Combined!U26*Combined!B26</f>
        <v>793.17</v>
      </c>
      <c r="W26" s="10">
        <f t="shared" ref="W26:W41" si="5">+K26/(G26*8760)</f>
        <v>0.11284611986875014</v>
      </c>
      <c r="Y26" s="19" t="s">
        <v>69</v>
      </c>
      <c r="Z26" s="8">
        <f t="shared" ref="Z26:Z41" si="6">+T26*P26</f>
        <v>0</v>
      </c>
      <c r="AA26" s="26">
        <v>0</v>
      </c>
      <c r="AB26" s="26"/>
      <c r="AC26" s="26">
        <f t="shared" ref="AC26:AC41" si="7">+S26</f>
        <v>18605042.190000001</v>
      </c>
    </row>
    <row r="27" spans="1:30" x14ac:dyDescent="0.25">
      <c r="A27" s="1" t="s">
        <v>113</v>
      </c>
      <c r="B27" s="52">
        <v>0.63</v>
      </c>
      <c r="C27" s="1" t="s">
        <v>55</v>
      </c>
      <c r="E27" s="1" t="s">
        <v>61</v>
      </c>
      <c r="G27" s="1">
        <f>Combined!G27*KU!B27</f>
        <v>125.37</v>
      </c>
      <c r="I27" s="18">
        <v>0.1139</v>
      </c>
      <c r="K27" s="8">
        <f>+Combined!K27*KU!B27</f>
        <v>24751.030500000001</v>
      </c>
      <c r="M27" s="1">
        <v>19</v>
      </c>
      <c r="O27" s="26">
        <f>+Combined!O27*Combined!B27</f>
        <v>35859242.789999999</v>
      </c>
      <c r="P27" s="26"/>
      <c r="Q27" s="26">
        <f>Combined!Q27*Combined!B27</f>
        <v>-19345848.48</v>
      </c>
      <c r="R27" s="26"/>
      <c r="S27" s="26">
        <f t="shared" si="4"/>
        <v>16513394.309999999</v>
      </c>
      <c r="U27" s="40">
        <f>Combined!U27*Combined!B27</f>
        <v>158.13</v>
      </c>
      <c r="W27" s="10">
        <f t="shared" si="5"/>
        <v>2.2536971386613435E-2</v>
      </c>
      <c r="Y27" s="19" t="s">
        <v>69</v>
      </c>
      <c r="Z27" s="8">
        <f t="shared" si="6"/>
        <v>0</v>
      </c>
      <c r="AA27" s="26">
        <v>0</v>
      </c>
      <c r="AB27" s="26"/>
      <c r="AC27" s="26">
        <f t="shared" si="7"/>
        <v>16513394.309999999</v>
      </c>
    </row>
    <row r="28" spans="1:30" x14ac:dyDescent="0.25">
      <c r="A28" s="1" t="s">
        <v>113</v>
      </c>
      <c r="B28" s="52">
        <v>0.63</v>
      </c>
      <c r="C28" s="1" t="s">
        <v>56</v>
      </c>
      <c r="E28" s="1" t="s">
        <v>61</v>
      </c>
      <c r="G28" s="1">
        <f>Combined!G28*KU!B28</f>
        <v>125.37</v>
      </c>
      <c r="I28" s="18">
        <v>4.6600000000000003E-2</v>
      </c>
      <c r="K28" s="8">
        <f>+Combined!K28*KU!B28</f>
        <v>107688.1743</v>
      </c>
      <c r="M28" s="1">
        <v>20</v>
      </c>
      <c r="O28" s="26">
        <f>+Combined!O28*Combined!B28</f>
        <v>36299472.299999997</v>
      </c>
      <c r="P28" s="26"/>
      <c r="Q28" s="26">
        <f>Combined!Q28*Combined!B28</f>
        <v>-19156658.850000001</v>
      </c>
      <c r="R28" s="26"/>
      <c r="S28" s="26">
        <f t="shared" si="4"/>
        <v>17142813.449999996</v>
      </c>
      <c r="U28" s="40">
        <f>Combined!U28*Combined!B28</f>
        <v>682.92</v>
      </c>
      <c r="W28" s="10">
        <f t="shared" si="5"/>
        <v>9.8055121497900466E-2</v>
      </c>
      <c r="Y28" s="19" t="s">
        <v>69</v>
      </c>
      <c r="Z28" s="8">
        <f t="shared" si="6"/>
        <v>0</v>
      </c>
      <c r="AA28" s="26">
        <v>0</v>
      </c>
      <c r="AB28" s="26"/>
      <c r="AC28" s="26">
        <f t="shared" si="7"/>
        <v>17142813.449999996</v>
      </c>
    </row>
    <row r="29" spans="1:30" x14ac:dyDescent="0.25">
      <c r="A29" s="1" t="s">
        <v>113</v>
      </c>
      <c r="B29" s="52">
        <v>0.63</v>
      </c>
      <c r="C29" s="1" t="s">
        <v>57</v>
      </c>
      <c r="E29" s="1" t="s">
        <v>61</v>
      </c>
      <c r="G29" s="1">
        <f>Combined!G29*KU!B29</f>
        <v>125.37</v>
      </c>
      <c r="I29" s="18">
        <v>0.18360000000000001</v>
      </c>
      <c r="K29" s="8">
        <f>+Combined!K29*KU!B29</f>
        <v>13763.364300000001</v>
      </c>
      <c r="M29" s="1">
        <v>21</v>
      </c>
      <c r="O29" s="26">
        <f>+Combined!O29*Combined!B29</f>
        <v>45142040.789999999</v>
      </c>
      <c r="P29" s="26"/>
      <c r="Q29" s="26">
        <f>Combined!Q29*Combined!B29</f>
        <v>-22289832.18</v>
      </c>
      <c r="R29" s="26"/>
      <c r="S29" s="26">
        <f t="shared" si="4"/>
        <v>22852208.609999999</v>
      </c>
      <c r="U29" s="40">
        <f>Combined!U29*Combined!B29</f>
        <v>88.2</v>
      </c>
      <c r="W29" s="10">
        <f t="shared" si="5"/>
        <v>1.2532187191666095E-2</v>
      </c>
      <c r="Y29" s="19" t="s">
        <v>69</v>
      </c>
      <c r="Z29" s="8">
        <f t="shared" si="6"/>
        <v>0</v>
      </c>
      <c r="AA29" s="26">
        <v>0</v>
      </c>
      <c r="AB29" s="26"/>
      <c r="AC29" s="26">
        <f t="shared" si="7"/>
        <v>22852208.609999999</v>
      </c>
    </row>
    <row r="30" spans="1:30" x14ac:dyDescent="0.25">
      <c r="A30" s="1" t="s">
        <v>113</v>
      </c>
      <c r="B30" s="52">
        <v>0.62</v>
      </c>
      <c r="C30" s="1" t="s">
        <v>20</v>
      </c>
      <c r="E30" s="1" t="s">
        <v>62</v>
      </c>
      <c r="G30" s="1">
        <f>Combined!G30*KU!B30</f>
        <v>109.74</v>
      </c>
      <c r="I30" s="18">
        <v>2.7300000000000001E-2</v>
      </c>
      <c r="K30" s="8">
        <f>+Combined!K30*KU!B30</f>
        <v>69980.931400000001</v>
      </c>
      <c r="M30" s="1">
        <v>22</v>
      </c>
      <c r="O30" s="26">
        <f>+Combined!O30*Combined!B30</f>
        <v>49049673.740000002</v>
      </c>
      <c r="P30" s="26"/>
      <c r="Q30" s="26">
        <f>Combined!Q30*Combined!B30</f>
        <v>-23266211.760000002</v>
      </c>
      <c r="R30" s="26"/>
      <c r="S30" s="26">
        <f t="shared" si="4"/>
        <v>25783461.98</v>
      </c>
      <c r="U30" s="40">
        <f>Combined!U30*Combined!B30</f>
        <v>484.84</v>
      </c>
      <c r="W30" s="10">
        <f t="shared" si="5"/>
        <v>7.2796526326651706E-2</v>
      </c>
      <c r="Y30" s="19" t="s">
        <v>69</v>
      </c>
      <c r="Z30" s="8">
        <f t="shared" si="6"/>
        <v>0</v>
      </c>
      <c r="AA30" s="26">
        <v>0</v>
      </c>
      <c r="AB30" s="26"/>
      <c r="AC30" s="26">
        <f t="shared" si="7"/>
        <v>25783461.98</v>
      </c>
    </row>
    <row r="31" spans="1:30" x14ac:dyDescent="0.25">
      <c r="A31" s="1" t="s">
        <v>113</v>
      </c>
      <c r="B31" s="52">
        <v>0.62</v>
      </c>
      <c r="C31" s="31" t="s">
        <v>21</v>
      </c>
      <c r="D31" s="31"/>
      <c r="E31" s="31" t="s">
        <v>62</v>
      </c>
      <c r="F31" s="31"/>
      <c r="G31" s="1">
        <f>Combined!G31*KU!B31</f>
        <v>109.74</v>
      </c>
      <c r="H31" s="31"/>
      <c r="I31" s="32">
        <v>2.7099999999999999E-2</v>
      </c>
      <c r="J31" s="31"/>
      <c r="K31" s="8">
        <f>+Combined!K31*KU!B31</f>
        <v>38945.833200000001</v>
      </c>
      <c r="L31" s="31"/>
      <c r="M31" s="31">
        <v>23</v>
      </c>
      <c r="N31" s="31"/>
      <c r="O31" s="26">
        <f>+Combined!O31*Combined!B31</f>
        <v>39323292.920000002</v>
      </c>
      <c r="P31" s="26"/>
      <c r="Q31" s="26">
        <f>Combined!Q31*Combined!B31</f>
        <v>-26273756.120000001</v>
      </c>
      <c r="R31" s="26"/>
      <c r="S31" s="26">
        <f t="shared" si="4"/>
        <v>13049536.800000001</v>
      </c>
      <c r="T31" s="31"/>
      <c r="U31" s="40">
        <f>Combined!U31*Combined!B31</f>
        <v>268.45999999999998</v>
      </c>
      <c r="V31" s="31"/>
      <c r="W31" s="35">
        <f t="shared" si="5"/>
        <v>4.0512769909449735E-2</v>
      </c>
      <c r="X31" s="35"/>
      <c r="Y31" s="36" t="s">
        <v>69</v>
      </c>
      <c r="Z31" s="33">
        <f t="shared" si="6"/>
        <v>0</v>
      </c>
      <c r="AA31" s="34">
        <v>0</v>
      </c>
      <c r="AB31" s="34"/>
      <c r="AC31" s="34">
        <f t="shared" si="7"/>
        <v>13049536.800000001</v>
      </c>
    </row>
    <row r="32" spans="1:30" x14ac:dyDescent="0.25">
      <c r="A32" s="1" t="s">
        <v>113</v>
      </c>
      <c r="B32" s="52">
        <v>0.47</v>
      </c>
      <c r="C32" s="1" t="s">
        <v>51</v>
      </c>
      <c r="E32" s="1" t="s">
        <v>61</v>
      </c>
      <c r="G32" s="1">
        <f>Combined!G32*KU!B32</f>
        <v>83.66</v>
      </c>
      <c r="I32" s="18">
        <v>6.1499999999999999E-2</v>
      </c>
      <c r="K32" s="8">
        <f>+Combined!K32*KU!B32</f>
        <v>34451.1175</v>
      </c>
      <c r="M32" s="1">
        <v>24</v>
      </c>
      <c r="O32" s="26">
        <f>+Combined!O32*Combined!B32</f>
        <v>39647163.960000001</v>
      </c>
      <c r="P32" s="26"/>
      <c r="Q32" s="26">
        <f>Combined!Q32*Combined!B32</f>
        <v>-19669640.529999997</v>
      </c>
      <c r="R32" s="26"/>
      <c r="S32" s="26">
        <f t="shared" si="4"/>
        <v>19977523.430000003</v>
      </c>
      <c r="U32" s="40">
        <f>Combined!U32*Combined!B32</f>
        <v>231.70999999999998</v>
      </c>
      <c r="W32" s="10">
        <f t="shared" si="5"/>
        <v>4.7009036221845983E-2</v>
      </c>
      <c r="Y32" s="19" t="s">
        <v>69</v>
      </c>
      <c r="Z32" s="8">
        <f t="shared" si="6"/>
        <v>0</v>
      </c>
      <c r="AA32" s="26">
        <v>0</v>
      </c>
      <c r="AB32" s="26"/>
      <c r="AC32" s="26">
        <f t="shared" si="7"/>
        <v>19977523.430000003</v>
      </c>
    </row>
    <row r="33" spans="1:30" x14ac:dyDescent="0.25">
      <c r="A33" s="1" t="s">
        <v>112</v>
      </c>
      <c r="B33" s="52">
        <v>1</v>
      </c>
      <c r="C33" s="1" t="s">
        <v>23</v>
      </c>
      <c r="E33" s="1" t="s">
        <v>62</v>
      </c>
      <c r="G33" s="1">
        <f>Combined!G33*KU!B33</f>
        <v>126</v>
      </c>
      <c r="I33" s="18">
        <v>3.9399999999999998E-2</v>
      </c>
      <c r="K33" s="8">
        <f>+Combined!K33*KU!B33</f>
        <v>17769.07</v>
      </c>
      <c r="M33" s="1">
        <v>25</v>
      </c>
      <c r="O33" s="26">
        <f>+Combined!O33*Combined!B33</f>
        <v>77209085</v>
      </c>
      <c r="P33" s="26"/>
      <c r="Q33" s="26">
        <f>Combined!Q33*Combined!B33</f>
        <v>-38565234</v>
      </c>
      <c r="R33" s="26"/>
      <c r="S33" s="26">
        <f t="shared" si="4"/>
        <v>38643851</v>
      </c>
      <c r="U33" s="40">
        <f>Combined!U33*Combined!B33</f>
        <v>310</v>
      </c>
      <c r="W33" s="10">
        <f t="shared" si="5"/>
        <v>1.6098671812712909E-2</v>
      </c>
      <c r="Y33" s="19" t="s">
        <v>69</v>
      </c>
      <c r="Z33" s="8">
        <f t="shared" si="6"/>
        <v>0</v>
      </c>
      <c r="AA33" s="26">
        <v>0</v>
      </c>
      <c r="AB33" s="26"/>
      <c r="AC33" s="26">
        <f t="shared" si="7"/>
        <v>38643851</v>
      </c>
    </row>
    <row r="34" spans="1:30" x14ac:dyDescent="0.25">
      <c r="A34" s="1" t="s">
        <v>112</v>
      </c>
      <c r="B34" s="52">
        <v>1</v>
      </c>
      <c r="C34" s="1" t="s">
        <v>24</v>
      </c>
      <c r="E34" s="1" t="s">
        <v>62</v>
      </c>
      <c r="G34" s="1">
        <f>Combined!G34*KU!B34</f>
        <v>126</v>
      </c>
      <c r="I34" s="18">
        <v>4.0300000000000002E-2</v>
      </c>
      <c r="K34" s="8">
        <f>+Combined!K34*KU!B34</f>
        <v>16598.240000000002</v>
      </c>
      <c r="M34" s="1">
        <v>26</v>
      </c>
      <c r="O34" s="26">
        <f>+Combined!O34*Combined!B34</f>
        <v>36555865</v>
      </c>
      <c r="P34" s="26"/>
      <c r="Q34" s="26">
        <f>Combined!Q34*Combined!B34</f>
        <v>-23227364</v>
      </c>
      <c r="R34" s="26"/>
      <c r="S34" s="26">
        <f t="shared" si="4"/>
        <v>13328501</v>
      </c>
      <c r="U34" s="40">
        <f>Combined!U34*Combined!B34</f>
        <v>290</v>
      </c>
      <c r="W34" s="10">
        <f t="shared" si="5"/>
        <v>1.503790679133145E-2</v>
      </c>
      <c r="Y34" s="19" t="s">
        <v>69</v>
      </c>
      <c r="Z34" s="8">
        <f t="shared" si="6"/>
        <v>0</v>
      </c>
      <c r="AA34" s="26">
        <v>0</v>
      </c>
      <c r="AB34" s="26"/>
      <c r="AC34" s="26">
        <f t="shared" si="7"/>
        <v>13328501</v>
      </c>
    </row>
    <row r="35" spans="1:30" x14ac:dyDescent="0.25">
      <c r="A35" s="1" t="s">
        <v>112</v>
      </c>
      <c r="B35" s="52">
        <v>1</v>
      </c>
      <c r="C35" s="1" t="s">
        <v>22</v>
      </c>
      <c r="E35" s="1" t="s">
        <v>62</v>
      </c>
      <c r="G35" s="1">
        <f>Combined!G35*KU!B35</f>
        <v>126</v>
      </c>
      <c r="I35" s="18">
        <v>3.9699999999999999E-2</v>
      </c>
      <c r="K35" s="8">
        <f>+Combined!K35*KU!B35</f>
        <v>8089.13</v>
      </c>
      <c r="M35" s="1">
        <v>28</v>
      </c>
      <c r="O35" s="26">
        <f>+Combined!O35*Combined!B35</f>
        <v>38107776</v>
      </c>
      <c r="P35" s="26"/>
      <c r="Q35" s="26">
        <f>Combined!Q35*Combined!B35</f>
        <v>-31598745</v>
      </c>
      <c r="R35" s="26"/>
      <c r="S35" s="26">
        <f t="shared" si="4"/>
        <v>6509031</v>
      </c>
      <c r="U35" s="40">
        <f>Combined!U35*Combined!B35</f>
        <v>132</v>
      </c>
      <c r="W35" s="10">
        <f t="shared" si="5"/>
        <v>7.3287037037037036E-3</v>
      </c>
      <c r="Y35" s="19" t="s">
        <v>69</v>
      </c>
      <c r="Z35" s="8">
        <f t="shared" si="6"/>
        <v>0</v>
      </c>
      <c r="AA35" s="26">
        <v>0</v>
      </c>
      <c r="AB35" s="26"/>
      <c r="AC35" s="26">
        <f t="shared" si="7"/>
        <v>6509031</v>
      </c>
    </row>
    <row r="36" spans="1:30" x14ac:dyDescent="0.25">
      <c r="A36" s="1" t="s">
        <v>112</v>
      </c>
      <c r="B36" s="52">
        <v>1</v>
      </c>
      <c r="C36" s="1" t="s">
        <v>25</v>
      </c>
      <c r="E36" s="1" t="s">
        <v>62</v>
      </c>
      <c r="G36" s="1">
        <f>Combined!G36*KU!B36</f>
        <v>126</v>
      </c>
      <c r="I36" s="18">
        <v>3.9600000000000003E-2</v>
      </c>
      <c r="K36" s="8">
        <f>+Combined!K36*KU!B36</f>
        <v>5651.7</v>
      </c>
      <c r="M36" s="1">
        <v>29</v>
      </c>
      <c r="O36" s="26">
        <f>+Combined!O36*Combined!B36</f>
        <v>53676683</v>
      </c>
      <c r="P36" s="26"/>
      <c r="Q36" s="26">
        <f>Combined!Q36*Combined!B36</f>
        <v>-37775462</v>
      </c>
      <c r="R36" s="26"/>
      <c r="S36" s="26">
        <f t="shared" si="4"/>
        <v>15901221</v>
      </c>
      <c r="U36" s="40">
        <f>Combined!U36*Combined!B36</f>
        <v>83</v>
      </c>
      <c r="W36" s="10">
        <f t="shared" si="5"/>
        <v>5.1204066101326372E-3</v>
      </c>
      <c r="Y36" s="19" t="s">
        <v>69</v>
      </c>
      <c r="Z36" s="8">
        <f t="shared" si="6"/>
        <v>0</v>
      </c>
      <c r="AA36" s="26">
        <v>0</v>
      </c>
      <c r="AB36" s="26"/>
      <c r="AC36" s="26">
        <f t="shared" si="7"/>
        <v>15901221</v>
      </c>
      <c r="AD36" s="31"/>
    </row>
    <row r="37" spans="1:30" x14ac:dyDescent="0.25">
      <c r="A37" s="1" t="s">
        <v>112</v>
      </c>
      <c r="B37" s="52">
        <v>1</v>
      </c>
      <c r="C37" s="1" t="s">
        <v>35</v>
      </c>
      <c r="E37" s="1" t="s">
        <v>62</v>
      </c>
      <c r="G37" s="1">
        <f>Combined!G37*KU!B37</f>
        <v>21</v>
      </c>
      <c r="I37" s="18">
        <v>0.12540000000000001</v>
      </c>
      <c r="K37" s="8">
        <f>+Combined!K37*KU!B37</f>
        <v>89.5</v>
      </c>
      <c r="M37" s="1">
        <v>30</v>
      </c>
      <c r="O37" s="26">
        <f>+Combined!O37*Combined!B37</f>
        <v>2199202</v>
      </c>
      <c r="P37" s="26"/>
      <c r="Q37" s="26">
        <f>Combined!Q37*Combined!B37</f>
        <v>-2324740.5</v>
      </c>
      <c r="R37" s="26"/>
      <c r="S37" s="26">
        <f t="shared" si="4"/>
        <v>-125538.5</v>
      </c>
      <c r="U37" s="40">
        <f>Combined!U37*Combined!B37</f>
        <v>12</v>
      </c>
      <c r="W37" s="10">
        <f t="shared" si="5"/>
        <v>4.8651880843661666E-4</v>
      </c>
      <c r="Y37" s="19" t="s">
        <v>69</v>
      </c>
      <c r="Z37" s="8">
        <f t="shared" si="6"/>
        <v>0</v>
      </c>
      <c r="AA37" s="26">
        <v>0</v>
      </c>
      <c r="AB37" s="26"/>
      <c r="AC37" s="26">
        <f t="shared" si="7"/>
        <v>-125538.5</v>
      </c>
      <c r="AD37" s="37"/>
    </row>
    <row r="38" spans="1:30" x14ac:dyDescent="0.25">
      <c r="A38" s="1" t="s">
        <v>112</v>
      </c>
      <c r="B38" s="52">
        <v>1</v>
      </c>
      <c r="C38" s="1" t="s">
        <v>36</v>
      </c>
      <c r="E38" s="1" t="s">
        <v>62</v>
      </c>
      <c r="G38" s="1">
        <f>Combined!G38*KU!B38</f>
        <v>21</v>
      </c>
      <c r="I38" s="18">
        <v>0.12540000000000001</v>
      </c>
      <c r="K38" s="8">
        <f>+Combined!K38*KU!B38</f>
        <v>89.5</v>
      </c>
      <c r="M38" s="1">
        <v>30</v>
      </c>
      <c r="O38" s="26">
        <f>+Combined!O38*Combined!B38</f>
        <v>2199202</v>
      </c>
      <c r="P38" s="26"/>
      <c r="Q38" s="26">
        <f>Combined!Q38*Combined!B38</f>
        <v>-2324740.5</v>
      </c>
      <c r="R38" s="26"/>
      <c r="S38" s="26">
        <f t="shared" si="4"/>
        <v>-125538.5</v>
      </c>
      <c r="U38" s="40">
        <f>Combined!U38*Combined!B38</f>
        <v>12</v>
      </c>
      <c r="W38" s="10">
        <f t="shared" si="5"/>
        <v>4.8651880843661666E-4</v>
      </c>
      <c r="Y38" s="19" t="s">
        <v>69</v>
      </c>
      <c r="Z38" s="8">
        <f t="shared" si="6"/>
        <v>0</v>
      </c>
      <c r="AA38" s="26">
        <v>0</v>
      </c>
      <c r="AB38" s="26"/>
      <c r="AC38" s="26">
        <f t="shared" si="7"/>
        <v>-125538.5</v>
      </c>
      <c r="AD38" s="42"/>
    </row>
    <row r="39" spans="1:30" x14ac:dyDescent="0.25">
      <c r="A39" s="1" t="s">
        <v>114</v>
      </c>
      <c r="B39" s="52">
        <v>0</v>
      </c>
      <c r="C39" s="42" t="s">
        <v>49</v>
      </c>
      <c r="D39" s="42"/>
      <c r="E39" s="42" t="s">
        <v>61</v>
      </c>
      <c r="F39" s="42"/>
      <c r="G39" s="1">
        <f>Combined!G39*KU!B39</f>
        <v>0</v>
      </c>
      <c r="H39" s="42"/>
      <c r="I39" s="43">
        <v>0.2984</v>
      </c>
      <c r="J39" s="42"/>
      <c r="K39" s="8">
        <f>+Combined!K39*KU!B39</f>
        <v>0</v>
      </c>
      <c r="L39" s="42"/>
      <c r="M39" s="42">
        <v>31</v>
      </c>
      <c r="N39" s="42"/>
      <c r="O39" s="26">
        <f>+Combined!O39*Combined!B39</f>
        <v>0</v>
      </c>
      <c r="P39" s="26"/>
      <c r="Q39" s="26">
        <f>Combined!Q39*Combined!B39</f>
        <v>0</v>
      </c>
      <c r="R39" s="26"/>
      <c r="S39" s="45">
        <f t="shared" si="4"/>
        <v>0</v>
      </c>
      <c r="T39" s="42"/>
      <c r="U39" s="40">
        <f>Combined!U39*Combined!B39</f>
        <v>0</v>
      </c>
      <c r="V39" s="42"/>
      <c r="W39" s="47" t="e">
        <f t="shared" si="5"/>
        <v>#DIV/0!</v>
      </c>
      <c r="X39" s="47"/>
      <c r="Y39" s="48" t="s">
        <v>69</v>
      </c>
      <c r="Z39" s="44">
        <f t="shared" si="6"/>
        <v>0</v>
      </c>
      <c r="AA39" s="45">
        <v>0</v>
      </c>
      <c r="AB39" s="45"/>
      <c r="AC39" s="45">
        <f t="shared" si="7"/>
        <v>0</v>
      </c>
      <c r="AD39" s="42"/>
    </row>
    <row r="40" spans="1:30" x14ac:dyDescent="0.25">
      <c r="A40" s="1" t="s">
        <v>114</v>
      </c>
      <c r="B40" s="52">
        <v>0</v>
      </c>
      <c r="C40" s="42" t="s">
        <v>50</v>
      </c>
      <c r="D40" s="42"/>
      <c r="E40" s="42" t="s">
        <v>61</v>
      </c>
      <c r="F40" s="42"/>
      <c r="G40" s="1">
        <f>Combined!G40*KU!B40</f>
        <v>0</v>
      </c>
      <c r="H40" s="42"/>
      <c r="I40" s="43">
        <v>0.2397</v>
      </c>
      <c r="J40" s="42"/>
      <c r="K40" s="8">
        <f>+Combined!K40*KU!B40</f>
        <v>0</v>
      </c>
      <c r="L40" s="42"/>
      <c r="M40" s="42">
        <v>32</v>
      </c>
      <c r="N40" s="42"/>
      <c r="O40" s="26">
        <f>+Combined!O40*Combined!B40</f>
        <v>0</v>
      </c>
      <c r="P40" s="26"/>
      <c r="Q40" s="26">
        <f>Combined!Q40*Combined!B40</f>
        <v>0</v>
      </c>
      <c r="R40" s="26"/>
      <c r="S40" s="45">
        <f t="shared" si="4"/>
        <v>0</v>
      </c>
      <c r="T40" s="42"/>
      <c r="U40" s="40">
        <f>Combined!U40*Combined!B40</f>
        <v>0</v>
      </c>
      <c r="V40" s="42"/>
      <c r="W40" s="47" t="e">
        <f t="shared" si="5"/>
        <v>#DIV/0!</v>
      </c>
      <c r="X40" s="47"/>
      <c r="Y40" s="48" t="s">
        <v>69</v>
      </c>
      <c r="Z40" s="44">
        <f t="shared" si="6"/>
        <v>0</v>
      </c>
      <c r="AA40" s="45">
        <v>0</v>
      </c>
      <c r="AB40" s="45"/>
      <c r="AC40" s="45">
        <f t="shared" si="7"/>
        <v>0</v>
      </c>
    </row>
    <row r="41" spans="1:30" x14ac:dyDescent="0.25">
      <c r="A41" s="1" t="s">
        <v>114</v>
      </c>
      <c r="B41" s="52">
        <v>0</v>
      </c>
      <c r="C41" s="1" t="s">
        <v>59</v>
      </c>
      <c r="E41" s="1" t="s">
        <v>61</v>
      </c>
      <c r="G41" s="1">
        <f>Combined!G41*KU!B41</f>
        <v>0</v>
      </c>
      <c r="I41" s="18">
        <v>5.5E-2</v>
      </c>
      <c r="K41" s="8">
        <f>+Combined!K41*KU!B41</f>
        <v>0</v>
      </c>
      <c r="M41" s="1">
        <v>33</v>
      </c>
      <c r="O41" s="26">
        <f>+Combined!O41*Combined!B41</f>
        <v>0</v>
      </c>
      <c r="P41" s="26"/>
      <c r="Q41" s="26">
        <f>Combined!Q41*Combined!B41</f>
        <v>0</v>
      </c>
      <c r="R41" s="26"/>
      <c r="S41" s="26">
        <f t="shared" si="4"/>
        <v>0</v>
      </c>
      <c r="U41" s="40">
        <f>Combined!U41*Combined!B41</f>
        <v>0</v>
      </c>
      <c r="W41" s="10" t="e">
        <f t="shared" si="5"/>
        <v>#DIV/0!</v>
      </c>
      <c r="Y41" s="19" t="s">
        <v>69</v>
      </c>
      <c r="Z41" s="8">
        <f t="shared" si="6"/>
        <v>0</v>
      </c>
      <c r="AA41" s="26">
        <v>0</v>
      </c>
      <c r="AB41" s="26"/>
      <c r="AC41" s="26">
        <f t="shared" si="7"/>
        <v>0</v>
      </c>
    </row>
    <row r="42" spans="1:30" x14ac:dyDescent="0.25">
      <c r="O42" s="26"/>
      <c r="P42" s="26"/>
      <c r="Q42" s="26"/>
      <c r="R42" s="26"/>
      <c r="S42" s="26"/>
      <c r="Z42" s="8"/>
      <c r="AA42" s="26"/>
      <c r="AB42" s="26"/>
      <c r="AC42" s="26"/>
    </row>
    <row r="43" spans="1:30" x14ac:dyDescent="0.25">
      <c r="A43" s="1" t="s">
        <v>112</v>
      </c>
      <c r="B43" s="52">
        <v>1</v>
      </c>
      <c r="C43" s="1" t="s">
        <v>28</v>
      </c>
      <c r="E43" s="1" t="s">
        <v>64</v>
      </c>
      <c r="G43" s="1">
        <f>Combined!G43*KU!B43</f>
        <v>11</v>
      </c>
      <c r="I43" s="18">
        <v>0</v>
      </c>
      <c r="K43" s="8">
        <f>+Combined!K43*KU!B43</f>
        <v>29776.613333333331</v>
      </c>
      <c r="M43" s="1">
        <v>2</v>
      </c>
      <c r="O43" s="26">
        <f>+Combined!O43*Combined!B43</f>
        <v>14651809.666666666</v>
      </c>
      <c r="P43" s="26"/>
      <c r="Q43" s="26">
        <f>Combined!Q43*Combined!B43</f>
        <v>-5514954</v>
      </c>
      <c r="R43" s="26"/>
      <c r="S43" s="26">
        <f t="shared" ref="S43:S53" si="8">O43+Q43</f>
        <v>9136855.666666666</v>
      </c>
      <c r="U43" s="40">
        <f>Combined!U43*Combined!B43</f>
        <v>2933</v>
      </c>
      <c r="W43" s="10">
        <f t="shared" ref="W43:W53" si="9">+K43/(G43*8760)</f>
        <v>0.3090142521101425</v>
      </c>
      <c r="Y43" s="19" t="s">
        <v>64</v>
      </c>
      <c r="Z43" s="8">
        <f t="shared" ref="Z43:Z53" si="10">+T43*P43</f>
        <v>0</v>
      </c>
      <c r="AA43" s="26">
        <f t="shared" ref="AA43:AA53" si="11">+S43</f>
        <v>9136855.666666666</v>
      </c>
      <c r="AB43" s="26"/>
      <c r="AC43" s="26">
        <v>0</v>
      </c>
    </row>
    <row r="44" spans="1:30" x14ac:dyDescent="0.25">
      <c r="A44" s="1" t="s">
        <v>112</v>
      </c>
      <c r="B44" s="52">
        <v>1</v>
      </c>
      <c r="C44" s="1" t="s">
        <v>29</v>
      </c>
      <c r="E44" s="1" t="s">
        <v>64</v>
      </c>
      <c r="G44" s="1">
        <f>Combined!G44*KU!B44</f>
        <v>11</v>
      </c>
      <c r="I44" s="18">
        <v>0</v>
      </c>
      <c r="K44" s="8">
        <f>+Combined!K44*KU!B44</f>
        <v>29776.613333333331</v>
      </c>
      <c r="M44" s="1">
        <v>2</v>
      </c>
      <c r="O44" s="26">
        <f>+Combined!O44*Combined!B44</f>
        <v>14651809.666666666</v>
      </c>
      <c r="P44" s="26"/>
      <c r="Q44" s="26">
        <f>Combined!Q44*Combined!B44</f>
        <v>-5514954</v>
      </c>
      <c r="R44" s="26"/>
      <c r="S44" s="26">
        <f t="shared" si="8"/>
        <v>9136855.666666666</v>
      </c>
      <c r="U44" s="40">
        <f>Combined!U44*Combined!B44</f>
        <v>2933</v>
      </c>
      <c r="W44" s="10">
        <f t="shared" si="9"/>
        <v>0.3090142521101425</v>
      </c>
      <c r="Y44" s="19" t="s">
        <v>64</v>
      </c>
      <c r="Z44" s="8">
        <f t="shared" si="10"/>
        <v>0</v>
      </c>
      <c r="AA44" s="26">
        <f t="shared" si="11"/>
        <v>9136855.666666666</v>
      </c>
      <c r="AB44" s="26"/>
      <c r="AC44" s="26">
        <v>0</v>
      </c>
    </row>
    <row r="45" spans="1:30" x14ac:dyDescent="0.25">
      <c r="A45" s="1" t="s">
        <v>112</v>
      </c>
      <c r="B45" s="52">
        <v>1</v>
      </c>
      <c r="C45" s="1" t="s">
        <v>30</v>
      </c>
      <c r="E45" s="1" t="s">
        <v>64</v>
      </c>
      <c r="G45" s="1">
        <f>Combined!G45*KU!B45</f>
        <v>11</v>
      </c>
      <c r="I45" s="18">
        <v>0</v>
      </c>
      <c r="K45" s="8">
        <f>+Combined!K45*KU!B45</f>
        <v>29776.613333333331</v>
      </c>
      <c r="M45" s="1">
        <v>2</v>
      </c>
      <c r="O45" s="26">
        <f>+Combined!O45*Combined!B45</f>
        <v>14651809.666666666</v>
      </c>
      <c r="P45" s="26"/>
      <c r="Q45" s="26">
        <f>Combined!Q45*Combined!B45</f>
        <v>-5514954</v>
      </c>
      <c r="R45" s="26"/>
      <c r="S45" s="26">
        <f t="shared" si="8"/>
        <v>9136855.666666666</v>
      </c>
      <c r="U45" s="40">
        <f>Combined!U45*Combined!B45</f>
        <v>2933</v>
      </c>
      <c r="W45" s="10">
        <f t="shared" si="9"/>
        <v>0.3090142521101425</v>
      </c>
      <c r="Y45" s="19" t="s">
        <v>64</v>
      </c>
      <c r="Z45" s="8">
        <f t="shared" si="10"/>
        <v>0</v>
      </c>
      <c r="AA45" s="26">
        <f t="shared" si="11"/>
        <v>9136855.666666666</v>
      </c>
      <c r="AB45" s="26"/>
      <c r="AC45" s="26">
        <v>0</v>
      </c>
    </row>
    <row r="46" spans="1:30" x14ac:dyDescent="0.25">
      <c r="A46" s="1" t="s">
        <v>114</v>
      </c>
      <c r="B46" s="52">
        <v>0</v>
      </c>
      <c r="C46" s="1" t="s">
        <v>41</v>
      </c>
      <c r="E46" s="1" t="s">
        <v>64</v>
      </c>
      <c r="G46" s="1">
        <f>Combined!G46*KU!B46</f>
        <v>0</v>
      </c>
      <c r="I46" s="18">
        <v>0</v>
      </c>
      <c r="K46" s="8">
        <f>+Combined!K46*KU!B46</f>
        <v>0</v>
      </c>
      <c r="M46" s="1">
        <v>2</v>
      </c>
      <c r="O46" s="26">
        <f>+Combined!O46*Combined!B46</f>
        <v>0</v>
      </c>
      <c r="P46" s="26"/>
      <c r="Q46" s="26">
        <f>Combined!Q46*Combined!B46</f>
        <v>0</v>
      </c>
      <c r="R46" s="26"/>
      <c r="S46" s="26">
        <f t="shared" si="8"/>
        <v>0</v>
      </c>
      <c r="U46" s="40">
        <f>Combined!U46*Combined!B46</f>
        <v>0</v>
      </c>
      <c r="W46" s="10" t="e">
        <f t="shared" si="9"/>
        <v>#DIV/0!</v>
      </c>
      <c r="Y46" s="19" t="s">
        <v>64</v>
      </c>
      <c r="Z46" s="8">
        <f t="shared" si="10"/>
        <v>0</v>
      </c>
      <c r="AA46" s="26">
        <f t="shared" si="11"/>
        <v>0</v>
      </c>
      <c r="AB46" s="26"/>
      <c r="AC46" s="26">
        <v>0</v>
      </c>
    </row>
    <row r="47" spans="1:30" x14ac:dyDescent="0.25">
      <c r="A47" s="1" t="s">
        <v>114</v>
      </c>
      <c r="B47" s="52">
        <v>0</v>
      </c>
      <c r="C47" s="1" t="s">
        <v>42</v>
      </c>
      <c r="E47" s="1" t="s">
        <v>64</v>
      </c>
      <c r="G47" s="1">
        <f>Combined!G47*KU!B47</f>
        <v>0</v>
      </c>
      <c r="I47" s="18">
        <v>0</v>
      </c>
      <c r="K47" s="8">
        <f>+Combined!K47*KU!B47</f>
        <v>0</v>
      </c>
      <c r="M47" s="1">
        <v>2</v>
      </c>
      <c r="O47" s="26">
        <f>+Combined!O47*Combined!B47</f>
        <v>0</v>
      </c>
      <c r="P47" s="26"/>
      <c r="Q47" s="26">
        <f>Combined!Q47*Combined!B47</f>
        <v>0</v>
      </c>
      <c r="R47" s="26"/>
      <c r="S47" s="26">
        <f t="shared" si="8"/>
        <v>0</v>
      </c>
      <c r="U47" s="40">
        <f>Combined!U47*Combined!B47</f>
        <v>0</v>
      </c>
      <c r="W47" s="10" t="e">
        <f t="shared" si="9"/>
        <v>#DIV/0!</v>
      </c>
      <c r="Y47" s="19" t="s">
        <v>64</v>
      </c>
      <c r="Z47" s="8">
        <f t="shared" si="10"/>
        <v>0</v>
      </c>
      <c r="AA47" s="26">
        <f t="shared" si="11"/>
        <v>0</v>
      </c>
      <c r="AB47" s="26"/>
      <c r="AC47" s="26">
        <v>0</v>
      </c>
    </row>
    <row r="48" spans="1:30" x14ac:dyDescent="0.25">
      <c r="A48" s="1" t="s">
        <v>114</v>
      </c>
      <c r="B48" s="52">
        <v>0</v>
      </c>
      <c r="C48" s="1" t="s">
        <v>43</v>
      </c>
      <c r="E48" s="1" t="s">
        <v>64</v>
      </c>
      <c r="G48" s="1">
        <f>Combined!G48*KU!B48</f>
        <v>0</v>
      </c>
      <c r="I48" s="18">
        <v>0</v>
      </c>
      <c r="K48" s="8">
        <f>+Combined!K48*KU!B48</f>
        <v>0</v>
      </c>
      <c r="M48" s="1">
        <v>2</v>
      </c>
      <c r="O48" s="26">
        <f>+Combined!O48*Combined!B48</f>
        <v>0</v>
      </c>
      <c r="P48" s="26"/>
      <c r="Q48" s="26">
        <f>Combined!Q48*Combined!B48</f>
        <v>0</v>
      </c>
      <c r="R48" s="26"/>
      <c r="S48" s="26">
        <f t="shared" si="8"/>
        <v>0</v>
      </c>
      <c r="U48" s="40">
        <f>Combined!U48*Combined!B48</f>
        <v>0</v>
      </c>
      <c r="W48" s="10" t="e">
        <f t="shared" si="9"/>
        <v>#DIV/0!</v>
      </c>
      <c r="Y48" s="19" t="s">
        <v>64</v>
      </c>
      <c r="Z48" s="8">
        <f t="shared" si="10"/>
        <v>0</v>
      </c>
      <c r="AA48" s="26">
        <f t="shared" si="11"/>
        <v>0</v>
      </c>
      <c r="AB48" s="26"/>
      <c r="AC48" s="26">
        <v>0</v>
      </c>
    </row>
    <row r="49" spans="1:31" x14ac:dyDescent="0.25">
      <c r="A49" s="1" t="s">
        <v>114</v>
      </c>
      <c r="B49" s="52">
        <v>0</v>
      </c>
      <c r="C49" s="1" t="s">
        <v>44</v>
      </c>
      <c r="E49" s="1" t="s">
        <v>64</v>
      </c>
      <c r="G49" s="1">
        <f>Combined!G49*KU!B49</f>
        <v>0</v>
      </c>
      <c r="I49" s="18">
        <v>0</v>
      </c>
      <c r="K49" s="8">
        <f>+Combined!K49*KU!B49</f>
        <v>0</v>
      </c>
      <c r="M49" s="1">
        <v>2</v>
      </c>
      <c r="O49" s="26">
        <f>+Combined!O49*Combined!B49</f>
        <v>0</v>
      </c>
      <c r="P49" s="26"/>
      <c r="Q49" s="26">
        <f>Combined!Q49*Combined!B49</f>
        <v>0</v>
      </c>
      <c r="R49" s="26"/>
      <c r="S49" s="26">
        <f t="shared" si="8"/>
        <v>0</v>
      </c>
      <c r="U49" s="40">
        <f>Combined!U49*Combined!B49</f>
        <v>0</v>
      </c>
      <c r="W49" s="10" t="e">
        <f t="shared" si="9"/>
        <v>#DIV/0!</v>
      </c>
      <c r="Y49" s="19" t="s">
        <v>64</v>
      </c>
      <c r="Z49" s="8">
        <f t="shared" si="10"/>
        <v>0</v>
      </c>
      <c r="AA49" s="26">
        <f t="shared" si="11"/>
        <v>0</v>
      </c>
      <c r="AB49" s="26"/>
      <c r="AC49" s="26">
        <v>0</v>
      </c>
    </row>
    <row r="50" spans="1:31" x14ac:dyDescent="0.25">
      <c r="A50" s="1" t="s">
        <v>114</v>
      </c>
      <c r="B50" s="52">
        <v>0</v>
      </c>
      <c r="C50" s="1" t="s">
        <v>45</v>
      </c>
      <c r="E50" s="1" t="s">
        <v>64</v>
      </c>
      <c r="G50" s="1">
        <f>Combined!G50*KU!B50</f>
        <v>0</v>
      </c>
      <c r="I50" s="18">
        <v>0</v>
      </c>
      <c r="K50" s="8">
        <f>+Combined!K50*KU!B50</f>
        <v>0</v>
      </c>
      <c r="M50" s="1">
        <v>2</v>
      </c>
      <c r="O50" s="26">
        <f>+Combined!O50*Combined!B50</f>
        <v>0</v>
      </c>
      <c r="P50" s="26"/>
      <c r="Q50" s="26">
        <f>Combined!Q50*Combined!B50</f>
        <v>0</v>
      </c>
      <c r="R50" s="26"/>
      <c r="S50" s="26">
        <f t="shared" si="8"/>
        <v>0</v>
      </c>
      <c r="U50" s="40">
        <f>Combined!U50*Combined!B50</f>
        <v>0</v>
      </c>
      <c r="W50" s="10" t="e">
        <f t="shared" si="9"/>
        <v>#DIV/0!</v>
      </c>
      <c r="Y50" s="19" t="s">
        <v>64</v>
      </c>
      <c r="Z50" s="8">
        <f t="shared" si="10"/>
        <v>0</v>
      </c>
      <c r="AA50" s="26">
        <f t="shared" si="11"/>
        <v>0</v>
      </c>
      <c r="AB50" s="26"/>
      <c r="AC50" s="26">
        <v>0</v>
      </c>
    </row>
    <row r="51" spans="1:31" x14ac:dyDescent="0.25">
      <c r="A51" s="1" t="s">
        <v>114</v>
      </c>
      <c r="B51" s="52">
        <v>0</v>
      </c>
      <c r="C51" s="1" t="s">
        <v>46</v>
      </c>
      <c r="E51" s="1" t="s">
        <v>64</v>
      </c>
      <c r="G51" s="1">
        <f>Combined!G51*KU!B51</f>
        <v>0</v>
      </c>
      <c r="I51" s="18">
        <v>0</v>
      </c>
      <c r="K51" s="8">
        <f>+Combined!K51*KU!B51</f>
        <v>0</v>
      </c>
      <c r="M51" s="1">
        <v>2</v>
      </c>
      <c r="O51" s="26">
        <f>+Combined!O51*Combined!B51</f>
        <v>0</v>
      </c>
      <c r="P51" s="26"/>
      <c r="Q51" s="26">
        <f>Combined!Q51*Combined!B51</f>
        <v>0</v>
      </c>
      <c r="R51" s="26"/>
      <c r="S51" s="26">
        <f t="shared" si="8"/>
        <v>0</v>
      </c>
      <c r="U51" s="40">
        <f>Combined!U51*Combined!B51</f>
        <v>0</v>
      </c>
      <c r="W51" s="10" t="e">
        <f t="shared" si="9"/>
        <v>#DIV/0!</v>
      </c>
      <c r="Y51" s="19" t="s">
        <v>64</v>
      </c>
      <c r="Z51" s="8">
        <f t="shared" si="10"/>
        <v>0</v>
      </c>
      <c r="AA51" s="26">
        <f t="shared" si="11"/>
        <v>0</v>
      </c>
      <c r="AB51" s="26"/>
      <c r="AC51" s="26">
        <v>0</v>
      </c>
    </row>
    <row r="52" spans="1:31" x14ac:dyDescent="0.25">
      <c r="A52" s="1" t="s">
        <v>114</v>
      </c>
      <c r="B52" s="52">
        <v>0</v>
      </c>
      <c r="C52" s="1" t="s">
        <v>47</v>
      </c>
      <c r="E52" s="1" t="s">
        <v>64</v>
      </c>
      <c r="G52" s="1">
        <f>Combined!G52*KU!B52</f>
        <v>0</v>
      </c>
      <c r="I52" s="18">
        <v>0</v>
      </c>
      <c r="K52" s="8">
        <f>+Combined!K52*KU!B52</f>
        <v>0</v>
      </c>
      <c r="M52" s="1">
        <v>2</v>
      </c>
      <c r="O52" s="26">
        <f>+Combined!O52*Combined!B52</f>
        <v>0</v>
      </c>
      <c r="P52" s="26"/>
      <c r="Q52" s="26">
        <f>Combined!Q52*Combined!B52</f>
        <v>0</v>
      </c>
      <c r="R52" s="26"/>
      <c r="S52" s="26">
        <f t="shared" si="8"/>
        <v>0</v>
      </c>
      <c r="U52" s="40">
        <f>Combined!U52*Combined!B52</f>
        <v>0</v>
      </c>
      <c r="W52" s="10" t="e">
        <f t="shared" si="9"/>
        <v>#DIV/0!</v>
      </c>
      <c r="Y52" s="19" t="s">
        <v>64</v>
      </c>
      <c r="Z52" s="8">
        <f t="shared" si="10"/>
        <v>0</v>
      </c>
      <c r="AA52" s="26">
        <f t="shared" si="11"/>
        <v>0</v>
      </c>
      <c r="AB52" s="26"/>
      <c r="AC52" s="26">
        <v>0</v>
      </c>
    </row>
    <row r="53" spans="1:31" x14ac:dyDescent="0.25">
      <c r="A53" s="1" t="s">
        <v>114</v>
      </c>
      <c r="B53" s="52">
        <v>0</v>
      </c>
      <c r="C53" s="1" t="s">
        <v>48</v>
      </c>
      <c r="E53" s="1" t="s">
        <v>64</v>
      </c>
      <c r="G53" s="1">
        <f>Combined!G53*KU!B53</f>
        <v>0</v>
      </c>
      <c r="I53" s="18">
        <v>0</v>
      </c>
      <c r="K53" s="8">
        <f>+Combined!K53*KU!B53</f>
        <v>0</v>
      </c>
      <c r="M53" s="1">
        <v>2</v>
      </c>
      <c r="O53" s="26">
        <f>+Combined!O53*Combined!B53</f>
        <v>0</v>
      </c>
      <c r="P53" s="26"/>
      <c r="Q53" s="26">
        <f>Combined!Q53*Combined!B53</f>
        <v>0</v>
      </c>
      <c r="R53" s="26"/>
      <c r="S53" s="26">
        <f t="shared" si="8"/>
        <v>0</v>
      </c>
      <c r="U53" s="40">
        <f>Combined!U53*Combined!B53</f>
        <v>0</v>
      </c>
      <c r="W53" s="10" t="e">
        <f t="shared" si="9"/>
        <v>#DIV/0!</v>
      </c>
      <c r="Y53" s="19" t="s">
        <v>64</v>
      </c>
      <c r="Z53" s="8">
        <f t="shared" si="10"/>
        <v>0</v>
      </c>
      <c r="AA53" s="26">
        <f t="shared" si="11"/>
        <v>0</v>
      </c>
      <c r="AB53" s="26"/>
      <c r="AC53" s="26">
        <v>0</v>
      </c>
    </row>
    <row r="54" spans="1:31" x14ac:dyDescent="0.25">
      <c r="O54" s="26"/>
      <c r="P54" s="26"/>
      <c r="Q54" s="26"/>
      <c r="R54" s="26"/>
      <c r="S54" s="26"/>
      <c r="Z54" s="8"/>
      <c r="AA54" s="26"/>
      <c r="AB54" s="26"/>
      <c r="AC54" s="26"/>
    </row>
    <row r="55" spans="1:31" x14ac:dyDescent="0.25">
      <c r="A55" s="1" t="s">
        <v>113</v>
      </c>
      <c r="B55" s="52">
        <v>0.61</v>
      </c>
      <c r="C55" s="1" t="s">
        <v>26</v>
      </c>
      <c r="E55" s="1" t="s">
        <v>63</v>
      </c>
      <c r="G55" s="1">
        <f>Combined!G55*KU!B55</f>
        <v>6.1</v>
      </c>
      <c r="I55" s="18">
        <v>0</v>
      </c>
      <c r="K55" s="8">
        <f>+Combined!K55*KU!B55</f>
        <v>10695.434999999999</v>
      </c>
      <c r="M55" s="1">
        <v>1</v>
      </c>
      <c r="O55" s="26">
        <f>+Combined!O55*Combined!B55</f>
        <v>15550349.359999999</v>
      </c>
      <c r="P55" s="26"/>
      <c r="Q55" s="26">
        <f>Combined!Q55*Combined!B55</f>
        <v>-3177167.31</v>
      </c>
      <c r="R55" s="26"/>
      <c r="S55" s="26">
        <f>O55+Q55</f>
        <v>12373182.049999999</v>
      </c>
      <c r="U55" s="40">
        <f>Combined!U55*Combined!B55</f>
        <v>1584.78</v>
      </c>
      <c r="W55" s="10">
        <f>+K55/(G55*8760)</f>
        <v>0.20015410958904109</v>
      </c>
      <c r="Y55" s="19" t="s">
        <v>63</v>
      </c>
      <c r="Z55" s="8">
        <f>+T55*P55</f>
        <v>0</v>
      </c>
      <c r="AA55" s="26">
        <f>S55/2</f>
        <v>6186591.0249999994</v>
      </c>
      <c r="AB55" s="26"/>
      <c r="AC55" s="26">
        <f>S55-AA55</f>
        <v>6186591.0249999994</v>
      </c>
      <c r="AD55" s="1" t="s">
        <v>109</v>
      </c>
    </row>
    <row r="56" spans="1:31" x14ac:dyDescent="0.25">
      <c r="A56" s="1" t="s">
        <v>114</v>
      </c>
      <c r="B56" s="52">
        <v>0</v>
      </c>
      <c r="C56" s="1" t="s">
        <v>92</v>
      </c>
      <c r="E56" s="1" t="s">
        <v>63</v>
      </c>
      <c r="G56" s="1">
        <f>Combined!G56*KU!B56</f>
        <v>0</v>
      </c>
      <c r="I56" s="18">
        <v>0</v>
      </c>
      <c r="K56" s="6" t="s">
        <v>98</v>
      </c>
      <c r="L56" s="9"/>
      <c r="M56" s="6" t="s">
        <v>98</v>
      </c>
      <c r="O56" s="26">
        <f>+Combined!O56*Combined!B56</f>
        <v>0</v>
      </c>
      <c r="P56" s="26"/>
      <c r="Q56" s="26">
        <f>Combined!Q56*Combined!B56</f>
        <v>0</v>
      </c>
      <c r="R56" s="26"/>
      <c r="S56" s="26">
        <f>O56+Q56</f>
        <v>0</v>
      </c>
      <c r="U56" s="39" t="s">
        <v>98</v>
      </c>
      <c r="Y56" s="19" t="s">
        <v>63</v>
      </c>
      <c r="Z56" s="8"/>
      <c r="AA56" s="26">
        <f>S56/2</f>
        <v>0</v>
      </c>
      <c r="AB56" s="26"/>
      <c r="AC56" s="26">
        <f>S56-AA56</f>
        <v>0</v>
      </c>
      <c r="AD56" s="1" t="s">
        <v>109</v>
      </c>
    </row>
    <row r="57" spans="1:31" x14ac:dyDescent="0.25">
      <c r="A57" s="1" t="s">
        <v>112</v>
      </c>
      <c r="B57" s="52">
        <v>1</v>
      </c>
      <c r="C57" s="1" t="s">
        <v>93</v>
      </c>
      <c r="E57" s="1" t="s">
        <v>63</v>
      </c>
      <c r="G57" s="1">
        <f>Combined!G57*KU!B57</f>
        <v>0.2</v>
      </c>
      <c r="I57" s="18">
        <v>0</v>
      </c>
      <c r="K57" s="6" t="s">
        <v>98</v>
      </c>
      <c r="L57" s="9"/>
      <c r="M57" s="6" t="s">
        <v>98</v>
      </c>
      <c r="O57" s="26">
        <f>+Combined!O57*Combined!B57</f>
        <v>403730</v>
      </c>
      <c r="P57" s="26"/>
      <c r="Q57" s="26">
        <f>Combined!Q57*Combined!B57</f>
        <v>-15790</v>
      </c>
      <c r="R57" s="26"/>
      <c r="S57" s="26">
        <f>O57+Q57</f>
        <v>387940</v>
      </c>
      <c r="U57" s="39" t="s">
        <v>98</v>
      </c>
      <c r="Y57" s="19" t="s">
        <v>63</v>
      </c>
      <c r="Z57" s="8"/>
      <c r="AA57" s="26">
        <f>S57/2</f>
        <v>193970</v>
      </c>
      <c r="AB57" s="26"/>
      <c r="AC57" s="26">
        <f>S57-AA57</f>
        <v>193970</v>
      </c>
      <c r="AD57" s="1" t="s">
        <v>109</v>
      </c>
    </row>
    <row r="58" spans="1:31" x14ac:dyDescent="0.25">
      <c r="A58" s="1" t="s">
        <v>113</v>
      </c>
      <c r="B58" s="52">
        <v>0.56000000000000005</v>
      </c>
      <c r="C58" s="1" t="s">
        <v>94</v>
      </c>
      <c r="E58" s="1" t="s">
        <v>63</v>
      </c>
      <c r="G58" s="1">
        <f>Combined!G58*KU!B58</f>
        <v>0.22400000000000003</v>
      </c>
      <c r="I58" s="18">
        <v>0</v>
      </c>
      <c r="K58" s="6" t="s">
        <v>98</v>
      </c>
      <c r="L58" s="9"/>
      <c r="M58" s="6" t="s">
        <v>98</v>
      </c>
      <c r="O58" s="26">
        <f>+Combined!O58*Combined!B58</f>
        <v>1121736.8400000001</v>
      </c>
      <c r="P58" s="26"/>
      <c r="Q58" s="26">
        <f>Combined!Q58*Combined!B58</f>
        <v>-46619.44</v>
      </c>
      <c r="R58" s="26"/>
      <c r="S58" s="26">
        <f>O58+Q58</f>
        <v>1075117.4000000001</v>
      </c>
      <c r="U58" s="39" t="s">
        <v>98</v>
      </c>
      <c r="Y58" s="19" t="s">
        <v>63</v>
      </c>
      <c r="Z58" s="8"/>
      <c r="AA58" s="26">
        <f>S58/2</f>
        <v>537558.70000000007</v>
      </c>
      <c r="AB58" s="26"/>
      <c r="AC58" s="26">
        <f>S58-AA58</f>
        <v>537558.70000000007</v>
      </c>
      <c r="AD58" s="1" t="s">
        <v>109</v>
      </c>
    </row>
    <row r="59" spans="1:31" x14ac:dyDescent="0.25">
      <c r="A59" s="1" t="s">
        <v>113</v>
      </c>
      <c r="B59" s="52">
        <v>0.56000000000000005</v>
      </c>
      <c r="C59" s="2" t="s">
        <v>95</v>
      </c>
      <c r="D59" s="2"/>
      <c r="E59" s="2" t="s">
        <v>63</v>
      </c>
      <c r="F59" s="2"/>
      <c r="G59" s="1">
        <f>Combined!G59*KU!B59</f>
        <v>0.22400000000000003</v>
      </c>
      <c r="H59" s="2"/>
      <c r="I59" s="15">
        <v>0</v>
      </c>
      <c r="J59" s="2"/>
      <c r="K59" s="12" t="s">
        <v>98</v>
      </c>
      <c r="L59" s="29"/>
      <c r="M59" s="12" t="s">
        <v>98</v>
      </c>
      <c r="N59" s="2"/>
      <c r="O59" s="26">
        <f>+Combined!O59*Combined!B59</f>
        <v>1121736.8400000001</v>
      </c>
      <c r="P59" s="26"/>
      <c r="Q59" s="26">
        <f>Combined!Q59*Combined!B59</f>
        <v>-46619.44</v>
      </c>
      <c r="R59" s="26"/>
      <c r="S59" s="27">
        <f>O59+Q59</f>
        <v>1075117.4000000001</v>
      </c>
      <c r="T59" s="2"/>
      <c r="U59" s="50" t="s">
        <v>98</v>
      </c>
      <c r="V59" s="2"/>
      <c r="W59" s="4"/>
      <c r="X59" s="4"/>
      <c r="Y59" s="20" t="s">
        <v>63</v>
      </c>
      <c r="Z59" s="3"/>
      <c r="AA59" s="27">
        <f>S59/2</f>
        <v>537558.70000000007</v>
      </c>
      <c r="AB59" s="27"/>
      <c r="AC59" s="27">
        <f>S59-AA59</f>
        <v>537558.70000000007</v>
      </c>
      <c r="AD59" s="1" t="s">
        <v>109</v>
      </c>
    </row>
    <row r="60" spans="1:31" x14ac:dyDescent="0.25">
      <c r="S60" s="8"/>
      <c r="Z60" s="8"/>
      <c r="AA60" s="26"/>
      <c r="AB60" s="26"/>
      <c r="AC60" s="26"/>
    </row>
    <row r="61" spans="1:31" x14ac:dyDescent="0.25">
      <c r="S61" s="14" t="s">
        <v>73</v>
      </c>
      <c r="Z61" s="8"/>
      <c r="AA61" s="26">
        <f>SUM(AA9:AA19)</f>
        <v>3286708688.77</v>
      </c>
      <c r="AB61" s="26"/>
      <c r="AC61" s="26">
        <f>SUM(AC9:AC19)</f>
        <v>0</v>
      </c>
      <c r="AE61" s="8"/>
    </row>
    <row r="62" spans="1:31" x14ac:dyDescent="0.25">
      <c r="S62" s="14" t="s">
        <v>74</v>
      </c>
      <c r="Z62" s="8"/>
      <c r="AA62" s="26">
        <f>SUM(AA21:AA24)</f>
        <v>138557108.16404566</v>
      </c>
      <c r="AB62" s="26"/>
      <c r="AC62" s="26">
        <f>SUM(AC21:AC24)</f>
        <v>605585597.37595439</v>
      </c>
      <c r="AE62" s="8"/>
    </row>
    <row r="63" spans="1:31" x14ac:dyDescent="0.25">
      <c r="S63" s="14" t="s">
        <v>75</v>
      </c>
      <c r="Z63" s="8"/>
      <c r="AA63" s="26">
        <f>SUM(AA26:AA41)</f>
        <v>0</v>
      </c>
      <c r="AB63" s="26"/>
      <c r="AC63" s="26">
        <f>SUM(AC26:AC41)</f>
        <v>208055507.77000001</v>
      </c>
      <c r="AE63" s="8"/>
    </row>
    <row r="64" spans="1:31" x14ac:dyDescent="0.25">
      <c r="S64" s="14" t="s">
        <v>76</v>
      </c>
      <c r="Z64" s="8"/>
      <c r="AA64" s="26">
        <f>SUM(AA43:AA53)</f>
        <v>27410567</v>
      </c>
      <c r="AB64" s="26"/>
      <c r="AC64" s="26">
        <f>SUM(AC43:AC53)</f>
        <v>0</v>
      </c>
      <c r="AE64" s="8"/>
    </row>
    <row r="65" spans="3:29" x14ac:dyDescent="0.25">
      <c r="S65" s="14" t="s">
        <v>77</v>
      </c>
      <c r="Z65" s="8"/>
      <c r="AA65" s="26">
        <f>SUM(AA55:AA59)</f>
        <v>7455678.4249999998</v>
      </c>
      <c r="AB65" s="26"/>
      <c r="AC65" s="26">
        <f>SUM(AC55:AC59)</f>
        <v>7455678.4249999998</v>
      </c>
    </row>
    <row r="66" spans="3:29" x14ac:dyDescent="0.25">
      <c r="S66" s="51" t="s">
        <v>78</v>
      </c>
      <c r="T66" s="2"/>
      <c r="U66" s="38"/>
      <c r="V66" s="2"/>
      <c r="W66" s="4"/>
      <c r="X66" s="4"/>
      <c r="Y66" s="20"/>
      <c r="Z66" s="3"/>
      <c r="AA66" s="27">
        <f>SUM(AA61:AA65)</f>
        <v>3460132042.359046</v>
      </c>
      <c r="AB66" s="27"/>
      <c r="AC66" s="27">
        <f>SUM(AC61:AC65)</f>
        <v>821096783.57095432</v>
      </c>
    </row>
    <row r="67" spans="3:29" x14ac:dyDescent="0.25">
      <c r="S67" s="14" t="s">
        <v>79</v>
      </c>
      <c r="Z67" s="8"/>
      <c r="AA67" s="23">
        <f>AA66/(AA66+AC66)</f>
        <v>0.80821002171202805</v>
      </c>
      <c r="AB67" s="8"/>
      <c r="AC67" s="23">
        <f>AC66/(AC66+AA66)</f>
        <v>0.19178997828797192</v>
      </c>
    </row>
    <row r="68" spans="3:29" x14ac:dyDescent="0.25">
      <c r="C68" s="2"/>
      <c r="D68" s="2"/>
      <c r="E68" s="2"/>
      <c r="F68" s="2"/>
      <c r="G68" s="2"/>
      <c r="H68" s="2"/>
      <c r="I68" s="15"/>
      <c r="J68" s="2"/>
      <c r="K68" s="3"/>
      <c r="L68" s="2"/>
      <c r="M68" s="2"/>
      <c r="N68" s="2"/>
      <c r="O68" s="3"/>
      <c r="P68" s="2"/>
      <c r="Q68" s="2"/>
      <c r="R68" s="2"/>
      <c r="S68" s="2"/>
      <c r="T68" s="2"/>
      <c r="U68" s="38"/>
      <c r="V68" s="2"/>
      <c r="W68" s="4"/>
      <c r="X68" s="4"/>
      <c r="Y68" s="20"/>
      <c r="Z68" s="2"/>
      <c r="AA68" s="3"/>
      <c r="AB68" s="2"/>
      <c r="AC68" s="3"/>
    </row>
    <row r="70" spans="3:29" x14ac:dyDescent="0.25">
      <c r="C70" s="1" t="s">
        <v>97</v>
      </c>
    </row>
    <row r="71" spans="3:29" x14ac:dyDescent="0.25">
      <c r="C71" s="1" t="s">
        <v>99</v>
      </c>
    </row>
    <row r="72" spans="3:29" x14ac:dyDescent="0.25">
      <c r="C72" s="1" t="s">
        <v>100</v>
      </c>
    </row>
    <row r="73" spans="3:29" x14ac:dyDescent="0.25">
      <c r="C73" s="1" t="s">
        <v>101</v>
      </c>
    </row>
    <row r="74" spans="3:29" x14ac:dyDescent="0.25">
      <c r="C74" s="1" t="s">
        <v>107</v>
      </c>
    </row>
    <row r="76" spans="3:29" x14ac:dyDescent="0.25">
      <c r="C76" s="1" t="s">
        <v>91</v>
      </c>
    </row>
  </sheetData>
  <mergeCells count="3">
    <mergeCell ref="C1:AC1"/>
    <mergeCell ref="C2:AC2"/>
    <mergeCell ref="AA6:A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6B2FDCA5E0F4286BAC6B79B3C73BE" ma:contentTypeVersion="6" ma:contentTypeDescription="Create a new document." ma:contentTypeScope="" ma:versionID="c361dac65aaf585faa4a5796004d5552">
  <xsd:schema xmlns:xsd="http://www.w3.org/2001/XMLSchema" xmlns:xs="http://www.w3.org/2001/XMLSchema" xmlns:p="http://schemas.microsoft.com/office/2006/metadata/properties" xmlns:ns2="7f951e58-41a2-4bf3-9155-aa863c7baa62" xmlns:ns3="89a46536-e78d-4d6c-8a03-83d02364c101" targetNamespace="http://schemas.microsoft.com/office/2006/metadata/properties" ma:root="true" ma:fieldsID="469c634806545500d466bf0e737c3950" ns2:_="" ns3:_="">
    <xsd:import namespace="7f951e58-41a2-4bf3-9155-aa863c7baa62"/>
    <xsd:import namespace="89a46536-e78d-4d6c-8a03-83d02364c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51e58-41a2-4bf3-9155-aa863c7ba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6536-e78d-4d6c-8a03-83d02364c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FC4B58-F2B7-45A8-B99C-15C071D22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9ACDDD-A022-49CB-BCE4-463DF2B2B9D0}">
  <ds:schemaRefs>
    <ds:schemaRef ds:uri="89a46536-e78d-4d6c-8a03-83d02364c101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f951e58-41a2-4bf3-9155-aa863c7baa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18408F-1F5E-466F-9FAE-14B53DC5E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51e58-41a2-4bf3-9155-aa863c7baa62"/>
    <ds:schemaRef ds:uri="89a46536-e78d-4d6c-8a03-83d02364c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</vt:lpstr>
      <vt:lpstr>KU</vt:lpstr>
      <vt:lpstr>Sheet3</vt:lpstr>
      <vt:lpstr>Combined!Print_Area</vt:lpstr>
      <vt:lpstr>Combined!Print_Titles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Crew</dc:creator>
  <cp:lastModifiedBy>Jenny Dolen</cp:lastModifiedBy>
  <cp:lastPrinted>2021-03-02T19:41:21Z</cp:lastPrinted>
  <dcterms:created xsi:type="dcterms:W3CDTF">2017-02-08T15:40:33Z</dcterms:created>
  <dcterms:modified xsi:type="dcterms:W3CDTF">2021-03-02T19:42:07Z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0x010100D236B2FDCA5E0F4286BAC6B79B3C73BE</vt:lpwstr>
  </property>
</Properties>
</file>