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LVRECC\Rate Case 2020-00338\COS, Rev Req &amp; Rates\"/>
    </mc:Choice>
  </mc:AlternateContent>
  <xr:revisionPtr revIDLastSave="0" documentId="13_ncr:1_{F769F67A-EF8E-4670-969E-2802DBCB2835}" xr6:coauthVersionLast="45" xr6:coauthVersionMax="45" xr10:uidLastSave="{00000000-0000-0000-0000-000000000000}"/>
  <bookViews>
    <workbookView xWindow="-108" yWindow="-108" windowWidth="23256" windowHeight="12576" tabRatio="741" xr2:uid="{00000000-000D-0000-FFFF-FFFF00000000}"/>
  </bookViews>
  <sheets>
    <sheet name="Present and Proposed Rates" sheetId="61" r:id="rId1"/>
    <sheet name="A" sheetId="80" r:id="rId2"/>
    <sheet name="B" sheetId="81" r:id="rId3"/>
    <sheet name="LP" sheetId="82" r:id="rId4"/>
    <sheet name="LPR" sheetId="84" r:id="rId5"/>
    <sheet name="SL" sheetId="43" r:id="rId6"/>
    <sheet name="Act-vs-Calc" sheetId="13" r:id="rId7"/>
    <sheet name="ResIncr" sheetId="79" r:id="rId8"/>
    <sheet name="Summary" sheetId="91" r:id="rId9"/>
    <sheet name="Notice-Abbrev" sheetId="70" r:id="rId10"/>
    <sheet name="Notice-Full" sheetId="90" r:id="rId11"/>
    <sheet name="List" sheetId="73" r:id="rId12"/>
    <sheet name="Billings" sheetId="89" r:id="rId13"/>
  </sheets>
  <externalReferences>
    <externalReference r:id="rId14"/>
  </externalReferences>
  <definedNames>
    <definedName name="EquityPercent">#REF!</definedName>
    <definedName name="Goto14">'[1]Table of Contents'!#REF!</definedName>
    <definedName name="Goto15">'[1]Table of Contents'!#REF!</definedName>
    <definedName name="Goto16">'[1]Table of Contents'!#REF!</definedName>
    <definedName name="Goto21">'[1]Table of Contents'!#REF!</definedName>
    <definedName name="Goto22">'[1]Table of Contents'!#REF!</definedName>
    <definedName name="Goto23">'[1]Table of Contents'!#REF!</definedName>
    <definedName name="Goto24">'[1]Table of Contents'!#REF!</definedName>
    <definedName name="Goto26">'[1]Table of Contents'!#REF!</definedName>
    <definedName name="Goto27">'[1]Table of Contents'!#REF!</definedName>
    <definedName name="Goto28">'[1]Table of Contents'!#REF!</definedName>
    <definedName name="Goto29">'[1]Table of Contents'!#REF!</definedName>
    <definedName name="Goto30">'[1]Table of Contents'!#REF!</definedName>
    <definedName name="Goto9">'[1]Table of Contents'!#REF!</definedName>
    <definedName name="GRE_Equity_Share">#REF!</definedName>
    <definedName name="HW_Equity_Share">#REF!</definedName>
    <definedName name="HW_ROI_Threshold">#REF!</definedName>
    <definedName name="Oppty_Availability">#REF!</definedName>
    <definedName name="Oppty_DollarMwh">#REF!</definedName>
    <definedName name="Oppty_MW">#REF!</definedName>
    <definedName name="Price_CapacityPayment">#REF!</definedName>
    <definedName name="Price_Corn">#REF!</definedName>
    <definedName name="Price_Steam">#REF!</definedName>
    <definedName name="_xlnm.Print_Area" localSheetId="1">A!$A$1:$S$28</definedName>
    <definedName name="_xlnm.Print_Area" localSheetId="6">'Act-vs-Calc'!$A$1:$I$19</definedName>
    <definedName name="_xlnm.Print_Area" localSheetId="2">B!$A$1:$S$30</definedName>
    <definedName name="_xlnm.Print_Area" localSheetId="11">List!$A$1:$C$15</definedName>
    <definedName name="_xlnm.Print_Area" localSheetId="3">LP!$A$1:$S$33</definedName>
    <definedName name="_xlnm.Print_Area" localSheetId="4">LPR!$A$1:$S$33</definedName>
    <definedName name="_xlnm.Print_Area" localSheetId="9">'Notice-Abbrev'!$A$1:$G$40</definedName>
    <definedName name="_xlnm.Print_Area" localSheetId="10">'Notice-Full'!$A$1:$G$63</definedName>
    <definedName name="_xlnm.Print_Area" localSheetId="0">'Present and Proposed Rates'!$A$1:$Q$38</definedName>
    <definedName name="_xlnm.Print_Area" localSheetId="7">ResIncr!$A$1:$K$41</definedName>
    <definedName name="_xlnm.Print_Area" localSheetId="5">SL!$A$1:$Q$35</definedName>
    <definedName name="_xlnm.Print_Area" localSheetId="8">Summary!$A$1:$G$21</definedName>
    <definedName name="_xlnm.Print_Titles" localSheetId="7">ResIncr!$1:$1</definedName>
    <definedName name="ProducerPayoutFlag">#REF!</definedName>
    <definedName name="ProjectCapitalCost">#REF!</definedName>
    <definedName name="Sell_DDGS">#REF!</definedName>
    <definedName name="Sell_DWGS">#REF!</definedName>
    <definedName name="Sell_Ethanol">#REF!</definedName>
    <definedName name="Tax_GRE">#REF!</definedName>
    <definedName name="Tax_HW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3" l="1"/>
  <c r="A2" i="43"/>
  <c r="A2" i="84"/>
  <c r="E15" i="91" l="1"/>
  <c r="D15" i="91"/>
  <c r="E14" i="91"/>
  <c r="F14" i="91" s="1"/>
  <c r="D14" i="91"/>
  <c r="D5" i="91"/>
  <c r="A1" i="91"/>
  <c r="F15" i="91" l="1"/>
  <c r="H11" i="61"/>
  <c r="D108" i="89" l="1"/>
  <c r="D107" i="89"/>
  <c r="N25" i="84" l="1"/>
  <c r="N25" i="82"/>
  <c r="Q20" i="82"/>
  <c r="I20" i="82"/>
  <c r="P246" i="89"/>
  <c r="G25" i="84" s="1"/>
  <c r="J25" i="84" s="1"/>
  <c r="S25" i="84" s="1"/>
  <c r="P245" i="89"/>
  <c r="G25" i="82" s="1"/>
  <c r="J25" i="82" s="1"/>
  <c r="S25" i="82" s="1"/>
  <c r="E231" i="89"/>
  <c r="F231" i="89" s="1"/>
  <c r="E240" i="89"/>
  <c r="F240" i="89" s="1"/>
  <c r="E241" i="89"/>
  <c r="F241" i="89" s="1"/>
  <c r="D242" i="89"/>
  <c r="D230" i="89"/>
  <c r="E230" i="89" s="1"/>
  <c r="F230" i="89" s="1"/>
  <c r="D228" i="89"/>
  <c r="C239" i="89"/>
  <c r="E239" i="89" s="1"/>
  <c r="F239" i="89" s="1"/>
  <c r="C238" i="89"/>
  <c r="E238" i="89" s="1"/>
  <c r="F238" i="89" s="1"/>
  <c r="C229" i="89"/>
  <c r="E229" i="89" s="1"/>
  <c r="F229" i="89" s="1"/>
  <c r="C228" i="89"/>
  <c r="C220" i="89"/>
  <c r="C227" i="89" s="1"/>
  <c r="E227" i="89" s="1"/>
  <c r="F227" i="89" s="1"/>
  <c r="C221" i="89"/>
  <c r="C226" i="89" s="1"/>
  <c r="E226" i="89" s="1"/>
  <c r="F226" i="89" s="1"/>
  <c r="C219" i="89"/>
  <c r="C235" i="89" s="1"/>
  <c r="E235" i="89" s="1"/>
  <c r="E228" i="89" l="1"/>
  <c r="F228" i="89" s="1"/>
  <c r="D232" i="89"/>
  <c r="F235" i="89"/>
  <c r="C236" i="89"/>
  <c r="C237" i="89"/>
  <c r="E237" i="89" s="1"/>
  <c r="F237" i="89" s="1"/>
  <c r="C225" i="89"/>
  <c r="C232" i="89" l="1"/>
  <c r="E225" i="89"/>
  <c r="E236" i="89"/>
  <c r="C242" i="89"/>
  <c r="F236" i="89" l="1"/>
  <c r="E242" i="89"/>
  <c r="F242" i="89" s="1"/>
  <c r="F225" i="89"/>
  <c r="E232" i="89"/>
  <c r="F232" i="89" s="1"/>
  <c r="F13" i="70" l="1"/>
  <c r="F14" i="70"/>
  <c r="E14" i="70"/>
  <c r="E13" i="70"/>
  <c r="E12" i="70"/>
  <c r="F16" i="90"/>
  <c r="F17" i="90"/>
  <c r="F18" i="90"/>
  <c r="E17" i="90"/>
  <c r="E18" i="90"/>
  <c r="E16" i="90"/>
  <c r="F13" i="90"/>
  <c r="F14" i="90"/>
  <c r="E12" i="90"/>
  <c r="E14" i="90"/>
  <c r="E13" i="90"/>
  <c r="J17" i="61"/>
  <c r="G17" i="61"/>
  <c r="H17" i="61"/>
  <c r="F17" i="61"/>
  <c r="F34" i="90"/>
  <c r="F35" i="90"/>
  <c r="F36" i="90"/>
  <c r="F37" i="90"/>
  <c r="F38" i="90"/>
  <c r="F39" i="90"/>
  <c r="F32" i="90"/>
  <c r="F33" i="90"/>
  <c r="F31" i="90"/>
  <c r="E34" i="90"/>
  <c r="E35" i="90"/>
  <c r="E36" i="90"/>
  <c r="E37" i="90"/>
  <c r="E38" i="90"/>
  <c r="E39" i="90"/>
  <c r="E33" i="90"/>
  <c r="E32" i="90"/>
  <c r="E31" i="90"/>
  <c r="E21" i="90"/>
  <c r="E24" i="90"/>
  <c r="E28" i="90"/>
  <c r="F63" i="90"/>
  <c r="G62" i="90"/>
  <c r="F62" i="90"/>
  <c r="D62" i="90"/>
  <c r="G61" i="90"/>
  <c r="F61" i="90"/>
  <c r="D61" i="90"/>
  <c r="D60" i="90"/>
  <c r="C60" i="90"/>
  <c r="D59" i="90"/>
  <c r="C59" i="90"/>
  <c r="D58" i="90"/>
  <c r="C58" i="90"/>
  <c r="D57" i="90"/>
  <c r="C57" i="90"/>
  <c r="D56" i="90"/>
  <c r="C56" i="90"/>
  <c r="F50" i="90"/>
  <c r="E50" i="90"/>
  <c r="D50" i="90"/>
  <c r="F49" i="90"/>
  <c r="E49" i="90"/>
  <c r="D49" i="90"/>
  <c r="D48" i="90"/>
  <c r="C48" i="90"/>
  <c r="D47" i="90"/>
  <c r="C47" i="90"/>
  <c r="D46" i="90"/>
  <c r="C46" i="90"/>
  <c r="D45" i="90"/>
  <c r="C45" i="90"/>
  <c r="D44" i="90"/>
  <c r="C44" i="90"/>
  <c r="E9" i="90"/>
  <c r="F8" i="90" l="1"/>
  <c r="F12" i="70"/>
  <c r="F12" i="90"/>
  <c r="P212" i="89"/>
  <c r="C149" i="89" l="1"/>
  <c r="C148" i="89"/>
  <c r="C147" i="89"/>
  <c r="C146" i="89"/>
  <c r="C145" i="89"/>
  <c r="C155" i="89" s="1"/>
  <c r="C144" i="89"/>
  <c r="C143" i="89"/>
  <c r="C142" i="89"/>
  <c r="N21" i="43"/>
  <c r="Q21" i="43" s="1"/>
  <c r="K21" i="43"/>
  <c r="P190" i="89"/>
  <c r="P189" i="89"/>
  <c r="P188" i="89"/>
  <c r="P187" i="89"/>
  <c r="P186" i="89"/>
  <c r="P185" i="89"/>
  <c r="P184" i="89"/>
  <c r="P183" i="89"/>
  <c r="P179" i="89"/>
  <c r="P178" i="89"/>
  <c r="P177" i="89"/>
  <c r="P176" i="89"/>
  <c r="P175" i="89"/>
  <c r="P174" i="89"/>
  <c r="P173" i="89"/>
  <c r="P172" i="89"/>
  <c r="P169" i="89"/>
  <c r="P168" i="89"/>
  <c r="P167" i="89"/>
  <c r="P166" i="89"/>
  <c r="P165" i="89"/>
  <c r="P164" i="89"/>
  <c r="P163" i="89"/>
  <c r="P162" i="89"/>
  <c r="P159" i="89"/>
  <c r="P158" i="89"/>
  <c r="P157" i="89"/>
  <c r="P156" i="89"/>
  <c r="P155" i="89"/>
  <c r="P154" i="89"/>
  <c r="P153" i="89"/>
  <c r="P152" i="89"/>
  <c r="P143" i="89"/>
  <c r="P144" i="89"/>
  <c r="P145" i="89"/>
  <c r="P146" i="89"/>
  <c r="P147" i="89"/>
  <c r="P148" i="89"/>
  <c r="P149" i="89"/>
  <c r="P142" i="89"/>
  <c r="E194" i="89"/>
  <c r="F194" i="89"/>
  <c r="G194" i="89"/>
  <c r="H194" i="89"/>
  <c r="I194" i="89"/>
  <c r="J194" i="89"/>
  <c r="K194" i="89"/>
  <c r="L194" i="89"/>
  <c r="M194" i="89"/>
  <c r="N194" i="89"/>
  <c r="O194" i="89"/>
  <c r="E195" i="89"/>
  <c r="F195" i="89"/>
  <c r="G195" i="89"/>
  <c r="H195" i="89"/>
  <c r="I195" i="89"/>
  <c r="J195" i="89"/>
  <c r="K195" i="89"/>
  <c r="L195" i="89"/>
  <c r="M195" i="89"/>
  <c r="N195" i="89"/>
  <c r="O195" i="89"/>
  <c r="E196" i="89"/>
  <c r="F196" i="89"/>
  <c r="G196" i="89"/>
  <c r="H196" i="89"/>
  <c r="I196" i="89"/>
  <c r="J196" i="89"/>
  <c r="K196" i="89"/>
  <c r="L196" i="89"/>
  <c r="M196" i="89"/>
  <c r="N196" i="89"/>
  <c r="O196" i="89"/>
  <c r="E197" i="89"/>
  <c r="F197" i="89"/>
  <c r="G197" i="89"/>
  <c r="H197" i="89"/>
  <c r="I197" i="89"/>
  <c r="J197" i="89"/>
  <c r="K197" i="89"/>
  <c r="L197" i="89"/>
  <c r="M197" i="89"/>
  <c r="N197" i="89"/>
  <c r="O197" i="89"/>
  <c r="E198" i="89"/>
  <c r="F198" i="89"/>
  <c r="G198" i="89"/>
  <c r="H198" i="89"/>
  <c r="I198" i="89"/>
  <c r="J198" i="89"/>
  <c r="K198" i="89"/>
  <c r="L198" i="89"/>
  <c r="M198" i="89"/>
  <c r="N198" i="89"/>
  <c r="O198" i="89"/>
  <c r="E199" i="89"/>
  <c r="F199" i="89"/>
  <c r="G199" i="89"/>
  <c r="H199" i="89"/>
  <c r="I199" i="89"/>
  <c r="J199" i="89"/>
  <c r="K199" i="89"/>
  <c r="L199" i="89"/>
  <c r="M199" i="89"/>
  <c r="N199" i="89"/>
  <c r="O199" i="89"/>
  <c r="E200" i="89"/>
  <c r="F200" i="89"/>
  <c r="G200" i="89"/>
  <c r="H200" i="89"/>
  <c r="I200" i="89"/>
  <c r="J200" i="89"/>
  <c r="K200" i="89"/>
  <c r="L200" i="89"/>
  <c r="M200" i="89"/>
  <c r="N200" i="89"/>
  <c r="O200" i="89"/>
  <c r="E201" i="89"/>
  <c r="F201" i="89"/>
  <c r="G201" i="89"/>
  <c r="H201" i="89"/>
  <c r="I201" i="89"/>
  <c r="J201" i="89"/>
  <c r="K201" i="89"/>
  <c r="L201" i="89"/>
  <c r="M201" i="89"/>
  <c r="N201" i="89"/>
  <c r="O201" i="89"/>
  <c r="D195" i="89"/>
  <c r="D196" i="89"/>
  <c r="D197" i="89"/>
  <c r="D198" i="89"/>
  <c r="D199" i="89"/>
  <c r="D200" i="89"/>
  <c r="D201" i="89"/>
  <c r="D194" i="89"/>
  <c r="E191" i="89"/>
  <c r="F191" i="89"/>
  <c r="G191" i="89"/>
  <c r="H191" i="89"/>
  <c r="I191" i="89"/>
  <c r="J191" i="89"/>
  <c r="K191" i="89"/>
  <c r="L191" i="89"/>
  <c r="M191" i="89"/>
  <c r="N191" i="89"/>
  <c r="O191" i="89"/>
  <c r="E170" i="89"/>
  <c r="F170" i="89"/>
  <c r="G170" i="89"/>
  <c r="H170" i="89"/>
  <c r="I170" i="89"/>
  <c r="J170" i="89"/>
  <c r="K170" i="89"/>
  <c r="L170" i="89"/>
  <c r="M170" i="89"/>
  <c r="N170" i="89"/>
  <c r="O170" i="89"/>
  <c r="E180" i="89"/>
  <c r="F180" i="89"/>
  <c r="G180" i="89"/>
  <c r="H180" i="89"/>
  <c r="I180" i="89"/>
  <c r="J180" i="89"/>
  <c r="K180" i="89"/>
  <c r="L180" i="89"/>
  <c r="M180" i="89"/>
  <c r="N180" i="89"/>
  <c r="O180" i="89"/>
  <c r="E160" i="89"/>
  <c r="F160" i="89"/>
  <c r="G160" i="89"/>
  <c r="H160" i="89"/>
  <c r="I160" i="89"/>
  <c r="J160" i="89"/>
  <c r="K160" i="89"/>
  <c r="L160" i="89"/>
  <c r="M160" i="89"/>
  <c r="N160" i="89"/>
  <c r="O160" i="89"/>
  <c r="E150" i="89"/>
  <c r="F150" i="89"/>
  <c r="G150" i="89"/>
  <c r="H150" i="89"/>
  <c r="I150" i="89"/>
  <c r="J150" i="89"/>
  <c r="K150" i="89"/>
  <c r="L150" i="89"/>
  <c r="M150" i="89"/>
  <c r="N150" i="89"/>
  <c r="O150" i="89"/>
  <c r="D191" i="89"/>
  <c r="D160" i="89"/>
  <c r="D180" i="89"/>
  <c r="D170" i="89"/>
  <c r="D150" i="89"/>
  <c r="Q143" i="89" l="1"/>
  <c r="Q144" i="89"/>
  <c r="P191" i="89"/>
  <c r="Q146" i="89"/>
  <c r="Q147" i="89"/>
  <c r="P170" i="89"/>
  <c r="Q148" i="89"/>
  <c r="Q149" i="89"/>
  <c r="C152" i="89"/>
  <c r="Q152" i="89" s="1"/>
  <c r="F205" i="89"/>
  <c r="N205" i="89"/>
  <c r="I205" i="89"/>
  <c r="L205" i="89"/>
  <c r="M205" i="89"/>
  <c r="G205" i="89"/>
  <c r="O205" i="89"/>
  <c r="H205" i="89"/>
  <c r="D205" i="89"/>
  <c r="J205" i="89"/>
  <c r="K205" i="89"/>
  <c r="E205" i="89"/>
  <c r="C154" i="89"/>
  <c r="C164" i="89" s="1"/>
  <c r="C174" i="89" s="1"/>
  <c r="C153" i="89"/>
  <c r="Q153" i="89" s="1"/>
  <c r="Q145" i="89"/>
  <c r="Q142" i="89"/>
  <c r="Q155" i="89"/>
  <c r="C165" i="89"/>
  <c r="C159" i="89"/>
  <c r="C158" i="89"/>
  <c r="C157" i="89"/>
  <c r="C156" i="89"/>
  <c r="P180" i="89"/>
  <c r="P195" i="89"/>
  <c r="F17" i="43" s="1"/>
  <c r="N17" i="43" s="1"/>
  <c r="Q17" i="43" s="1"/>
  <c r="P199" i="89"/>
  <c r="F13" i="43" s="1"/>
  <c r="K13" i="43" s="1"/>
  <c r="I202" i="89"/>
  <c r="P160" i="89"/>
  <c r="P201" i="89"/>
  <c r="F20" i="43" s="1"/>
  <c r="N20" i="43" s="1"/>
  <c r="Q20" i="43" s="1"/>
  <c r="P198" i="89"/>
  <c r="F12" i="43" s="1"/>
  <c r="K12" i="43" s="1"/>
  <c r="H202" i="89"/>
  <c r="P200" i="89"/>
  <c r="F19" i="43" s="1"/>
  <c r="N19" i="43" s="1"/>
  <c r="Q19" i="43" s="1"/>
  <c r="P197" i="89"/>
  <c r="F16" i="43" s="1"/>
  <c r="N16" i="43" s="1"/>
  <c r="Q16" i="43" s="1"/>
  <c r="J202" i="89"/>
  <c r="N202" i="89"/>
  <c r="F202" i="89"/>
  <c r="L202" i="89"/>
  <c r="P196" i="89"/>
  <c r="F18" i="43" s="1"/>
  <c r="N18" i="43" s="1"/>
  <c r="Q18" i="43" s="1"/>
  <c r="K202" i="89"/>
  <c r="M202" i="89"/>
  <c r="E202" i="89"/>
  <c r="G202" i="89"/>
  <c r="O202" i="89"/>
  <c r="P150" i="89"/>
  <c r="D202" i="89"/>
  <c r="P194" i="89"/>
  <c r="F15" i="43" s="1"/>
  <c r="K15" i="43" s="1"/>
  <c r="H21" i="43"/>
  <c r="H14" i="13"/>
  <c r="E20" i="84"/>
  <c r="E20" i="82"/>
  <c r="G25" i="61"/>
  <c r="G23" i="61"/>
  <c r="G21" i="61"/>
  <c r="E25" i="90" s="1"/>
  <c r="G19" i="61"/>
  <c r="H16" i="61"/>
  <c r="F21" i="90" s="1"/>
  <c r="G15" i="61"/>
  <c r="G13" i="61"/>
  <c r="H13" i="61" s="1"/>
  <c r="J13" i="61" s="1"/>
  <c r="H12" i="61"/>
  <c r="F9" i="90" s="1"/>
  <c r="G11" i="61"/>
  <c r="E8" i="90" s="1"/>
  <c r="H24" i="61"/>
  <c r="F28" i="90" s="1"/>
  <c r="H21" i="61"/>
  <c r="H20" i="61"/>
  <c r="F24" i="90" s="1"/>
  <c r="O133" i="89"/>
  <c r="N133" i="89"/>
  <c r="M133" i="89"/>
  <c r="L133" i="89"/>
  <c r="K133" i="89"/>
  <c r="J133" i="89"/>
  <c r="I133" i="89"/>
  <c r="H133" i="89"/>
  <c r="G133" i="89"/>
  <c r="F133" i="89"/>
  <c r="E133" i="89"/>
  <c r="D133" i="89"/>
  <c r="O132" i="89"/>
  <c r="N132" i="89"/>
  <c r="M132" i="89"/>
  <c r="L132" i="89"/>
  <c r="K132" i="89"/>
  <c r="J132" i="89"/>
  <c r="I132" i="89"/>
  <c r="H132" i="89"/>
  <c r="G132" i="89"/>
  <c r="F132" i="89"/>
  <c r="E132" i="89"/>
  <c r="D132" i="89"/>
  <c r="O131" i="89"/>
  <c r="N131" i="89"/>
  <c r="M131" i="89"/>
  <c r="L131" i="89"/>
  <c r="K131" i="89"/>
  <c r="J131" i="89"/>
  <c r="I131" i="89"/>
  <c r="H131" i="89"/>
  <c r="G131" i="89"/>
  <c r="F131" i="89"/>
  <c r="E131" i="89"/>
  <c r="D131" i="89"/>
  <c r="O130" i="89"/>
  <c r="N130" i="89"/>
  <c r="M130" i="89"/>
  <c r="L130" i="89"/>
  <c r="K130" i="89"/>
  <c r="J130" i="89"/>
  <c r="I130" i="89"/>
  <c r="H130" i="89"/>
  <c r="G130" i="89"/>
  <c r="F130" i="89"/>
  <c r="E130" i="89"/>
  <c r="D130" i="89"/>
  <c r="O129" i="89"/>
  <c r="N129" i="89"/>
  <c r="M129" i="89"/>
  <c r="L129" i="89"/>
  <c r="K129" i="89"/>
  <c r="J129" i="89"/>
  <c r="I129" i="89"/>
  <c r="H129" i="89"/>
  <c r="G129" i="89"/>
  <c r="F129" i="89"/>
  <c r="E129" i="89"/>
  <c r="D129" i="89"/>
  <c r="O125" i="89"/>
  <c r="N125" i="89"/>
  <c r="M125" i="89"/>
  <c r="L125" i="89"/>
  <c r="K125" i="89"/>
  <c r="J125" i="89"/>
  <c r="I125" i="89"/>
  <c r="H125" i="89"/>
  <c r="G125" i="89"/>
  <c r="F125" i="89"/>
  <c r="E125" i="89"/>
  <c r="D125" i="89"/>
  <c r="O124" i="89"/>
  <c r="N124" i="89"/>
  <c r="M124" i="89"/>
  <c r="L124" i="89"/>
  <c r="K124" i="89"/>
  <c r="J124" i="89"/>
  <c r="I124" i="89"/>
  <c r="H124" i="89"/>
  <c r="G124" i="89"/>
  <c r="F124" i="89"/>
  <c r="E124" i="89"/>
  <c r="D124" i="89"/>
  <c r="O123" i="89"/>
  <c r="N123" i="89"/>
  <c r="M123" i="89"/>
  <c r="L123" i="89"/>
  <c r="K123" i="89"/>
  <c r="J123" i="89"/>
  <c r="I123" i="89"/>
  <c r="H123" i="89"/>
  <c r="G123" i="89"/>
  <c r="F123" i="89"/>
  <c r="D123" i="89"/>
  <c r="O122" i="89"/>
  <c r="N122" i="89"/>
  <c r="M122" i="89"/>
  <c r="L122" i="89"/>
  <c r="K122" i="89"/>
  <c r="J122" i="89"/>
  <c r="I122" i="89"/>
  <c r="H122" i="89"/>
  <c r="G122" i="89"/>
  <c r="F122" i="89"/>
  <c r="E122" i="89"/>
  <c r="D122" i="89"/>
  <c r="O121" i="89"/>
  <c r="N121" i="89"/>
  <c r="M121" i="89"/>
  <c r="L121" i="89"/>
  <c r="K121" i="89"/>
  <c r="J121" i="89"/>
  <c r="I121" i="89"/>
  <c r="H121" i="89"/>
  <c r="G121" i="89"/>
  <c r="F121" i="89"/>
  <c r="E121" i="89"/>
  <c r="D121" i="89"/>
  <c r="O109" i="89"/>
  <c r="N109" i="89"/>
  <c r="M109" i="89"/>
  <c r="L109" i="89"/>
  <c r="K109" i="89"/>
  <c r="J109" i="89"/>
  <c r="I109" i="89"/>
  <c r="H109" i="89"/>
  <c r="G109" i="89"/>
  <c r="F109" i="89"/>
  <c r="E109" i="89"/>
  <c r="D109" i="89"/>
  <c r="O108" i="89"/>
  <c r="N108" i="89"/>
  <c r="M108" i="89"/>
  <c r="L108" i="89"/>
  <c r="K108" i="89"/>
  <c r="J108" i="89"/>
  <c r="I108" i="89"/>
  <c r="H108" i="89"/>
  <c r="G108" i="89"/>
  <c r="F108" i="89"/>
  <c r="E108" i="89"/>
  <c r="O107" i="89"/>
  <c r="N107" i="89"/>
  <c r="M107" i="89"/>
  <c r="L107" i="89"/>
  <c r="K107" i="89"/>
  <c r="J107" i="89"/>
  <c r="I107" i="89"/>
  <c r="H107" i="89"/>
  <c r="G107" i="89"/>
  <c r="F107" i="89"/>
  <c r="E107" i="89"/>
  <c r="O106" i="89"/>
  <c r="N106" i="89"/>
  <c r="M106" i="89"/>
  <c r="L106" i="89"/>
  <c r="K106" i="89"/>
  <c r="J106" i="89"/>
  <c r="I106" i="89"/>
  <c r="H106" i="89"/>
  <c r="G106" i="89"/>
  <c r="F106" i="89"/>
  <c r="E106" i="89"/>
  <c r="D106" i="89"/>
  <c r="O105" i="89"/>
  <c r="N105" i="89"/>
  <c r="M105" i="89"/>
  <c r="L105" i="89"/>
  <c r="K105" i="89"/>
  <c r="J105" i="89"/>
  <c r="I105" i="89"/>
  <c r="H105" i="89"/>
  <c r="G105" i="89"/>
  <c r="F105" i="89"/>
  <c r="E105" i="89"/>
  <c r="D105" i="89"/>
  <c r="O101" i="89"/>
  <c r="N101" i="89"/>
  <c r="M101" i="89"/>
  <c r="L101" i="89"/>
  <c r="K101" i="89"/>
  <c r="J101" i="89"/>
  <c r="I101" i="89"/>
  <c r="H101" i="89"/>
  <c r="G101" i="89"/>
  <c r="F101" i="89"/>
  <c r="E101" i="89"/>
  <c r="D101" i="89"/>
  <c r="O100" i="89"/>
  <c r="N100" i="89"/>
  <c r="M100" i="89"/>
  <c r="L100" i="89"/>
  <c r="K100" i="89"/>
  <c r="J100" i="89"/>
  <c r="I100" i="89"/>
  <c r="H100" i="89"/>
  <c r="G100" i="89"/>
  <c r="F100" i="89"/>
  <c r="E100" i="89"/>
  <c r="D100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O97" i="89"/>
  <c r="N97" i="89"/>
  <c r="M97" i="89"/>
  <c r="L97" i="89"/>
  <c r="K97" i="89"/>
  <c r="J97" i="89"/>
  <c r="I97" i="89"/>
  <c r="H97" i="89"/>
  <c r="G97" i="89"/>
  <c r="F97" i="89"/>
  <c r="E97" i="89"/>
  <c r="D97" i="89"/>
  <c r="O93" i="89"/>
  <c r="N93" i="89"/>
  <c r="M93" i="89"/>
  <c r="L93" i="89"/>
  <c r="K93" i="89"/>
  <c r="J93" i="89"/>
  <c r="I93" i="89"/>
  <c r="H93" i="89"/>
  <c r="G93" i="89"/>
  <c r="F93" i="89"/>
  <c r="E93" i="89"/>
  <c r="D93" i="89"/>
  <c r="O92" i="89"/>
  <c r="N92" i="89"/>
  <c r="M92" i="89"/>
  <c r="L92" i="89"/>
  <c r="K92" i="89"/>
  <c r="J92" i="89"/>
  <c r="I92" i="89"/>
  <c r="H92" i="89"/>
  <c r="G92" i="89"/>
  <c r="F92" i="89"/>
  <c r="E92" i="89"/>
  <c r="D92" i="89"/>
  <c r="O91" i="89"/>
  <c r="N91" i="89"/>
  <c r="M91" i="89"/>
  <c r="L91" i="89"/>
  <c r="K91" i="89"/>
  <c r="J91" i="89"/>
  <c r="I91" i="89"/>
  <c r="H91" i="89"/>
  <c r="G91" i="89"/>
  <c r="F91" i="89"/>
  <c r="E91" i="89"/>
  <c r="D91" i="89"/>
  <c r="O90" i="89"/>
  <c r="N90" i="89"/>
  <c r="M90" i="89"/>
  <c r="L90" i="89"/>
  <c r="K90" i="89"/>
  <c r="J90" i="89"/>
  <c r="I90" i="89"/>
  <c r="H90" i="89"/>
  <c r="G90" i="89"/>
  <c r="F90" i="89"/>
  <c r="E90" i="89"/>
  <c r="D90" i="89"/>
  <c r="O89" i="89"/>
  <c r="N89" i="89"/>
  <c r="M89" i="89"/>
  <c r="L89" i="89"/>
  <c r="K89" i="89"/>
  <c r="J89" i="89"/>
  <c r="I89" i="89"/>
  <c r="H89" i="89"/>
  <c r="G89" i="89"/>
  <c r="F89" i="89"/>
  <c r="E89" i="89"/>
  <c r="D89" i="89"/>
  <c r="Q82" i="89"/>
  <c r="O81" i="89"/>
  <c r="O134" i="89" s="1"/>
  <c r="N81" i="89"/>
  <c r="N134" i="89" s="1"/>
  <c r="M81" i="89"/>
  <c r="M134" i="89" s="1"/>
  <c r="L81" i="89"/>
  <c r="L134" i="89" s="1"/>
  <c r="K81" i="89"/>
  <c r="K134" i="89" s="1"/>
  <c r="J81" i="89"/>
  <c r="J134" i="89" s="1"/>
  <c r="I81" i="89"/>
  <c r="I134" i="89" s="1"/>
  <c r="H81" i="89"/>
  <c r="H134" i="89" s="1"/>
  <c r="G81" i="89"/>
  <c r="G134" i="89" s="1"/>
  <c r="F81" i="89"/>
  <c r="F134" i="89" s="1"/>
  <c r="E81" i="89"/>
  <c r="E134" i="89" s="1"/>
  <c r="D81" i="89"/>
  <c r="Q80" i="89"/>
  <c r="P80" i="89"/>
  <c r="Q79" i="89"/>
  <c r="P79" i="89"/>
  <c r="Q78" i="89"/>
  <c r="P78" i="89"/>
  <c r="Q77" i="89"/>
  <c r="P77" i="89"/>
  <c r="Q76" i="89"/>
  <c r="P76" i="89"/>
  <c r="Q75" i="89"/>
  <c r="P75" i="89"/>
  <c r="Q74" i="89"/>
  <c r="P74" i="89"/>
  <c r="Q67" i="89"/>
  <c r="O66" i="89"/>
  <c r="O126" i="89" s="1"/>
  <c r="N66" i="89"/>
  <c r="N126" i="89" s="1"/>
  <c r="M66" i="89"/>
  <c r="M126" i="89" s="1"/>
  <c r="L66" i="89"/>
  <c r="L126" i="89" s="1"/>
  <c r="K66" i="89"/>
  <c r="K126" i="89" s="1"/>
  <c r="J66" i="89"/>
  <c r="J126" i="89" s="1"/>
  <c r="I66" i="89"/>
  <c r="I126" i="89" s="1"/>
  <c r="H66" i="89"/>
  <c r="G66" i="89"/>
  <c r="G126" i="89" s="1"/>
  <c r="F66" i="89"/>
  <c r="F126" i="89" s="1"/>
  <c r="D66" i="89"/>
  <c r="D126" i="89" s="1"/>
  <c r="Q65" i="89"/>
  <c r="P65" i="89"/>
  <c r="Q64" i="89"/>
  <c r="P64" i="89"/>
  <c r="Q63" i="89"/>
  <c r="P63" i="89"/>
  <c r="Q62" i="89"/>
  <c r="P62" i="89"/>
  <c r="E123" i="89"/>
  <c r="Q60" i="89"/>
  <c r="P60" i="89"/>
  <c r="Q59" i="89"/>
  <c r="P59" i="89"/>
  <c r="O55" i="89"/>
  <c r="N55" i="89"/>
  <c r="M55" i="89"/>
  <c r="L55" i="89"/>
  <c r="K55" i="89"/>
  <c r="J55" i="89"/>
  <c r="I55" i="89"/>
  <c r="H55" i="89"/>
  <c r="G55" i="89"/>
  <c r="F55" i="89"/>
  <c r="E55" i="89"/>
  <c r="O53" i="89"/>
  <c r="O56" i="89" s="1"/>
  <c r="N53" i="89"/>
  <c r="M53" i="89"/>
  <c r="L53" i="89"/>
  <c r="K53" i="89"/>
  <c r="J53" i="89"/>
  <c r="I53" i="89"/>
  <c r="I56" i="89" s="1"/>
  <c r="H53" i="89"/>
  <c r="G53" i="89"/>
  <c r="G56" i="89" s="1"/>
  <c r="F53" i="89"/>
  <c r="E53" i="89"/>
  <c r="D53" i="89"/>
  <c r="Q52" i="89"/>
  <c r="P52" i="89"/>
  <c r="Q51" i="89"/>
  <c r="P51" i="89"/>
  <c r="Q50" i="89"/>
  <c r="P50" i="89"/>
  <c r="Q49" i="89"/>
  <c r="P49" i="89"/>
  <c r="Q48" i="89"/>
  <c r="P48" i="89"/>
  <c r="Q47" i="89"/>
  <c r="P47" i="89"/>
  <c r="Q46" i="89"/>
  <c r="P46" i="89"/>
  <c r="Q45" i="89"/>
  <c r="P45" i="89"/>
  <c r="O39" i="89"/>
  <c r="O110" i="89" s="1"/>
  <c r="N39" i="89"/>
  <c r="N110" i="89" s="1"/>
  <c r="M39" i="89"/>
  <c r="M110" i="89" s="1"/>
  <c r="L39" i="89"/>
  <c r="L110" i="89" s="1"/>
  <c r="K39" i="89"/>
  <c r="K110" i="89" s="1"/>
  <c r="J39" i="89"/>
  <c r="J110" i="89" s="1"/>
  <c r="I39" i="89"/>
  <c r="I110" i="89" s="1"/>
  <c r="H39" i="89"/>
  <c r="H110" i="89" s="1"/>
  <c r="G39" i="89"/>
  <c r="G110" i="89" s="1"/>
  <c r="F39" i="89"/>
  <c r="F110" i="89" s="1"/>
  <c r="E39" i="89"/>
  <c r="E110" i="89" s="1"/>
  <c r="D39" i="89"/>
  <c r="D110" i="89" s="1"/>
  <c r="Q38" i="89"/>
  <c r="P38" i="89"/>
  <c r="Q37" i="89"/>
  <c r="P37" i="89"/>
  <c r="Q36" i="89"/>
  <c r="P36" i="89"/>
  <c r="Q35" i="89"/>
  <c r="P35" i="89"/>
  <c r="Q34" i="89"/>
  <c r="P34" i="89"/>
  <c r="Q33" i="89"/>
  <c r="P33" i="89"/>
  <c r="Q32" i="89"/>
  <c r="P32" i="89"/>
  <c r="O26" i="89"/>
  <c r="O27" i="89" s="1"/>
  <c r="O102" i="89" s="1"/>
  <c r="N26" i="89"/>
  <c r="N27" i="89" s="1"/>
  <c r="M26" i="89"/>
  <c r="M27" i="89" s="1"/>
  <c r="M102" i="89" s="1"/>
  <c r="L26" i="89"/>
  <c r="L27" i="89" s="1"/>
  <c r="L102" i="89" s="1"/>
  <c r="K26" i="89"/>
  <c r="K27" i="89" s="1"/>
  <c r="K102" i="89" s="1"/>
  <c r="J26" i="89"/>
  <c r="J27" i="89" s="1"/>
  <c r="J102" i="89" s="1"/>
  <c r="I26" i="89"/>
  <c r="I27" i="89" s="1"/>
  <c r="H26" i="89"/>
  <c r="H27" i="89" s="1"/>
  <c r="H102" i="89" s="1"/>
  <c r="G26" i="89"/>
  <c r="G27" i="89" s="1"/>
  <c r="G102" i="89" s="1"/>
  <c r="F26" i="89"/>
  <c r="F27" i="89" s="1"/>
  <c r="F102" i="89" s="1"/>
  <c r="E26" i="89"/>
  <c r="E27" i="89" s="1"/>
  <c r="E102" i="89" s="1"/>
  <c r="D26" i="89"/>
  <c r="D27" i="89" s="1"/>
  <c r="Q25" i="89"/>
  <c r="P25" i="89"/>
  <c r="Q24" i="89"/>
  <c r="P24" i="89"/>
  <c r="Q23" i="89"/>
  <c r="P23" i="89"/>
  <c r="Q22" i="89"/>
  <c r="P22" i="89"/>
  <c r="Q21" i="89"/>
  <c r="P21" i="89"/>
  <c r="Q20" i="89"/>
  <c r="P20" i="89"/>
  <c r="Q19" i="89"/>
  <c r="P19" i="89"/>
  <c r="Q18" i="89"/>
  <c r="P18" i="89"/>
  <c r="O13" i="89"/>
  <c r="O94" i="89" s="1"/>
  <c r="N13" i="89"/>
  <c r="N94" i="89" s="1"/>
  <c r="M13" i="89"/>
  <c r="M94" i="89" s="1"/>
  <c r="L13" i="89"/>
  <c r="L94" i="89" s="1"/>
  <c r="K13" i="89"/>
  <c r="K94" i="89" s="1"/>
  <c r="J13" i="89"/>
  <c r="J94" i="89" s="1"/>
  <c r="I13" i="89"/>
  <c r="I94" i="89" s="1"/>
  <c r="H13" i="89"/>
  <c r="H94" i="89" s="1"/>
  <c r="G13" i="89"/>
  <c r="G94" i="89" s="1"/>
  <c r="F13" i="89"/>
  <c r="F94" i="89" s="1"/>
  <c r="E13" i="89"/>
  <c r="E94" i="89" s="1"/>
  <c r="D13" i="89"/>
  <c r="D94" i="89" s="1"/>
  <c r="Q12" i="89"/>
  <c r="P12" i="89"/>
  <c r="Q11" i="89"/>
  <c r="P11" i="89"/>
  <c r="Q10" i="89"/>
  <c r="P10" i="89"/>
  <c r="Q9" i="89"/>
  <c r="P9" i="89"/>
  <c r="Q8" i="89"/>
  <c r="P8" i="89"/>
  <c r="Q7" i="89"/>
  <c r="P7" i="89"/>
  <c r="Q6" i="89"/>
  <c r="P6" i="89"/>
  <c r="E56" i="89" l="1"/>
  <c r="M56" i="89"/>
  <c r="H19" i="43"/>
  <c r="K56" i="89"/>
  <c r="L56" i="89"/>
  <c r="J56" i="89"/>
  <c r="K18" i="43"/>
  <c r="H20" i="43"/>
  <c r="K20" i="43"/>
  <c r="H18" i="43"/>
  <c r="H17" i="43"/>
  <c r="P125" i="89"/>
  <c r="H25" i="43" s="1"/>
  <c r="P130" i="89"/>
  <c r="G21" i="81" s="1"/>
  <c r="P132" i="89"/>
  <c r="G24" i="84" s="1"/>
  <c r="Q150" i="89"/>
  <c r="Q205" i="89" s="1"/>
  <c r="P90" i="89"/>
  <c r="P92" i="89"/>
  <c r="P97" i="89"/>
  <c r="D15" i="80" s="1"/>
  <c r="P99" i="89"/>
  <c r="P101" i="89"/>
  <c r="D23" i="43" s="1"/>
  <c r="C11" i="13" s="1"/>
  <c r="P106" i="89"/>
  <c r="P108" i="89"/>
  <c r="D20" i="84" s="1"/>
  <c r="P121" i="89"/>
  <c r="G18" i="80" s="1"/>
  <c r="P129" i="89"/>
  <c r="H16" i="43"/>
  <c r="N13" i="43"/>
  <c r="Q13" i="43" s="1"/>
  <c r="K16" i="43"/>
  <c r="P133" i="89"/>
  <c r="H26" i="43" s="1"/>
  <c r="H13" i="43"/>
  <c r="C162" i="89"/>
  <c r="D12" i="81"/>
  <c r="P89" i="89"/>
  <c r="P91" i="89"/>
  <c r="D12" i="82" s="1"/>
  <c r="P93" i="89"/>
  <c r="P98" i="89"/>
  <c r="D16" i="81" s="1"/>
  <c r="C8" i="13" s="1"/>
  <c r="P100" i="89"/>
  <c r="D16" i="84" s="1"/>
  <c r="P105" i="89"/>
  <c r="P107" i="89"/>
  <c r="D20" i="82" s="1"/>
  <c r="P109" i="89"/>
  <c r="P122" i="89"/>
  <c r="G20" i="81" s="1"/>
  <c r="K17" i="43"/>
  <c r="K19" i="43"/>
  <c r="P131" i="89"/>
  <c r="P134" i="89" s="1"/>
  <c r="P123" i="89"/>
  <c r="P124" i="89"/>
  <c r="G23" i="84" s="1"/>
  <c r="Q164" i="89"/>
  <c r="H25" i="61"/>
  <c r="E29" i="90"/>
  <c r="J21" i="61"/>
  <c r="F25" i="90"/>
  <c r="H23" i="61"/>
  <c r="F27" i="90" s="1"/>
  <c r="E27" i="90"/>
  <c r="H15" i="61"/>
  <c r="F20" i="90" s="1"/>
  <c r="E20" i="90"/>
  <c r="I20" i="84"/>
  <c r="H19" i="61"/>
  <c r="F23" i="90" s="1"/>
  <c r="E23" i="90"/>
  <c r="G19" i="80"/>
  <c r="O113" i="89"/>
  <c r="G113" i="89"/>
  <c r="M113" i="89"/>
  <c r="E113" i="89"/>
  <c r="L113" i="89"/>
  <c r="K113" i="89"/>
  <c r="I113" i="89"/>
  <c r="Q154" i="89"/>
  <c r="J113" i="89"/>
  <c r="N113" i="89"/>
  <c r="C163" i="89"/>
  <c r="Q163" i="89" s="1"/>
  <c r="D113" i="89"/>
  <c r="P205" i="89"/>
  <c r="F113" i="89"/>
  <c r="H113" i="89"/>
  <c r="K208" i="89"/>
  <c r="K116" i="89" s="1"/>
  <c r="L208" i="89"/>
  <c r="L116" i="89" s="1"/>
  <c r="F208" i="89"/>
  <c r="J208" i="89"/>
  <c r="J116" i="89" s="1"/>
  <c r="E208" i="89"/>
  <c r="E116" i="89" s="1"/>
  <c r="M208" i="89"/>
  <c r="M116" i="89" s="1"/>
  <c r="N208" i="89"/>
  <c r="N116" i="89" s="1"/>
  <c r="G208" i="89"/>
  <c r="G116" i="89" s="1"/>
  <c r="O208" i="89"/>
  <c r="O116" i="89" s="1"/>
  <c r="H208" i="89"/>
  <c r="H116" i="89" s="1"/>
  <c r="D208" i="89"/>
  <c r="D116" i="89" s="1"/>
  <c r="I208" i="89"/>
  <c r="I116" i="89" s="1"/>
  <c r="Q156" i="89"/>
  <c r="C166" i="89"/>
  <c r="Q165" i="89"/>
  <c r="C175" i="89"/>
  <c r="Q157" i="89"/>
  <c r="C167" i="89"/>
  <c r="C168" i="89"/>
  <c r="Q158" i="89"/>
  <c r="C185" i="89"/>
  <c r="Q174" i="89"/>
  <c r="Q159" i="89"/>
  <c r="C169" i="89"/>
  <c r="Q162" i="89"/>
  <c r="C172" i="89"/>
  <c r="P202" i="89"/>
  <c r="Q81" i="89"/>
  <c r="D16" i="82"/>
  <c r="F56" i="89"/>
  <c r="N56" i="89"/>
  <c r="Q123" i="89"/>
  <c r="Q100" i="89"/>
  <c r="N68" i="89"/>
  <c r="N69" i="89" s="1"/>
  <c r="H56" i="89"/>
  <c r="D12" i="84"/>
  <c r="Q53" i="89"/>
  <c r="P61" i="89"/>
  <c r="Q99" i="89"/>
  <c r="Q132" i="89"/>
  <c r="Q89" i="89"/>
  <c r="Q98" i="89"/>
  <c r="Q122" i="89"/>
  <c r="E66" i="89"/>
  <c r="E126" i="89" s="1"/>
  <c r="Q93" i="89"/>
  <c r="Q92" i="89"/>
  <c r="Q97" i="89"/>
  <c r="Q101" i="89"/>
  <c r="Q125" i="89"/>
  <c r="Q131" i="89"/>
  <c r="Q133" i="89"/>
  <c r="G68" i="89"/>
  <c r="G69" i="89" s="1"/>
  <c r="O68" i="89"/>
  <c r="O69" i="89" s="1"/>
  <c r="Q121" i="89"/>
  <c r="Q124" i="89"/>
  <c r="Q130" i="89"/>
  <c r="H68" i="89"/>
  <c r="H69" i="89" s="1"/>
  <c r="Q91" i="89"/>
  <c r="Q108" i="89"/>
  <c r="Q90" i="89"/>
  <c r="Q129" i="89"/>
  <c r="Q107" i="89"/>
  <c r="Q106" i="89"/>
  <c r="Q105" i="89"/>
  <c r="Q109" i="89"/>
  <c r="I13" i="61"/>
  <c r="I21" i="61"/>
  <c r="I68" i="89"/>
  <c r="I69" i="89" s="1"/>
  <c r="I102" i="89"/>
  <c r="M68" i="89"/>
  <c r="M69" i="89" s="1"/>
  <c r="Q94" i="89"/>
  <c r="D102" i="89"/>
  <c r="Q27" i="89"/>
  <c r="P27" i="89"/>
  <c r="Q110" i="89"/>
  <c r="D56" i="89"/>
  <c r="J68" i="89"/>
  <c r="J69" i="89" s="1"/>
  <c r="K68" i="89"/>
  <c r="K69" i="89" s="1"/>
  <c r="Q61" i="89"/>
  <c r="D68" i="89"/>
  <c r="L68" i="89"/>
  <c r="L69" i="89" s="1"/>
  <c r="H126" i="89"/>
  <c r="D134" i="89"/>
  <c r="Q134" i="89" s="1"/>
  <c r="P26" i="89"/>
  <c r="P53" i="89"/>
  <c r="Q26" i="89"/>
  <c r="F68" i="89"/>
  <c r="F69" i="89" s="1"/>
  <c r="N102" i="89"/>
  <c r="P13" i="89"/>
  <c r="P39" i="89"/>
  <c r="P81" i="89"/>
  <c r="Q13" i="89"/>
  <c r="Q39" i="89"/>
  <c r="P110" i="89" l="1"/>
  <c r="G24" i="82"/>
  <c r="K23" i="43"/>
  <c r="P20" i="82"/>
  <c r="S20" i="82" s="1"/>
  <c r="G20" i="82"/>
  <c r="J20" i="82"/>
  <c r="G20" i="84"/>
  <c r="G41" i="84" s="1"/>
  <c r="P20" i="84"/>
  <c r="P94" i="89"/>
  <c r="G23" i="82"/>
  <c r="D34" i="82"/>
  <c r="E58" i="90" s="1"/>
  <c r="J20" i="84"/>
  <c r="P102" i="89"/>
  <c r="D11" i="80"/>
  <c r="P126" i="89"/>
  <c r="C173" i="89"/>
  <c r="C184" i="89" s="1"/>
  <c r="M206" i="89"/>
  <c r="M114" i="89" s="1"/>
  <c r="D206" i="89"/>
  <c r="D114" i="89" s="1"/>
  <c r="I25" i="61"/>
  <c r="F29" i="90"/>
  <c r="Q20" i="84"/>
  <c r="J25" i="61"/>
  <c r="E206" i="89"/>
  <c r="E114" i="89" s="1"/>
  <c r="N206" i="89"/>
  <c r="N114" i="89" s="1"/>
  <c r="I206" i="89"/>
  <c r="Q113" i="89"/>
  <c r="H206" i="89"/>
  <c r="F206" i="89"/>
  <c r="L206" i="89"/>
  <c r="G206" i="89"/>
  <c r="K206" i="89"/>
  <c r="P208" i="89"/>
  <c r="F116" i="89"/>
  <c r="Q116" i="89" s="1"/>
  <c r="P113" i="89"/>
  <c r="J206" i="89"/>
  <c r="O206" i="89"/>
  <c r="C196" i="89"/>
  <c r="Q196" i="89" s="1"/>
  <c r="Q185" i="89"/>
  <c r="Q175" i="89"/>
  <c r="C186" i="89"/>
  <c r="Q160" i="89"/>
  <c r="Q208" i="89" s="1"/>
  <c r="Q169" i="89"/>
  <c r="C179" i="89"/>
  <c r="C178" i="89"/>
  <c r="Q168" i="89"/>
  <c r="Q172" i="89"/>
  <c r="C183" i="89"/>
  <c r="C177" i="89"/>
  <c r="Q167" i="89"/>
  <c r="Q166" i="89"/>
  <c r="C176" i="89"/>
  <c r="P66" i="89"/>
  <c r="Q66" i="89"/>
  <c r="Q126" i="89"/>
  <c r="E68" i="89"/>
  <c r="E69" i="89" s="1"/>
  <c r="Q102" i="89"/>
  <c r="D69" i="89"/>
  <c r="Q173" i="89" l="1"/>
  <c r="Q68" i="89"/>
  <c r="G207" i="89"/>
  <c r="G115" i="89" s="1"/>
  <c r="O207" i="89"/>
  <c r="O115" i="89" s="1"/>
  <c r="J114" i="89"/>
  <c r="I207" i="89"/>
  <c r="I115" i="89" s="1"/>
  <c r="K114" i="89"/>
  <c r="I114" i="89"/>
  <c r="P116" i="89"/>
  <c r="G29" i="84" s="1"/>
  <c r="G24" i="80"/>
  <c r="N207" i="89"/>
  <c r="G114" i="89"/>
  <c r="D207" i="89"/>
  <c r="M207" i="89"/>
  <c r="E207" i="89"/>
  <c r="P206" i="89"/>
  <c r="F207" i="89"/>
  <c r="F115" i="89" s="1"/>
  <c r="H207" i="89"/>
  <c r="H115" i="89" s="1"/>
  <c r="F114" i="89"/>
  <c r="L114" i="89"/>
  <c r="L207" i="89"/>
  <c r="L115" i="89" s="1"/>
  <c r="J207" i="89"/>
  <c r="J115" i="89" s="1"/>
  <c r="H114" i="89"/>
  <c r="O114" i="89"/>
  <c r="Q170" i="89"/>
  <c r="Q206" i="89" s="1"/>
  <c r="K207" i="89"/>
  <c r="K115" i="89" s="1"/>
  <c r="C188" i="89"/>
  <c r="Q177" i="89"/>
  <c r="Q184" i="89"/>
  <c r="C195" i="89"/>
  <c r="Q195" i="89" s="1"/>
  <c r="Q186" i="89"/>
  <c r="C197" i="89"/>
  <c r="Q197" i="89" s="1"/>
  <c r="C189" i="89"/>
  <c r="Q178" i="89"/>
  <c r="Q183" i="89"/>
  <c r="C194" i="89"/>
  <c r="Q194" i="89" s="1"/>
  <c r="Q176" i="89"/>
  <c r="C187" i="89"/>
  <c r="Q179" i="89"/>
  <c r="C190" i="89"/>
  <c r="C34" i="70"/>
  <c r="C35" i="70"/>
  <c r="C36" i="70"/>
  <c r="C37" i="70"/>
  <c r="C33" i="70"/>
  <c r="C22" i="70"/>
  <c r="C23" i="70"/>
  <c r="C24" i="70"/>
  <c r="C25" i="70"/>
  <c r="C21" i="70"/>
  <c r="E209" i="89" l="1"/>
  <c r="D209" i="89"/>
  <c r="F209" i="89"/>
  <c r="F210" i="89" s="1"/>
  <c r="F117" i="89" s="1"/>
  <c r="F118" i="89" s="1"/>
  <c r="L209" i="89"/>
  <c r="L210" i="89" s="1"/>
  <c r="M209" i="89"/>
  <c r="M210" i="89" s="1"/>
  <c r="O209" i="89"/>
  <c r="O210" i="89" s="1"/>
  <c r="O213" i="89" s="1"/>
  <c r="O214" i="89" s="1"/>
  <c r="P114" i="89"/>
  <c r="G26" i="81" s="1"/>
  <c r="M115" i="89"/>
  <c r="K209" i="89"/>
  <c r="K210" i="89" s="1"/>
  <c r="G209" i="89"/>
  <c r="G210" i="89" s="1"/>
  <c r="D115" i="89"/>
  <c r="P207" i="89"/>
  <c r="D210" i="89"/>
  <c r="I209" i="89"/>
  <c r="I210" i="89" s="1"/>
  <c r="E115" i="89"/>
  <c r="E210" i="89"/>
  <c r="J209" i="89"/>
  <c r="J210" i="89" s="1"/>
  <c r="N115" i="89"/>
  <c r="Q114" i="89"/>
  <c r="H209" i="89"/>
  <c r="H210" i="89" s="1"/>
  <c r="N209" i="89"/>
  <c r="N210" i="89" s="1"/>
  <c r="Q190" i="89"/>
  <c r="C201" i="89"/>
  <c r="Q201" i="89" s="1"/>
  <c r="Q187" i="89"/>
  <c r="C198" i="89"/>
  <c r="Q198" i="89" s="1"/>
  <c r="Q188" i="89"/>
  <c r="C199" i="89"/>
  <c r="Q199" i="89" s="1"/>
  <c r="Q180" i="89"/>
  <c r="Q207" i="89" s="1"/>
  <c r="C200" i="89"/>
  <c r="Q200" i="89" s="1"/>
  <c r="Q189" i="89"/>
  <c r="O117" i="89" l="1"/>
  <c r="O118" i="89" s="1"/>
  <c r="F213" i="89"/>
  <c r="F214" i="89" s="1"/>
  <c r="Q202" i="89"/>
  <c r="J117" i="89"/>
  <c r="J118" i="89" s="1"/>
  <c r="J213" i="89"/>
  <c r="J214" i="89" s="1"/>
  <c r="I117" i="89"/>
  <c r="I118" i="89" s="1"/>
  <c r="I213" i="89"/>
  <c r="I214" i="89" s="1"/>
  <c r="D117" i="89"/>
  <c r="D213" i="89"/>
  <c r="D214" i="89" s="1"/>
  <c r="P209" i="89"/>
  <c r="P210" i="89" s="1"/>
  <c r="P213" i="89" s="1"/>
  <c r="P214" i="89" s="1"/>
  <c r="E213" i="89"/>
  <c r="E214" i="89" s="1"/>
  <c r="E117" i="89"/>
  <c r="E118" i="89" s="1"/>
  <c r="L213" i="89"/>
  <c r="L214" i="89" s="1"/>
  <c r="L117" i="89"/>
  <c r="L118" i="89" s="1"/>
  <c r="P115" i="89"/>
  <c r="Q115" i="89"/>
  <c r="K213" i="89"/>
  <c r="K214" i="89" s="1"/>
  <c r="K117" i="89"/>
  <c r="K118" i="89" s="1"/>
  <c r="G117" i="89"/>
  <c r="G118" i="89" s="1"/>
  <c r="G213" i="89"/>
  <c r="G214" i="89" s="1"/>
  <c r="H117" i="89"/>
  <c r="H118" i="89" s="1"/>
  <c r="H213" i="89"/>
  <c r="H214" i="89" s="1"/>
  <c r="N213" i="89"/>
  <c r="N214" i="89" s="1"/>
  <c r="N117" i="89"/>
  <c r="N118" i="89" s="1"/>
  <c r="M213" i="89"/>
  <c r="M214" i="89" s="1"/>
  <c r="M117" i="89"/>
  <c r="M118" i="89" s="1"/>
  <c r="Q191" i="89"/>
  <c r="Q209" i="89" s="1"/>
  <c r="Q210" i="89" s="1"/>
  <c r="G29" i="82" l="1"/>
  <c r="P117" i="89"/>
  <c r="Q117" i="89"/>
  <c r="D118" i="89"/>
  <c r="Q118" i="89" s="1"/>
  <c r="H31" i="43" l="1"/>
  <c r="D11" i="13" s="1"/>
  <c r="P118" i="89"/>
  <c r="C10" i="13"/>
  <c r="H12" i="43"/>
  <c r="N12" i="43"/>
  <c r="Q12" i="43" s="1"/>
  <c r="H15" i="43"/>
  <c r="N15" i="43"/>
  <c r="Q15" i="43" s="1"/>
  <c r="D34" i="84"/>
  <c r="F23" i="43"/>
  <c r="D10" i="13"/>
  <c r="K26" i="43"/>
  <c r="Q26" i="43" s="1"/>
  <c r="D29" i="80"/>
  <c r="E56" i="90" s="1"/>
  <c r="E36" i="70" l="1"/>
  <c r="E59" i="90"/>
  <c r="H23" i="43"/>
  <c r="H29" i="43" s="1"/>
  <c r="Q23" i="43"/>
  <c r="E35" i="70"/>
  <c r="K25" i="43"/>
  <c r="K29" i="43" s="1"/>
  <c r="M27" i="61" s="1"/>
  <c r="D31" i="81"/>
  <c r="E33" i="70"/>
  <c r="C39" i="79"/>
  <c r="E34" i="70" l="1"/>
  <c r="E57" i="90"/>
  <c r="E11" i="13"/>
  <c r="L27" i="61"/>
  <c r="Q25" i="43"/>
  <c r="Q29" i="43" s="1"/>
  <c r="N27" i="61" s="1"/>
  <c r="Q16" i="84" l="1"/>
  <c r="Q12" i="84"/>
  <c r="I16" i="84"/>
  <c r="I12" i="84"/>
  <c r="E16" i="84"/>
  <c r="G16" i="84" s="1"/>
  <c r="G40" i="84" s="1"/>
  <c r="E12" i="84"/>
  <c r="A3" i="84"/>
  <c r="N12" i="82"/>
  <c r="E16" i="82"/>
  <c r="E12" i="82"/>
  <c r="S20" i="84" l="1"/>
  <c r="Q16" i="82"/>
  <c r="I16" i="82"/>
  <c r="D34" i="70" l="1"/>
  <c r="D35" i="70"/>
  <c r="D36" i="70"/>
  <c r="D37" i="70"/>
  <c r="D38" i="70"/>
  <c r="D39" i="70"/>
  <c r="D33" i="70"/>
  <c r="D22" i="70"/>
  <c r="D23" i="70"/>
  <c r="D24" i="70"/>
  <c r="D25" i="70"/>
  <c r="D26" i="70"/>
  <c r="D27" i="70"/>
  <c r="D21" i="70"/>
  <c r="E17" i="13"/>
  <c r="A3" i="82"/>
  <c r="A2" i="82"/>
  <c r="A3" i="81"/>
  <c r="A2" i="81"/>
  <c r="A3" i="80"/>
  <c r="A2" i="80"/>
  <c r="A1" i="84"/>
  <c r="Q12" i="82"/>
  <c r="I12" i="82"/>
  <c r="A1" i="82"/>
  <c r="Q16" i="81"/>
  <c r="Q12" i="81"/>
  <c r="I16" i="81"/>
  <c r="I12" i="81"/>
  <c r="E16" i="81"/>
  <c r="E12" i="81"/>
  <c r="A1" i="81"/>
  <c r="I15" i="80"/>
  <c r="I11" i="80"/>
  <c r="E15" i="80"/>
  <c r="E11" i="80"/>
  <c r="A1" i="80"/>
  <c r="C9" i="13" l="1"/>
  <c r="D9" i="13"/>
  <c r="D7" i="13"/>
  <c r="C7" i="13"/>
  <c r="J24" i="61"/>
  <c r="I24" i="61"/>
  <c r="C14" i="13" l="1"/>
  <c r="D8" i="13"/>
  <c r="D14" i="13" s="1"/>
  <c r="F40" i="70"/>
  <c r="C9" i="79"/>
  <c r="C10" i="79" s="1"/>
  <c r="C11" i="79" s="1"/>
  <c r="C12" i="79" s="1"/>
  <c r="C13" i="79" s="1"/>
  <c r="C14" i="79" s="1"/>
  <c r="C15" i="79" s="1"/>
  <c r="C16" i="79" s="1"/>
  <c r="C17" i="79" s="1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C28" i="79" s="1"/>
  <c r="C29" i="79" s="1"/>
  <c r="C30" i="79" s="1"/>
  <c r="C31" i="79" s="1"/>
  <c r="C32" i="79" s="1"/>
  <c r="C33" i="79" s="1"/>
  <c r="C34" i="79" s="1"/>
  <c r="C35" i="79" s="1"/>
  <c r="C36" i="79" s="1"/>
  <c r="C37" i="79" s="1"/>
  <c r="C38" i="79" s="1"/>
  <c r="F39" i="70" l="1"/>
  <c r="E27" i="70"/>
  <c r="F27" i="70" l="1"/>
  <c r="G39" i="70"/>
  <c r="J21" i="81" l="1"/>
  <c r="S21" i="81"/>
  <c r="S19" i="80"/>
  <c r="J19" i="80"/>
  <c r="S24" i="82"/>
  <c r="J24" i="82"/>
  <c r="S24" i="84"/>
  <c r="J24" i="84"/>
  <c r="S23" i="82"/>
  <c r="J23" i="82"/>
  <c r="S18" i="80"/>
  <c r="J18" i="80"/>
  <c r="S20" i="81"/>
  <c r="J20" i="81"/>
  <c r="S23" i="84"/>
  <c r="J23" i="84"/>
  <c r="P16" i="81"/>
  <c r="J16" i="81"/>
  <c r="G16" i="81"/>
  <c r="G12" i="82"/>
  <c r="P12" i="82"/>
  <c r="S12" i="82" s="1"/>
  <c r="J12" i="82"/>
  <c r="P12" i="84"/>
  <c r="S12" i="84" s="1"/>
  <c r="J12" i="84"/>
  <c r="G12" i="84"/>
  <c r="G39" i="84" s="1"/>
  <c r="P12" i="81"/>
  <c r="G12" i="81"/>
  <c r="J12" i="81"/>
  <c r="P11" i="80"/>
  <c r="G11" i="80"/>
  <c r="G32" i="81" l="1"/>
  <c r="G24" i="81"/>
  <c r="E8" i="13" s="1"/>
  <c r="G16" i="82"/>
  <c r="G27" i="82" s="1"/>
  <c r="P16" i="82"/>
  <c r="S16" i="82" s="1"/>
  <c r="S27" i="82" s="1"/>
  <c r="J16" i="82"/>
  <c r="G35" i="84"/>
  <c r="J16" i="84"/>
  <c r="J27" i="84" s="1"/>
  <c r="P16" i="84"/>
  <c r="S16" i="84" s="1"/>
  <c r="S27" i="84" s="1"/>
  <c r="J24" i="81"/>
  <c r="G15" i="80"/>
  <c r="G22" i="80" s="1"/>
  <c r="P15" i="80"/>
  <c r="J27" i="82" l="1"/>
  <c r="M19" i="61" s="1"/>
  <c r="G27" i="84"/>
  <c r="E10" i="13" s="1"/>
  <c r="E9" i="13"/>
  <c r="G36" i="82"/>
  <c r="G30" i="80"/>
  <c r="G26" i="80"/>
  <c r="G28" i="80" s="1"/>
  <c r="E7" i="13"/>
  <c r="L11" i="61"/>
  <c r="G28" i="81"/>
  <c r="G30" i="81" s="1"/>
  <c r="L15" i="61"/>
  <c r="G31" i="82"/>
  <c r="G33" i="82" s="1"/>
  <c r="L19" i="61"/>
  <c r="J28" i="81"/>
  <c r="M47" i="61" s="1"/>
  <c r="M15" i="61"/>
  <c r="N19" i="61"/>
  <c r="J15" i="80"/>
  <c r="J11" i="80"/>
  <c r="E8" i="70"/>
  <c r="D7" i="79"/>
  <c r="D39" i="79" s="1"/>
  <c r="E9" i="70"/>
  <c r="E7" i="79"/>
  <c r="E39" i="79" s="1"/>
  <c r="J31" i="82" l="1"/>
  <c r="M48" i="61" s="1"/>
  <c r="S29" i="82"/>
  <c r="S31" i="82" s="1"/>
  <c r="P19" i="61" s="1"/>
  <c r="F46" i="90" s="1"/>
  <c r="E14" i="13"/>
  <c r="J30" i="81"/>
  <c r="I8" i="13"/>
  <c r="G31" i="84"/>
  <c r="G33" i="84" s="1"/>
  <c r="L23" i="61"/>
  <c r="N23" i="61"/>
  <c r="M23" i="61"/>
  <c r="F39" i="79"/>
  <c r="J31" i="84"/>
  <c r="M49" i="61" s="1"/>
  <c r="S29" i="84"/>
  <c r="J22" i="80"/>
  <c r="J26" i="80" s="1"/>
  <c r="M46" i="61" s="1"/>
  <c r="S33" i="82"/>
  <c r="Q19" i="61" s="1"/>
  <c r="F58" i="90" s="1"/>
  <c r="Q15" i="80"/>
  <c r="S15" i="80" s="1"/>
  <c r="F9" i="70"/>
  <c r="H7" i="79"/>
  <c r="H39" i="79" s="1"/>
  <c r="E14" i="79"/>
  <c r="E8" i="79"/>
  <c r="E9" i="79"/>
  <c r="E13" i="79"/>
  <c r="E12" i="79"/>
  <c r="E15" i="79"/>
  <c r="E11" i="79"/>
  <c r="E17" i="79"/>
  <c r="E10" i="79"/>
  <c r="E16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D31" i="79"/>
  <c r="D9" i="79"/>
  <c r="D10" i="79"/>
  <c r="D11" i="79"/>
  <c r="D27" i="79"/>
  <c r="D22" i="79"/>
  <c r="D23" i="79"/>
  <c r="D8" i="79"/>
  <c r="D24" i="79"/>
  <c r="D29" i="79"/>
  <c r="D17" i="79"/>
  <c r="D33" i="79"/>
  <c r="D20" i="79"/>
  <c r="D25" i="79"/>
  <c r="D18" i="79"/>
  <c r="D35" i="79"/>
  <c r="D30" i="79"/>
  <c r="D28" i="79"/>
  <c r="D26" i="79"/>
  <c r="D19" i="79"/>
  <c r="D13" i="79"/>
  <c r="D12" i="79"/>
  <c r="D34" i="79"/>
  <c r="D37" i="79"/>
  <c r="D14" i="79"/>
  <c r="D38" i="79"/>
  <c r="D16" i="79"/>
  <c r="D32" i="79"/>
  <c r="D21" i="79"/>
  <c r="D15" i="79"/>
  <c r="D36" i="79"/>
  <c r="G58" i="90" l="1"/>
  <c r="O19" i="61"/>
  <c r="E46" i="90" s="1"/>
  <c r="I9" i="13"/>
  <c r="J33" i="82"/>
  <c r="J28" i="80"/>
  <c r="I7" i="13"/>
  <c r="J33" i="84"/>
  <c r="I10" i="13"/>
  <c r="S33" i="84"/>
  <c r="O23" i="61"/>
  <c r="E47" i="90" s="1"/>
  <c r="S31" i="84"/>
  <c r="M11" i="61"/>
  <c r="H17" i="79"/>
  <c r="H11" i="79"/>
  <c r="H8" i="79"/>
  <c r="H15" i="79"/>
  <c r="H18" i="79"/>
  <c r="H9" i="79"/>
  <c r="H16" i="79"/>
  <c r="H14" i="79"/>
  <c r="H13" i="79"/>
  <c r="H10" i="79"/>
  <c r="H12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F36" i="79"/>
  <c r="F32" i="79"/>
  <c r="F24" i="79"/>
  <c r="F20" i="79"/>
  <c r="F10" i="79"/>
  <c r="F14" i="79"/>
  <c r="F12" i="79"/>
  <c r="F35" i="79"/>
  <c r="F31" i="79"/>
  <c r="F27" i="79"/>
  <c r="F23" i="79"/>
  <c r="F19" i="79"/>
  <c r="F17" i="79"/>
  <c r="F13" i="79"/>
  <c r="F28" i="79"/>
  <c r="F38" i="79"/>
  <c r="F34" i="79"/>
  <c r="F30" i="79"/>
  <c r="F26" i="79"/>
  <c r="F22" i="79"/>
  <c r="F18" i="79"/>
  <c r="F11" i="79"/>
  <c r="F9" i="79"/>
  <c r="F37" i="79"/>
  <c r="F33" i="79"/>
  <c r="F29" i="79"/>
  <c r="F25" i="79"/>
  <c r="F21" i="79"/>
  <c r="F16" i="79"/>
  <c r="F15" i="79"/>
  <c r="F8" i="79"/>
  <c r="A13" i="13"/>
  <c r="B13" i="13"/>
  <c r="A8" i="13"/>
  <c r="B8" i="13"/>
  <c r="A9" i="13"/>
  <c r="B9" i="13"/>
  <c r="A10" i="13"/>
  <c r="B10" i="13"/>
  <c r="A11" i="13"/>
  <c r="B11" i="13"/>
  <c r="A12" i="13"/>
  <c r="B12" i="13"/>
  <c r="B7" i="13"/>
  <c r="A7" i="13"/>
  <c r="C29" i="61"/>
  <c r="B29" i="61"/>
  <c r="C32" i="61"/>
  <c r="B32" i="61"/>
  <c r="I29" i="61"/>
  <c r="C27" i="61"/>
  <c r="B27" i="61"/>
  <c r="C23" i="61"/>
  <c r="B23" i="61"/>
  <c r="C19" i="61"/>
  <c r="B19" i="61"/>
  <c r="C15" i="61"/>
  <c r="C11" i="61"/>
  <c r="B15" i="61"/>
  <c r="B11" i="61"/>
  <c r="P23" i="61" l="1"/>
  <c r="Q23" i="61"/>
  <c r="F59" i="90" s="1"/>
  <c r="I23" i="61"/>
  <c r="J19" i="61"/>
  <c r="I30" i="61"/>
  <c r="I20" i="61"/>
  <c r="J20" i="61"/>
  <c r="I19" i="61"/>
  <c r="I12" i="61"/>
  <c r="I32" i="61"/>
  <c r="J16" i="61"/>
  <c r="J15" i="61"/>
  <c r="I16" i="61"/>
  <c r="I15" i="61"/>
  <c r="G59" i="90" l="1"/>
  <c r="F47" i="90"/>
  <c r="F11" i="13"/>
  <c r="G11" i="13" s="1"/>
  <c r="S16" i="81"/>
  <c r="S12" i="81"/>
  <c r="J23" i="61"/>
  <c r="F9" i="13"/>
  <c r="I35" i="61"/>
  <c r="I27" i="61"/>
  <c r="I36" i="61"/>
  <c r="I34" i="61"/>
  <c r="J12" i="61"/>
  <c r="F10" i="13"/>
  <c r="G10" i="13" s="1"/>
  <c r="I33" i="61"/>
  <c r="G9" i="13" l="1"/>
  <c r="S24" i="81"/>
  <c r="D16" i="13"/>
  <c r="D18" i="13" s="1"/>
  <c r="D19" i="13" s="1"/>
  <c r="E26" i="70"/>
  <c r="S26" i="81" l="1"/>
  <c r="N15" i="61"/>
  <c r="F8" i="13"/>
  <c r="G8" i="13" s="1"/>
  <c r="F38" i="70"/>
  <c r="E24" i="70"/>
  <c r="S28" i="81" l="1"/>
  <c r="P15" i="61" s="1"/>
  <c r="O15" i="61"/>
  <c r="S30" i="81"/>
  <c r="Q15" i="61" s="1"/>
  <c r="F57" i="90" s="1"/>
  <c r="G38" i="70"/>
  <c r="F26" i="70"/>
  <c r="F7" i="13"/>
  <c r="E23" i="70"/>
  <c r="F35" i="70"/>
  <c r="F36" i="70"/>
  <c r="E22" i="70" l="1"/>
  <c r="E45" i="90"/>
  <c r="F45" i="90"/>
  <c r="G57" i="90"/>
  <c r="G7" i="13"/>
  <c r="F14" i="13"/>
  <c r="G14" i="13" s="1"/>
  <c r="G36" i="70"/>
  <c r="F24" i="70"/>
  <c r="F23" i="70"/>
  <c r="G35" i="70"/>
  <c r="G34" i="70"/>
  <c r="F22" i="70"/>
  <c r="F34" i="70"/>
  <c r="H33" i="43" l="1"/>
  <c r="L38" i="61"/>
  <c r="H35" i="43"/>
  <c r="K33" i="43" l="1"/>
  <c r="M38" i="61"/>
  <c r="M43" i="61" s="1"/>
  <c r="E16" i="13"/>
  <c r="E18" i="13" s="1"/>
  <c r="E19" i="13" s="1"/>
  <c r="Q31" i="43"/>
  <c r="Q35" i="43" l="1"/>
  <c r="Q27" i="61" s="1"/>
  <c r="O27" i="61"/>
  <c r="I11" i="13"/>
  <c r="I14" i="13" s="1"/>
  <c r="M50" i="61"/>
  <c r="M51" i="61" s="1"/>
  <c r="M52" i="61" s="1"/>
  <c r="K35" i="43"/>
  <c r="Q33" i="43"/>
  <c r="P27" i="61" s="1"/>
  <c r="E48" i="90" l="1"/>
  <c r="E25" i="70"/>
  <c r="G60" i="90"/>
  <c r="F48" i="90"/>
  <c r="F25" i="70"/>
  <c r="G37" i="70"/>
  <c r="F60" i="90"/>
  <c r="F37" i="70"/>
  <c r="A1" i="79"/>
  <c r="A1" i="73"/>
  <c r="A1" i="90" s="1"/>
  <c r="A1" i="13" l="1"/>
  <c r="A1" i="70"/>
  <c r="A1" i="43"/>
  <c r="C16" i="13"/>
  <c r="C18" i="13" s="1"/>
  <c r="C19" i="13" s="1"/>
  <c r="F8" i="70" l="1"/>
  <c r="I11" i="61" l="1"/>
  <c r="G7" i="79"/>
  <c r="J11" i="61"/>
  <c r="Q11" i="80"/>
  <c r="S11" i="80" s="1"/>
  <c r="S22" i="80" s="1"/>
  <c r="G18" i="79" l="1"/>
  <c r="I18" i="79" s="1"/>
  <c r="J18" i="79" s="1"/>
  <c r="K18" i="79" s="1"/>
  <c r="G24" i="79"/>
  <c r="I24" i="79" s="1"/>
  <c r="J24" i="79" s="1"/>
  <c r="K24" i="79" s="1"/>
  <c r="G22" i="79"/>
  <c r="I22" i="79" s="1"/>
  <c r="J22" i="79" s="1"/>
  <c r="K22" i="79" s="1"/>
  <c r="G25" i="79"/>
  <c r="I25" i="79" s="1"/>
  <c r="J25" i="79" s="1"/>
  <c r="K25" i="79" s="1"/>
  <c r="G12" i="79"/>
  <c r="I12" i="79" s="1"/>
  <c r="J12" i="79" s="1"/>
  <c r="K12" i="79" s="1"/>
  <c r="G10" i="79"/>
  <c r="I10" i="79" s="1"/>
  <c r="J10" i="79" s="1"/>
  <c r="K10" i="79" s="1"/>
  <c r="G21" i="79"/>
  <c r="I21" i="79" s="1"/>
  <c r="J21" i="79" s="1"/>
  <c r="K21" i="79" s="1"/>
  <c r="G23" i="79"/>
  <c r="I23" i="79" s="1"/>
  <c r="J23" i="79" s="1"/>
  <c r="K23" i="79" s="1"/>
  <c r="G38" i="79"/>
  <c r="I38" i="79" s="1"/>
  <c r="J38" i="79" s="1"/>
  <c r="K38" i="79" s="1"/>
  <c r="G29" i="79"/>
  <c r="I29" i="79" s="1"/>
  <c r="J29" i="79" s="1"/>
  <c r="K29" i="79" s="1"/>
  <c r="G27" i="79"/>
  <c r="I27" i="79" s="1"/>
  <c r="J27" i="79" s="1"/>
  <c r="K27" i="79" s="1"/>
  <c r="G14" i="79"/>
  <c r="I14" i="79" s="1"/>
  <c r="J14" i="79" s="1"/>
  <c r="K14" i="79" s="1"/>
  <c r="G17" i="79"/>
  <c r="I17" i="79" s="1"/>
  <c r="J17" i="79" s="1"/>
  <c r="K17" i="79" s="1"/>
  <c r="G15" i="79"/>
  <c r="I15" i="79" s="1"/>
  <c r="J15" i="79" s="1"/>
  <c r="K15" i="79" s="1"/>
  <c r="G19" i="79"/>
  <c r="I19" i="79" s="1"/>
  <c r="J19" i="79" s="1"/>
  <c r="K19" i="79" s="1"/>
  <c r="G8" i="79"/>
  <c r="I8" i="79" s="1"/>
  <c r="J8" i="79" s="1"/>
  <c r="K8" i="79" s="1"/>
  <c r="G20" i="79"/>
  <c r="I20" i="79" s="1"/>
  <c r="J20" i="79" s="1"/>
  <c r="K20" i="79" s="1"/>
  <c r="G32" i="79"/>
  <c r="I32" i="79" s="1"/>
  <c r="J32" i="79" s="1"/>
  <c r="K32" i="79" s="1"/>
  <c r="G33" i="79"/>
  <c r="I33" i="79" s="1"/>
  <c r="J33" i="79" s="1"/>
  <c r="K33" i="79" s="1"/>
  <c r="G30" i="79"/>
  <c r="I30" i="79" s="1"/>
  <c r="J30" i="79" s="1"/>
  <c r="K30" i="79" s="1"/>
  <c r="G11" i="79"/>
  <c r="I11" i="79" s="1"/>
  <c r="J11" i="79" s="1"/>
  <c r="K11" i="79" s="1"/>
  <c r="G26" i="79"/>
  <c r="I26" i="79" s="1"/>
  <c r="J26" i="79" s="1"/>
  <c r="K26" i="79" s="1"/>
  <c r="G28" i="79"/>
  <c r="I28" i="79" s="1"/>
  <c r="J28" i="79" s="1"/>
  <c r="K28" i="79" s="1"/>
  <c r="G36" i="79"/>
  <c r="I36" i="79" s="1"/>
  <c r="J36" i="79" s="1"/>
  <c r="K36" i="79" s="1"/>
  <c r="G9" i="79"/>
  <c r="I9" i="79" s="1"/>
  <c r="J9" i="79" s="1"/>
  <c r="K9" i="79" s="1"/>
  <c r="G34" i="79"/>
  <c r="I34" i="79" s="1"/>
  <c r="J34" i="79" s="1"/>
  <c r="K34" i="79" s="1"/>
  <c r="G37" i="79"/>
  <c r="I37" i="79" s="1"/>
  <c r="J37" i="79" s="1"/>
  <c r="K37" i="79" s="1"/>
  <c r="G35" i="79"/>
  <c r="I35" i="79" s="1"/>
  <c r="J35" i="79" s="1"/>
  <c r="K35" i="79" s="1"/>
  <c r="G16" i="79"/>
  <c r="I16" i="79" s="1"/>
  <c r="J16" i="79" s="1"/>
  <c r="K16" i="79" s="1"/>
  <c r="G13" i="79"/>
  <c r="I13" i="79" s="1"/>
  <c r="J13" i="79" s="1"/>
  <c r="K13" i="79" s="1"/>
  <c r="G31" i="79"/>
  <c r="I31" i="79" s="1"/>
  <c r="J31" i="79" s="1"/>
  <c r="K31" i="79" s="1"/>
  <c r="G39" i="79"/>
  <c r="I39" i="79" s="1"/>
  <c r="J39" i="79" s="1"/>
  <c r="K39" i="79" s="1"/>
  <c r="N11" i="61"/>
  <c r="N38" i="61" s="1"/>
  <c r="S24" i="80"/>
  <c r="O11" i="61" l="1"/>
  <c r="E44" i="90" s="1"/>
  <c r="S28" i="80"/>
  <c r="Q11" i="61" s="1"/>
  <c r="F16" i="91" s="1"/>
  <c r="S26" i="80"/>
  <c r="P11" i="61" s="1"/>
  <c r="F17" i="91" s="1"/>
  <c r="F33" i="70" l="1"/>
  <c r="F56" i="90"/>
  <c r="F44" i="90"/>
  <c r="G56" i="90"/>
  <c r="G33" i="70"/>
  <c r="F21" i="70"/>
  <c r="O38" i="61"/>
  <c r="E21" i="70"/>
  <c r="E51" i="90" l="1"/>
  <c r="D7" i="91"/>
  <c r="D11" i="91" s="1"/>
  <c r="E28" i="70"/>
  <c r="O41" i="61"/>
  <c r="P38" i="61"/>
  <c r="D8" i="91" s="1"/>
  <c r="G63" i="90" l="1"/>
  <c r="F51" i="90"/>
  <c r="F28" i="70"/>
  <c r="G40" i="70"/>
</calcChain>
</file>

<file path=xl/sharedStrings.xml><?xml version="1.0" encoding="utf-8"?>
<sst xmlns="http://schemas.openxmlformats.org/spreadsheetml/2006/main" count="784" uniqueCount="216">
  <si>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</si>
  <si>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</si>
  <si>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</si>
  <si>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</si>
  <si>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</si>
  <si>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</si>
  <si>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</si>
  <si>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</si>
  <si>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Charge</t>
  </si>
  <si>
    <t>Per kWh</t>
  </si>
  <si>
    <t>Difference</t>
  </si>
  <si>
    <t>Customer Class</t>
  </si>
  <si>
    <t>Lights</t>
  </si>
  <si>
    <t>Per Light</t>
  </si>
  <si>
    <t>Revenue Per Books</t>
  </si>
  <si>
    <t>Percentage Difference</t>
  </si>
  <si>
    <t>Percent Difference</t>
  </si>
  <si>
    <t>Test Year Rate</t>
  </si>
  <si>
    <t>Test Year Rate Calculated Billings</t>
  </si>
  <si>
    <t>Facility Charge</t>
  </si>
  <si>
    <t>Billing Total</t>
  </si>
  <si>
    <t>Revenue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</si>
  <si>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</si>
  <si>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</si>
  <si>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</si>
  <si>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</si>
  <si>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</si>
  <si>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</si>
  <si>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</si>
  <si>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</si>
  <si>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</si>
  <si>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</si>
  <si>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</si>
  <si>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</si>
  <si>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</si>
  <si>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Total Rate Revenue</t>
  </si>
  <si>
    <t>Rate Code</t>
  </si>
  <si>
    <t>Total</t>
  </si>
  <si>
    <t>Avg Incr/(Decr) Per Customer Per Month</t>
  </si>
  <si>
    <t>Revenues</t>
  </si>
  <si>
    <t xml:space="preserve">Present </t>
  </si>
  <si>
    <t>Energy Charge (per kWh)</t>
  </si>
  <si>
    <t>Demand Charge (per kW)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</si>
  <si>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</si>
  <si>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</si>
  <si>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</si>
  <si>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</si>
  <si>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</si>
  <si>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</si>
  <si>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</si>
  <si>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</si>
  <si>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</si>
  <si>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</si>
  <si>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</si>
  <si>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</si>
  <si>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</si>
  <si>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</si>
  <si>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</si>
  <si>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Over TY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</si>
  <si>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</si>
  <si>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</si>
  <si>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</si>
  <si>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</si>
  <si>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</si>
  <si>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</si>
  <si>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</si>
  <si>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</si>
  <si>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Percent</t>
  </si>
  <si>
    <t>Public Notice of Proposed Rate Revisions</t>
  </si>
  <si>
    <t>Average</t>
  </si>
  <si>
    <t>Usage (kWh)</t>
  </si>
  <si>
    <t>The amount of the change requested in both dollar amounts and percentage change for each customer classification to which the proposed rates will apply is set forth below:</t>
  </si>
  <si>
    <t>The amount of the average usage and the effect upon the average bill for each customer classification to which the proposed rates will apply is set forth below:</t>
  </si>
  <si>
    <t>Dollars</t>
  </si>
  <si>
    <t>#</t>
  </si>
  <si>
    <t xml:space="preserve">Energy </t>
  </si>
  <si>
    <t xml:space="preserve">Customer </t>
  </si>
  <si>
    <t>Present Base Rates</t>
  </si>
  <si>
    <t>Proposed Base Rates</t>
  </si>
  <si>
    <t>All Hours</t>
  </si>
  <si>
    <t xml:space="preserve">Residential </t>
  </si>
  <si>
    <t>NA</t>
  </si>
  <si>
    <t>List of Rate Schedules</t>
  </si>
  <si>
    <t>Reconciliation of Actual vs. Calculated Billings</t>
  </si>
  <si>
    <t>All Members</t>
  </si>
  <si>
    <t>AVG</t>
  </si>
  <si>
    <t>Residential</t>
  </si>
  <si>
    <t>Lighting</t>
  </si>
  <si>
    <t>Variance</t>
  </si>
  <si>
    <t>Current</t>
  </si>
  <si>
    <t>Annual kWh</t>
  </si>
  <si>
    <t>FAC Roll-In Incr(Decr)</t>
  </si>
  <si>
    <t>SubTotal</t>
  </si>
  <si>
    <t>Target Increase&gt;</t>
  </si>
  <si>
    <t>Variance&gt;</t>
  </si>
  <si>
    <t>Change due to FAC Roll-In&gt;</t>
  </si>
  <si>
    <t>No revisions are proposed to any other charges or Rate Schedules.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</si>
  <si>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</si>
  <si>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</si>
  <si>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</si>
  <si>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</si>
  <si>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</si>
  <si>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</si>
  <si>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</si>
  <si>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</si>
  <si>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</si>
  <si>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</si>
  <si>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</si>
  <si>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(1)</t>
  </si>
  <si>
    <t>(2)</t>
  </si>
  <si>
    <t>* Amount varies slightly from utility total due to rate riders.</t>
  </si>
  <si>
    <r>
      <t xml:space="preserve">Estimated Monthly Increase by KWH - Base Rates Only </t>
    </r>
    <r>
      <rPr>
        <b/>
        <vertAlign val="superscript"/>
        <sz val="14"/>
        <rFont val="Times New Roman"/>
        <family val="1"/>
      </rPr>
      <t>*</t>
    </r>
  </si>
  <si>
    <t>A</t>
  </si>
  <si>
    <t>B</t>
  </si>
  <si>
    <t>LP</t>
  </si>
  <si>
    <t>LPR</t>
  </si>
  <si>
    <t>SL</t>
  </si>
  <si>
    <t>reserved</t>
  </si>
  <si>
    <t>x</t>
  </si>
  <si>
    <t>Small Commercial</t>
  </si>
  <si>
    <t>Large Commercial</t>
  </si>
  <si>
    <t>Large Comm Rate</t>
  </si>
  <si>
    <t>Licking Valley R.E.C.C.</t>
  </si>
  <si>
    <t>MEMBERS</t>
  </si>
  <si>
    <t>Large Commercial &lt; 1000</t>
  </si>
  <si>
    <t>Large Comm Rate &lt; 1000</t>
  </si>
  <si>
    <t>Large Commercial &gt; 1000</t>
  </si>
  <si>
    <t>Large Comm Rate &gt; 1000</t>
  </si>
  <si>
    <t>ENERGY (KWH)</t>
  </si>
  <si>
    <t>Malone Whse</t>
  </si>
  <si>
    <t xml:space="preserve">TOTAL without Malone </t>
  </si>
  <si>
    <t>DEMAND (KW)</t>
  </si>
  <si>
    <t>REVENUE ($)</t>
  </si>
  <si>
    <t>Envirowatts</t>
  </si>
  <si>
    <t>FAC ($)</t>
  </si>
  <si>
    <t>Reported Rate:</t>
  </si>
  <si>
    <t>Calculated Rate:</t>
  </si>
  <si>
    <t>ES ($)</t>
  </si>
  <si>
    <t>Reported %</t>
  </si>
  <si>
    <t>DEMAND</t>
  </si>
  <si>
    <t>Per  kW</t>
  </si>
  <si>
    <t>Customer Charge (per month)</t>
  </si>
  <si>
    <t>Various</t>
  </si>
  <si>
    <t>25ft Wood Pole</t>
  </si>
  <si>
    <t>30ft Wood Pole</t>
  </si>
  <si>
    <t>175 Watt MV</t>
  </si>
  <si>
    <t>100 Watt Metal Halide</t>
  </si>
  <si>
    <t>250 Watt Metal Halide</t>
  </si>
  <si>
    <t>400 Watt Metal Halide</t>
  </si>
  <si>
    <t>68 Watt LED</t>
  </si>
  <si>
    <t>108 Watt LED</t>
  </si>
  <si>
    <t>202 Watt LED</t>
  </si>
  <si>
    <t>LIGHTS</t>
  </si>
  <si>
    <t>Residential A</t>
  </si>
  <si>
    <t>Small Commercial B</t>
  </si>
  <si>
    <t>Large Commercial LP</t>
  </si>
  <si>
    <t>Large Comm Rate LPR</t>
  </si>
  <si>
    <t>250 Watt Security Light</t>
  </si>
  <si>
    <t>400 Watt Security Light</t>
  </si>
  <si>
    <t>100 Watt Security Light</t>
  </si>
  <si>
    <t>25' Security Light Pole Rental</t>
  </si>
  <si>
    <t>30' Security Light Pole Rental</t>
  </si>
  <si>
    <t>68 Watt LED Security Light</t>
  </si>
  <si>
    <t>108 Watt LED Security Light</t>
  </si>
  <si>
    <t>175 Watt MV - Device 1</t>
  </si>
  <si>
    <t>Security Light</t>
  </si>
  <si>
    <t>Total by Light</t>
  </si>
  <si>
    <t>Lighting Revenue by Class ($)</t>
  </si>
  <si>
    <t>TOTAL $</t>
  </si>
  <si>
    <t>Books</t>
  </si>
  <si>
    <t>Var %</t>
  </si>
  <si>
    <t>REVENUE ($) with Lighting $ Moved to SL</t>
  </si>
  <si>
    <t>Customer Charge Per Month</t>
  </si>
  <si>
    <t xml:space="preserve">Energy Charge Per kWh </t>
  </si>
  <si>
    <t>Customer Charge Per Delivery Point</t>
  </si>
  <si>
    <t>Schedule A - Residential, Farm, Small Community Hall &amp; Church Service</t>
  </si>
  <si>
    <t>Schedule B - Commercial and Small Power Service</t>
  </si>
  <si>
    <t>Schedule for Large Power Service - LP</t>
  </si>
  <si>
    <t>Demand Charge Per kW</t>
  </si>
  <si>
    <t>Schedule for Large Power Rate - LPR</t>
  </si>
  <si>
    <t>Schedule SL (Security Lights and/or Rural Lighting)</t>
  </si>
  <si>
    <t>25 ft Wood Pole</t>
  </si>
  <si>
    <t>30 ft Wood Pole</t>
  </si>
  <si>
    <t>Prepay Service</t>
  </si>
  <si>
    <t>Rate Schedule A</t>
  </si>
  <si>
    <t>Consumer Facility Charge</t>
  </si>
  <si>
    <t>Prepay Service Fee</t>
  </si>
  <si>
    <t>Rate Schedule B</t>
  </si>
  <si>
    <t>REVENUE COMPONENTS</t>
  </si>
  <si>
    <t>C</t>
  </si>
  <si>
    <t>E</t>
  </si>
  <si>
    <t>D</t>
  </si>
  <si>
    <t>Sub 2</t>
  </si>
  <si>
    <t>Sub 8</t>
  </si>
  <si>
    <t>SYL</t>
  </si>
  <si>
    <t>ADJ</t>
  </si>
  <si>
    <t>10% Discount</t>
  </si>
  <si>
    <t>5% Discount</t>
  </si>
  <si>
    <t>Primary Discount</t>
  </si>
  <si>
    <t>Summary of Requested Rate Revisions</t>
  </si>
  <si>
    <t>Requested Rate Increase</t>
  </si>
  <si>
    <t>Revenue Increase per Cap $</t>
  </si>
  <si>
    <t>Revenue Increase per Cap %</t>
  </si>
  <si>
    <t>Actual Requested Increase $</t>
  </si>
  <si>
    <t>due to rate rounding</t>
  </si>
  <si>
    <t>Actual Requested Increase %</t>
  </si>
  <si>
    <t>Residential Rates</t>
  </si>
  <si>
    <t>Change</t>
  </si>
  <si>
    <t>Total Average Bill Increase $</t>
  </si>
  <si>
    <t>Total Average Bill Increase %</t>
  </si>
  <si>
    <t>Revenue Increase at 1.85 OTIER</t>
  </si>
  <si>
    <t>Cushion between OTIER and % Caps</t>
  </si>
  <si>
    <t>&lt; This is the amount needed to reach a 1.85 TIER</t>
  </si>
  <si>
    <t>&lt; This is how much the PSC could adjust out from our filing without changing our ask</t>
  </si>
  <si>
    <t>&lt; Ideally this would be 2.25% but due to small differences in my rate reproduction and the rounding it is slightly less</t>
  </si>
  <si>
    <t>Check FAC Roll-In Amounts: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</si>
</sst>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0"/>
    <numFmt numFmtId="166" formatCode="0.0%"/>
    <numFmt numFmtId="167" formatCode="0.000%"/>
    <numFmt numFmtId="168" formatCode="_(* #,##0_);_(* \(#,##0\);_(* &quot;-&quot;??_);_(@_)"/>
    <numFmt numFmtId="169" formatCode="_(* #,##0.00000_);_(* \(#,##0.00000\);_(* &quot;-&quot;??_);_(@_)"/>
    <numFmt numFmtId="170" formatCode="_(&quot;$&quot;* #,##0.00000_);_(&quot;$&quot;* \(#,##0.00000\);_(&quot;$&quot;* &quot;-&quot;??_);_(@_)"/>
    <numFmt numFmtId="171" formatCode="&quot;$&quot;#,##0.00"/>
    <numFmt numFmtId="172" formatCode="0.000000"/>
    <numFmt numFmtId="173" formatCode="&quot;$&quot;#,##0"/>
    <numFmt numFmtId="174" formatCode="_(* #,##0.000000_);_(* \(#,##0.000000\);_(* &quot;-&quot;??_);_(@_)"/>
    <numFmt numFmtId="175" formatCode="&quot;$&quot;#,##0.000000"/>
    <numFmt numFmtId="176" formatCode="_(* #,##0.0000_);_(* \(#,##0.000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99"/>
      <name val="Times New Roman"/>
      <family val="1"/>
    </font>
    <font>
      <i/>
      <sz val="10"/>
      <name val="Arial"/>
      <family val="2"/>
    </font>
    <font>
      <u/>
      <sz val="12"/>
      <name val="Times New Roman"/>
      <family val="1"/>
    </font>
    <font>
      <b/>
      <sz val="14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i/>
      <u/>
      <sz val="12"/>
      <name val="Times New Roman"/>
      <family val="1"/>
    </font>
    <font>
      <b/>
      <vertAlign val="superscript"/>
      <sz val="14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12" fillId="0" borderId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41" fontId="7" fillId="0" borderId="0" xfId="0" applyNumberFormat="1" applyFont="1"/>
    <xf numFmtId="44" fontId="7" fillId="0" borderId="0" xfId="4" applyNumberFormat="1" applyFont="1"/>
    <xf numFmtId="44" fontId="7" fillId="0" borderId="0" xfId="0" applyNumberFormat="1" applyFont="1"/>
    <xf numFmtId="164" fontId="7" fillId="0" borderId="0" xfId="0" applyNumberFormat="1" applyFont="1"/>
    <xf numFmtId="0" fontId="8" fillId="0" borderId="2" xfId="0" applyFont="1" applyBorder="1"/>
    <xf numFmtId="41" fontId="8" fillId="0" borderId="2" xfId="0" applyNumberFormat="1" applyFont="1" applyBorder="1"/>
    <xf numFmtId="168" fontId="7" fillId="0" borderId="0" xfId="1" applyNumberFormat="1" applyFont="1"/>
    <xf numFmtId="44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/>
    <xf numFmtId="168" fontId="7" fillId="0" borderId="0" xfId="0" applyNumberFormat="1" applyFont="1"/>
    <xf numFmtId="43" fontId="7" fillId="0" borderId="0" xfId="0" applyNumberFormat="1" applyFont="1"/>
    <xf numFmtId="164" fontId="7" fillId="0" borderId="0" xfId="9" applyNumberFormat="1" applyFont="1"/>
    <xf numFmtId="10" fontId="7" fillId="0" borderId="0" xfId="9" applyNumberFormat="1" applyFont="1" applyBorder="1"/>
    <xf numFmtId="164" fontId="7" fillId="0" borderId="3" xfId="0" applyNumberFormat="1" applyFont="1" applyBorder="1"/>
    <xf numFmtId="10" fontId="7" fillId="0" borderId="0" xfId="9" applyNumberFormat="1" applyFont="1"/>
    <xf numFmtId="43" fontId="7" fillId="0" borderId="0" xfId="1" applyFont="1"/>
    <xf numFmtId="0" fontId="7" fillId="0" borderId="0" xfId="0" applyFont="1" applyFill="1"/>
    <xf numFmtId="0" fontId="6" fillId="0" borderId="2" xfId="0" applyFont="1" applyBorder="1"/>
    <xf numFmtId="0" fontId="6" fillId="0" borderId="2" xfId="0" applyFont="1" applyBorder="1" applyAlignment="1">
      <alignment horizontal="right" wrapText="1"/>
    </xf>
    <xf numFmtId="164" fontId="7" fillId="0" borderId="0" xfId="4" applyNumberFormat="1" applyFont="1"/>
    <xf numFmtId="41" fontId="7" fillId="0" borderId="0" xfId="0" applyNumberFormat="1" applyFont="1" applyBorder="1"/>
    <xf numFmtId="165" fontId="7" fillId="0" borderId="0" xfId="0" applyNumberFormat="1" applyFont="1" applyBorder="1"/>
    <xf numFmtId="43" fontId="7" fillId="0" borderId="0" xfId="1" applyFont="1" applyBorder="1"/>
    <xf numFmtId="164" fontId="7" fillId="0" borderId="0" xfId="4" applyNumberFormat="1" applyFont="1" applyBorder="1" applyAlignment="1">
      <alignment horizontal="right"/>
    </xf>
    <xf numFmtId="0" fontId="6" fillId="0" borderId="0" xfId="0" applyFont="1" applyBorder="1"/>
    <xf numFmtId="44" fontId="7" fillId="0" borderId="0" xfId="4" applyNumberFormat="1" applyFont="1" applyBorder="1"/>
    <xf numFmtId="168" fontId="7" fillId="0" borderId="0" xfId="1" applyNumberFormat="1" applyFont="1" applyBorder="1"/>
    <xf numFmtId="168" fontId="7" fillId="0" borderId="2" xfId="1" applyNumberFormat="1" applyFont="1" applyBorder="1"/>
    <xf numFmtId="0" fontId="7" fillId="0" borderId="0" xfId="0" applyFont="1" applyFill="1" applyBorder="1"/>
    <xf numFmtId="41" fontId="7" fillId="0" borderId="0" xfId="0" applyNumberFormat="1" applyFont="1" applyBorder="1" applyAlignment="1">
      <alignment horizontal="right"/>
    </xf>
    <xf numFmtId="164" fontId="7" fillId="0" borderId="0" xfId="4" applyNumberFormat="1" applyFont="1" applyBorder="1"/>
    <xf numFmtId="168" fontId="7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17" fontId="7" fillId="0" borderId="0" xfId="0" applyNumberFormat="1" applyFont="1" applyBorder="1"/>
    <xf numFmtId="168" fontId="7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6" fillId="0" borderId="0" xfId="0" applyFont="1" applyFill="1"/>
    <xf numFmtId="41" fontId="7" fillId="0" borderId="0" xfId="0" applyNumberFormat="1" applyFont="1" applyFill="1"/>
    <xf numFmtId="168" fontId="7" fillId="0" borderId="0" xfId="1" applyNumberFormat="1" applyFont="1" applyFill="1"/>
    <xf numFmtId="164" fontId="7" fillId="0" borderId="0" xfId="0" applyNumberFormat="1" applyFont="1" applyFill="1" applyBorder="1"/>
    <xf numFmtId="168" fontId="7" fillId="0" borderId="0" xfId="1" applyNumberFormat="1" applyFont="1" applyFill="1" applyBorder="1"/>
    <xf numFmtId="165" fontId="7" fillId="0" borderId="0" xfId="0" applyNumberFormat="1" applyFont="1" applyFill="1"/>
    <xf numFmtId="10" fontId="7" fillId="0" borderId="0" xfId="9" applyNumberFormat="1" applyFont="1" applyFill="1" applyBorder="1"/>
    <xf numFmtId="44" fontId="7" fillId="0" borderId="0" xfId="4" applyFont="1"/>
    <xf numFmtId="172" fontId="7" fillId="0" borderId="0" xfId="0" applyNumberFormat="1" applyFont="1" applyBorder="1"/>
    <xf numFmtId="164" fontId="7" fillId="0" borderId="0" xfId="1" applyNumberFormat="1" applyFont="1"/>
    <xf numFmtId="164" fontId="7" fillId="0" borderId="0" xfId="4" applyNumberFormat="1" applyFont="1" applyFill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41" fontId="7" fillId="0" borderId="3" xfId="0" applyNumberFormat="1" applyFont="1" applyFill="1" applyBorder="1"/>
    <xf numFmtId="164" fontId="7" fillId="0" borderId="3" xfId="4" applyNumberFormat="1" applyFont="1" applyFill="1" applyBorder="1"/>
    <xf numFmtId="2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44" fontId="7" fillId="0" borderId="0" xfId="4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168" fontId="7" fillId="0" borderId="0" xfId="9" applyNumberFormat="1" applyFont="1"/>
    <xf numFmtId="168" fontId="7" fillId="0" borderId="0" xfId="0" applyNumberFormat="1" applyFont="1" applyFill="1" applyBorder="1" applyAlignment="1">
      <alignment horizontal="left"/>
    </xf>
    <xf numFmtId="10" fontId="7" fillId="0" borderId="0" xfId="9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7" fillId="0" borderId="0" xfId="5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41" fontId="7" fillId="0" borderId="0" xfId="0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164" fontId="7" fillId="0" borderId="0" xfId="4" applyNumberFormat="1" applyFont="1" applyFill="1"/>
    <xf numFmtId="10" fontId="7" fillId="0" borderId="0" xfId="9" applyNumberFormat="1" applyFont="1" applyFill="1"/>
    <xf numFmtId="41" fontId="7" fillId="0" borderId="0" xfId="0" applyNumberFormat="1" applyFont="1" applyFill="1" applyBorder="1" applyAlignment="1">
      <alignment horizontal="right"/>
    </xf>
    <xf numFmtId="44" fontId="7" fillId="0" borderId="0" xfId="4" applyNumberFormat="1" applyFont="1" applyFill="1"/>
    <xf numFmtId="0" fontId="10" fillId="0" borderId="0" xfId="0" applyFont="1" applyAlignment="1">
      <alignment horizontal="center"/>
    </xf>
    <xf numFmtId="0" fontId="8" fillId="0" borderId="0" xfId="0" applyFont="1" applyFill="1"/>
    <xf numFmtId="9" fontId="7" fillId="0" borderId="0" xfId="9" applyFont="1"/>
    <xf numFmtId="0" fontId="7" fillId="0" borderId="0" xfId="8" applyFont="1"/>
    <xf numFmtId="0" fontId="7" fillId="0" borderId="0" xfId="8" applyFont="1" applyFill="1"/>
    <xf numFmtId="0" fontId="10" fillId="0" borderId="0" xfId="8" applyFont="1"/>
    <xf numFmtId="0" fontId="6" fillId="0" borderId="0" xfId="8" applyFont="1"/>
    <xf numFmtId="0" fontId="6" fillId="0" borderId="0" xfId="8" applyFont="1" applyAlignment="1">
      <alignment horizontal="center"/>
    </xf>
    <xf numFmtId="0" fontId="7" fillId="0" borderId="0" xfId="7" applyFont="1" applyFill="1"/>
    <xf numFmtId="43" fontId="7" fillId="0" borderId="0" xfId="3" applyFont="1"/>
    <xf numFmtId="164" fontId="7" fillId="0" borderId="0" xfId="8" applyNumberFormat="1" applyFont="1" applyFill="1"/>
    <xf numFmtId="169" fontId="7" fillId="0" borderId="0" xfId="3" applyNumberFormat="1" applyFont="1"/>
    <xf numFmtId="0" fontId="7" fillId="2" borderId="0" xfId="7" applyFont="1" applyFill="1"/>
    <xf numFmtId="0" fontId="7" fillId="2" borderId="0" xfId="8" applyFont="1" applyFill="1"/>
    <xf numFmtId="164" fontId="7" fillId="2" borderId="0" xfId="5" applyNumberFormat="1" applyFont="1" applyFill="1"/>
    <xf numFmtId="0" fontId="7" fillId="0" borderId="0" xfId="8" applyFont="1" applyAlignment="1">
      <alignment horizontal="center"/>
    </xf>
    <xf numFmtId="166" fontId="7" fillId="0" borderId="0" xfId="12" applyNumberFormat="1" applyFont="1"/>
    <xf numFmtId="0" fontId="7" fillId="0" borderId="3" xfId="8" applyFont="1" applyBorder="1" applyAlignment="1">
      <alignment vertical="center"/>
    </xf>
    <xf numFmtId="164" fontId="7" fillId="0" borderId="3" xfId="8" applyNumberFormat="1" applyFont="1" applyBorder="1" applyAlignment="1">
      <alignment vertical="center"/>
    </xf>
    <xf numFmtId="164" fontId="7" fillId="0" borderId="3" xfId="8" applyNumberFormat="1" applyFont="1" applyFill="1" applyBorder="1" applyAlignment="1">
      <alignment vertical="center"/>
    </xf>
    <xf numFmtId="166" fontId="7" fillId="0" borderId="3" xfId="12" applyNumberFormat="1" applyFont="1" applyBorder="1" applyAlignment="1">
      <alignment vertical="center"/>
    </xf>
    <xf numFmtId="0" fontId="7" fillId="0" borderId="0" xfId="8" applyFont="1" applyAlignment="1">
      <alignment vertical="center"/>
    </xf>
    <xf numFmtId="166" fontId="7" fillId="0" borderId="0" xfId="8" applyNumberFormat="1" applyFont="1" applyFill="1"/>
    <xf numFmtId="164" fontId="7" fillId="0" borderId="0" xfId="8" applyNumberFormat="1" applyFont="1"/>
    <xf numFmtId="5" fontId="7" fillId="0" borderId="0" xfId="4" applyNumberFormat="1" applyFont="1" applyFill="1"/>
    <xf numFmtId="5" fontId="7" fillId="2" borderId="0" xfId="4" applyNumberFormat="1" applyFont="1" applyFill="1"/>
    <xf numFmtId="171" fontId="7" fillId="0" borderId="0" xfId="0" applyNumberFormat="1" applyFont="1" applyBorder="1"/>
    <xf numFmtId="0" fontId="7" fillId="0" borderId="0" xfId="1" applyNumberFormat="1" applyFont="1" applyFill="1" applyAlignment="1">
      <alignment horizontal="center"/>
    </xf>
    <xf numFmtId="0" fontId="7" fillId="0" borderId="0" xfId="11" applyNumberFormat="1" applyFont="1" applyFill="1" applyAlignment="1">
      <alignment horizontal="center"/>
    </xf>
    <xf numFmtId="0" fontId="7" fillId="2" borderId="0" xfId="11" applyNumberFormat="1" applyFont="1" applyFill="1" applyAlignment="1">
      <alignment horizontal="center"/>
    </xf>
    <xf numFmtId="10" fontId="7" fillId="2" borderId="0" xfId="11" applyNumberFormat="1" applyFont="1" applyFill="1" applyAlignment="1">
      <alignment horizontal="center"/>
    </xf>
    <xf numFmtId="0" fontId="7" fillId="0" borderId="3" xfId="8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/>
    <xf numFmtId="164" fontId="7" fillId="0" borderId="5" xfId="0" applyNumberFormat="1" applyFont="1" applyFill="1" applyBorder="1"/>
    <xf numFmtId="44" fontId="7" fillId="0" borderId="5" xfId="0" applyNumberFormat="1" applyFont="1" applyBorder="1"/>
    <xf numFmtId="164" fontId="7" fillId="0" borderId="5" xfId="9" applyNumberFormat="1" applyFont="1" applyBorder="1"/>
    <xf numFmtId="10" fontId="7" fillId="0" borderId="5" xfId="9" applyNumberFormat="1" applyFont="1" applyBorder="1"/>
    <xf numFmtId="168" fontId="7" fillId="0" borderId="5" xfId="1" applyNumberFormat="1" applyFont="1" applyBorder="1"/>
    <xf numFmtId="164" fontId="7" fillId="0" borderId="0" xfId="5" applyNumberFormat="1" applyFont="1" applyFill="1"/>
    <xf numFmtId="41" fontId="6" fillId="0" borderId="0" xfId="0" applyNumberFormat="1" applyFont="1" applyBorder="1" applyAlignment="1">
      <alignment horizontal="right" wrapText="1"/>
    </xf>
    <xf numFmtId="164" fontId="7" fillId="0" borderId="0" xfId="9" applyNumberFormat="1" applyFont="1" applyBorder="1"/>
    <xf numFmtId="0" fontId="8" fillId="0" borderId="2" xfId="0" applyFont="1" applyBorder="1" applyAlignment="1">
      <alignment horizontal="right" wrapText="1"/>
    </xf>
    <xf numFmtId="41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44" fontId="7" fillId="0" borderId="0" xfId="4" applyNumberFormat="1" applyFont="1" applyAlignment="1">
      <alignment horizontal="right"/>
    </xf>
    <xf numFmtId="171" fontId="7" fillId="0" borderId="0" xfId="0" applyNumberFormat="1" applyFont="1" applyBorder="1" applyAlignment="1">
      <alignment horizontal="right"/>
    </xf>
    <xf numFmtId="41" fontId="7" fillId="0" borderId="0" xfId="0" applyNumberFormat="1" applyFont="1" applyAlignment="1">
      <alignment horizontal="right"/>
    </xf>
    <xf numFmtId="0" fontId="6" fillId="0" borderId="0" xfId="8" applyFont="1" applyFill="1"/>
    <xf numFmtId="166" fontId="7" fillId="0" borderId="0" xfId="9" applyNumberFormat="1" applyFont="1" applyFill="1"/>
    <xf numFmtId="168" fontId="6" fillId="0" borderId="0" xfId="0" applyNumberFormat="1" applyFont="1" applyBorder="1" applyAlignment="1">
      <alignment horizontal="right" wrapText="1"/>
    </xf>
    <xf numFmtId="0" fontId="7" fillId="0" borderId="0" xfId="8" applyFont="1" applyAlignment="1">
      <alignment horizontal="right"/>
    </xf>
    <xf numFmtId="0" fontId="7" fillId="0" borderId="0" xfId="8" applyFont="1" applyBorder="1" applyAlignment="1">
      <alignment vertical="center"/>
    </xf>
    <xf numFmtId="0" fontId="7" fillId="0" borderId="0" xfId="8" applyFont="1" applyBorder="1" applyAlignment="1">
      <alignment horizontal="center" vertical="center"/>
    </xf>
    <xf numFmtId="164" fontId="7" fillId="0" borderId="0" xfId="8" applyNumberFormat="1" applyFont="1" applyBorder="1" applyAlignment="1">
      <alignment vertical="center"/>
    </xf>
    <xf numFmtId="164" fontId="7" fillId="0" borderId="0" xfId="8" applyNumberFormat="1" applyFont="1" applyFill="1" applyBorder="1" applyAlignment="1">
      <alignment vertical="center"/>
    </xf>
    <xf numFmtId="166" fontId="7" fillId="0" borderId="0" xfId="12" applyNumberFormat="1" applyFont="1" applyBorder="1" applyAlignment="1">
      <alignment vertical="center"/>
    </xf>
    <xf numFmtId="7" fontId="7" fillId="0" borderId="0" xfId="4" applyNumberFormat="1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5" fillId="0" borderId="0" xfId="7" applyFont="1" applyFill="1"/>
    <xf numFmtId="0" fontId="16" fillId="0" borderId="0" xfId="0" applyFont="1"/>
    <xf numFmtId="171" fontId="16" fillId="0" borderId="0" xfId="1" quotePrefix="1" applyNumberFormat="1" applyFont="1" applyBorder="1" applyAlignment="1">
      <alignment horizontal="center"/>
    </xf>
    <xf numFmtId="171" fontId="16" fillId="0" borderId="0" xfId="0" applyNumberFormat="1" applyFont="1"/>
    <xf numFmtId="173" fontId="16" fillId="0" borderId="0" xfId="0" applyNumberFormat="1" applyFont="1"/>
    <xf numFmtId="173" fontId="16" fillId="0" borderId="4" xfId="0" applyNumberFormat="1" applyFont="1" applyBorder="1"/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7" fillId="0" borderId="0" xfId="8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8" applyFont="1" applyFill="1" applyAlignment="1">
      <alignment horizontal="center"/>
    </xf>
    <xf numFmtId="0" fontId="7" fillId="0" borderId="0" xfId="8" applyFont="1" applyFill="1" applyAlignment="1">
      <alignment horizontal="center" vertical="center"/>
    </xf>
    <xf numFmtId="164" fontId="7" fillId="0" borderId="0" xfId="4" applyNumberFormat="1" applyFont="1" applyFill="1" applyBorder="1" applyAlignment="1">
      <alignment horizontal="right"/>
    </xf>
    <xf numFmtId="0" fontId="5" fillId="0" borderId="4" xfId="0" applyFont="1" applyFill="1" applyBorder="1"/>
    <xf numFmtId="0" fontId="10" fillId="0" borderId="0" xfId="15" applyFont="1"/>
    <xf numFmtId="0" fontId="5" fillId="0" borderId="0" xfId="15" applyAlignment="1">
      <alignment horizontal="center"/>
    </xf>
    <xf numFmtId="0" fontId="5" fillId="0" borderId="0" xfId="15"/>
    <xf numFmtId="0" fontId="10" fillId="0" borderId="0" xfId="15" applyFont="1" applyAlignment="1">
      <alignment horizontal="left"/>
    </xf>
    <xf numFmtId="0" fontId="13" fillId="0" borderId="8" xfId="15" applyFont="1" applyBorder="1" applyAlignment="1">
      <alignment horizontal="center" vertical="center"/>
    </xf>
    <xf numFmtId="0" fontId="13" fillId="0" borderId="9" xfId="15" applyFont="1" applyBorder="1" applyAlignment="1">
      <alignment horizontal="center" vertical="center"/>
    </xf>
    <xf numFmtId="0" fontId="13" fillId="0" borderId="29" xfId="15" applyFont="1" applyBorder="1" applyAlignment="1">
      <alignment horizontal="center" vertical="center"/>
    </xf>
    <xf numFmtId="0" fontId="13" fillId="0" borderId="30" xfId="15" applyFont="1" applyBorder="1" applyAlignment="1">
      <alignment horizontal="center" vertical="center"/>
    </xf>
    <xf numFmtId="0" fontId="13" fillId="0" borderId="31" xfId="15" applyFont="1" applyBorder="1" applyAlignment="1">
      <alignment horizontal="center" vertical="center"/>
    </xf>
    <xf numFmtId="0" fontId="13" fillId="0" borderId="31" xfId="15" applyFont="1" applyFill="1" applyBorder="1" applyAlignment="1">
      <alignment horizontal="center" vertical="center"/>
    </xf>
    <xf numFmtId="0" fontId="13" fillId="0" borderId="32" xfId="15" applyFont="1" applyFill="1" applyBorder="1" applyAlignment="1">
      <alignment horizontal="center" vertical="center"/>
    </xf>
    <xf numFmtId="0" fontId="13" fillId="0" borderId="0" xfId="15" applyFont="1"/>
    <xf numFmtId="0" fontId="13" fillId="0" borderId="10" xfId="15" applyFont="1" applyBorder="1" applyAlignment="1">
      <alignment horizontal="center" vertical="center"/>
    </xf>
    <xf numFmtId="0" fontId="13" fillId="0" borderId="11" xfId="15" applyFont="1" applyBorder="1" applyAlignment="1">
      <alignment horizontal="center" vertical="center"/>
    </xf>
    <xf numFmtId="44" fontId="19" fillId="0" borderId="11" xfId="15" applyNumberFormat="1" applyFont="1" applyBorder="1" applyAlignment="1">
      <alignment horizontal="center" vertical="center"/>
    </xf>
    <xf numFmtId="0" fontId="19" fillId="0" borderId="11" xfId="15" applyFont="1" applyBorder="1" applyAlignment="1">
      <alignment horizontal="center" vertical="center"/>
    </xf>
    <xf numFmtId="0" fontId="13" fillId="0" borderId="11" xfId="15" applyFont="1" applyFill="1" applyBorder="1" applyAlignment="1">
      <alignment horizontal="center" vertical="center"/>
    </xf>
    <xf numFmtId="0" fontId="13" fillId="0" borderId="33" xfId="15" applyFont="1" applyFill="1" applyBorder="1" applyAlignment="1">
      <alignment horizontal="center" vertical="center"/>
    </xf>
    <xf numFmtId="0" fontId="5" fillId="0" borderId="12" xfId="15" applyBorder="1" applyAlignment="1">
      <alignment horizontal="center"/>
    </xf>
    <xf numFmtId="168" fontId="0" fillId="0" borderId="13" xfId="16" applyNumberFormat="1" applyFont="1" applyBorder="1"/>
    <xf numFmtId="44" fontId="5" fillId="0" borderId="14" xfId="15" applyNumberFormat="1" applyFont="1" applyBorder="1"/>
    <xf numFmtId="44" fontId="5" fillId="0" borderId="0" xfId="15" applyNumberFormat="1" applyFont="1" applyBorder="1"/>
    <xf numFmtId="44" fontId="5" fillId="0" borderId="5" xfId="15" applyNumberFormat="1" applyFont="1" applyBorder="1"/>
    <xf numFmtId="44" fontId="5" fillId="0" borderId="14" xfId="17" applyFont="1" applyBorder="1"/>
    <xf numFmtId="44" fontId="5" fillId="0" borderId="5" xfId="17" applyNumberFormat="1" applyFont="1" applyBorder="1"/>
    <xf numFmtId="44" fontId="5" fillId="0" borderId="14" xfId="17" applyNumberFormat="1" applyFont="1" applyBorder="1"/>
    <xf numFmtId="166" fontId="5" fillId="0" borderId="15" xfId="18" applyNumberFormat="1" applyFont="1" applyBorder="1"/>
    <xf numFmtId="0" fontId="5" fillId="0" borderId="10" xfId="15" applyBorder="1" applyAlignment="1">
      <alignment horizontal="center"/>
    </xf>
    <xf numFmtId="44" fontId="5" fillId="0" borderId="16" xfId="15" applyNumberFormat="1" applyFont="1" applyBorder="1"/>
    <xf numFmtId="44" fontId="5" fillId="0" borderId="19" xfId="15" applyNumberFormat="1" applyFont="1" applyBorder="1"/>
    <xf numFmtId="44" fontId="5" fillId="0" borderId="17" xfId="15" applyNumberFormat="1" applyFont="1" applyBorder="1"/>
    <xf numFmtId="44" fontId="5" fillId="0" borderId="16" xfId="17" applyFont="1" applyBorder="1"/>
    <xf numFmtId="44" fontId="5" fillId="0" borderId="17" xfId="17" applyNumberFormat="1" applyFont="1" applyBorder="1"/>
    <xf numFmtId="44" fontId="5" fillId="0" borderId="16" xfId="17" applyNumberFormat="1" applyFont="1" applyBorder="1"/>
    <xf numFmtId="166" fontId="5" fillId="0" borderId="18" xfId="18" applyNumberFormat="1" applyFont="1" applyBorder="1"/>
    <xf numFmtId="168" fontId="5" fillId="0" borderId="16" xfId="1" applyNumberFormat="1" applyFont="1" applyBorder="1"/>
    <xf numFmtId="170" fontId="19" fillId="0" borderId="11" xfId="4" applyNumberFormat="1" applyFont="1" applyBorder="1" applyAlignment="1">
      <alignment horizontal="center" vertical="center"/>
    </xf>
    <xf numFmtId="0" fontId="5" fillId="0" borderId="0" xfId="8" applyFont="1" applyFill="1"/>
    <xf numFmtId="165" fontId="5" fillId="0" borderId="0" xfId="3" applyNumberFormat="1" applyFont="1" applyFill="1"/>
    <xf numFmtId="0" fontId="15" fillId="0" borderId="0" xfId="0" applyFont="1"/>
    <xf numFmtId="171" fontId="16" fillId="0" borderId="4" xfId="0" applyNumberFormat="1" applyFont="1" applyBorder="1"/>
    <xf numFmtId="0" fontId="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43" fontId="7" fillId="0" borderId="0" xfId="3" applyFont="1" applyFill="1"/>
    <xf numFmtId="169" fontId="7" fillId="0" borderId="0" xfId="3" applyNumberFormat="1" applyFont="1" applyFill="1"/>
    <xf numFmtId="171" fontId="5" fillId="0" borderId="0" xfId="1" applyNumberFormat="1" applyFont="1" applyFill="1"/>
    <xf numFmtId="43" fontId="18" fillId="0" borderId="0" xfId="3" applyFont="1" applyFill="1"/>
    <xf numFmtId="169" fontId="18" fillId="0" borderId="0" xfId="3" applyNumberFormat="1" applyFont="1" applyFill="1"/>
    <xf numFmtId="43" fontId="7" fillId="0" borderId="0" xfId="8" applyNumberFormat="1" applyFont="1"/>
    <xf numFmtId="9" fontId="7" fillId="0" borderId="0" xfId="8" applyNumberFormat="1" applyFont="1"/>
    <xf numFmtId="10" fontId="7" fillId="0" borderId="0" xfId="11" applyNumberFormat="1" applyFont="1" applyFill="1"/>
    <xf numFmtId="10" fontId="7" fillId="0" borderId="0" xfId="11" applyNumberFormat="1" applyFont="1"/>
    <xf numFmtId="10" fontId="7" fillId="2" borderId="0" xfId="11" applyNumberFormat="1" applyFont="1" applyFill="1"/>
    <xf numFmtId="10" fontId="7" fillId="0" borderId="3" xfId="12" applyNumberFormat="1" applyFont="1" applyBorder="1" applyAlignment="1">
      <alignment vertical="center"/>
    </xf>
    <xf numFmtId="2" fontId="6" fillId="0" borderId="0" xfId="8" applyNumberFormat="1" applyFont="1" applyAlignment="1">
      <alignment horizontal="center"/>
    </xf>
    <xf numFmtId="0" fontId="5" fillId="0" borderId="0" xfId="15" applyAlignment="1">
      <alignment vertical="center"/>
    </xf>
    <xf numFmtId="0" fontId="5" fillId="0" borderId="34" xfId="15" applyBorder="1" applyAlignment="1">
      <alignment horizontal="center" vertical="center"/>
    </xf>
    <xf numFmtId="168" fontId="0" fillId="0" borderId="35" xfId="16" applyNumberFormat="1" applyFont="1" applyBorder="1" applyAlignment="1">
      <alignment vertical="center"/>
    </xf>
    <xf numFmtId="44" fontId="5" fillId="0" borderId="36" xfId="15" applyNumberFormat="1" applyFont="1" applyBorder="1" applyAlignment="1">
      <alignment vertical="center"/>
    </xf>
    <xf numFmtId="44" fontId="5" fillId="0" borderId="37" xfId="15" applyNumberFormat="1" applyFont="1" applyBorder="1" applyAlignment="1">
      <alignment vertical="center"/>
    </xf>
    <xf numFmtId="44" fontId="5" fillId="0" borderId="38" xfId="15" applyNumberFormat="1" applyFont="1" applyBorder="1" applyAlignment="1">
      <alignment vertical="center"/>
    </xf>
    <xf numFmtId="44" fontId="5" fillId="0" borderId="36" xfId="17" applyFont="1" applyBorder="1" applyAlignment="1">
      <alignment vertical="center"/>
    </xf>
    <xf numFmtId="44" fontId="5" fillId="0" borderId="38" xfId="17" applyNumberFormat="1" applyFont="1" applyBorder="1" applyAlignment="1">
      <alignment vertical="center"/>
    </xf>
    <xf numFmtId="44" fontId="5" fillId="0" borderId="36" xfId="17" applyNumberFormat="1" applyFont="1" applyBorder="1" applyAlignment="1">
      <alignment vertical="center"/>
    </xf>
    <xf numFmtId="166" fontId="5" fillId="0" borderId="39" xfId="18" applyNumberFormat="1" applyFont="1" applyBorder="1" applyAlignment="1">
      <alignment vertical="center"/>
    </xf>
    <xf numFmtId="168" fontId="8" fillId="0" borderId="0" xfId="1" applyNumberFormat="1" applyFont="1"/>
    <xf numFmtId="0" fontId="8" fillId="0" borderId="0" xfId="0" applyFont="1" applyBorder="1" applyAlignment="1">
      <alignment horizontal="right"/>
    </xf>
    <xf numFmtId="168" fontId="8" fillId="0" borderId="0" xfId="0" applyNumberFormat="1" applyFont="1" applyBorder="1"/>
    <xf numFmtId="9" fontId="18" fillId="0" borderId="0" xfId="9" applyFont="1" applyFill="1"/>
    <xf numFmtId="9" fontId="18" fillId="0" borderId="0" xfId="3" applyNumberFormat="1" applyFont="1" applyFill="1"/>
    <xf numFmtId="9" fontId="7" fillId="0" borderId="0" xfId="9" applyFont="1" applyFill="1"/>
    <xf numFmtId="171" fontId="18" fillId="0" borderId="0" xfId="4" applyNumberFormat="1" applyFont="1" applyFill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20" fillId="0" borderId="0" xfId="8" applyFont="1"/>
    <xf numFmtId="167" fontId="7" fillId="0" borderId="0" xfId="12" applyNumberFormat="1" applyFont="1"/>
    <xf numFmtId="44" fontId="7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164" fontId="7" fillId="0" borderId="0" xfId="0" applyNumberFormat="1" applyFont="1" applyFill="1"/>
    <xf numFmtId="164" fontId="7" fillId="0" borderId="0" xfId="9" applyNumberFormat="1" applyFont="1" applyFill="1" applyBorder="1"/>
    <xf numFmtId="164" fontId="7" fillId="0" borderId="0" xfId="9" applyNumberFormat="1" applyFont="1" applyFill="1"/>
    <xf numFmtId="167" fontId="7" fillId="0" borderId="0" xfId="9" applyNumberFormat="1" applyFont="1" applyFill="1" applyBorder="1"/>
    <xf numFmtId="0" fontId="6" fillId="0" borderId="0" xfId="0" applyFont="1" applyFill="1" applyAlignment="1">
      <alignment horizontal="right"/>
    </xf>
    <xf numFmtId="0" fontId="6" fillId="0" borderId="1" xfId="0" applyFont="1" applyFill="1" applyBorder="1"/>
    <xf numFmtId="0" fontId="7" fillId="0" borderId="1" xfId="0" applyFont="1" applyFill="1" applyBorder="1"/>
    <xf numFmtId="168" fontId="7" fillId="0" borderId="1" xfId="1" applyNumberFormat="1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1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68" fontId="7" fillId="0" borderId="4" xfId="1" applyNumberFormat="1" applyFont="1" applyFill="1" applyBorder="1"/>
    <xf numFmtId="44" fontId="7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0" fontId="20" fillId="0" borderId="0" xfId="0" applyFont="1"/>
    <xf numFmtId="168" fontId="7" fillId="0" borderId="4" xfId="0" applyNumberFormat="1" applyFont="1" applyBorder="1"/>
    <xf numFmtId="164" fontId="7" fillId="0" borderId="0" xfId="8" applyNumberFormat="1" applyFont="1" applyAlignment="1">
      <alignment horizontal="right"/>
    </xf>
    <xf numFmtId="0" fontId="21" fillId="0" borderId="0" xfId="0" applyFont="1"/>
    <xf numFmtId="168" fontId="5" fillId="0" borderId="0" xfId="1" applyNumberFormat="1" applyFont="1"/>
    <xf numFmtId="164" fontId="7" fillId="0" borderId="0" xfId="8" applyNumberFormat="1" applyFont="1" applyAlignment="1">
      <alignment horizontal="left"/>
    </xf>
    <xf numFmtId="10" fontId="16" fillId="0" borderId="0" xfId="9" applyNumberFormat="1" applyFont="1"/>
    <xf numFmtId="10" fontId="16" fillId="0" borderId="4" xfId="9" applyNumberFormat="1" applyFont="1" applyBorder="1"/>
    <xf numFmtId="168" fontId="5" fillId="0" borderId="0" xfId="1" applyNumberFormat="1" applyFont="1" applyAlignment="1">
      <alignment horizontal="right"/>
    </xf>
    <xf numFmtId="168" fontId="5" fillId="0" borderId="4" xfId="1" applyNumberFormat="1" applyFont="1" applyBorder="1" applyAlignment="1">
      <alignment horizontal="right"/>
    </xf>
    <xf numFmtId="0" fontId="6" fillId="0" borderId="0" xfId="8" applyFont="1" applyBorder="1"/>
    <xf numFmtId="0" fontId="6" fillId="0" borderId="0" xfId="8" applyFont="1" applyBorder="1" applyAlignment="1">
      <alignment horizontal="center"/>
    </xf>
    <xf numFmtId="0" fontId="6" fillId="0" borderId="0" xfId="8" applyFont="1" applyBorder="1" applyAlignment="1">
      <alignment horizontal="right"/>
    </xf>
    <xf numFmtId="0" fontId="6" fillId="0" borderId="0" xfId="8" applyFont="1" applyFill="1" applyBorder="1" applyAlignment="1">
      <alignment horizontal="right"/>
    </xf>
    <xf numFmtId="0" fontId="6" fillId="2" borderId="0" xfId="8" applyFont="1" applyFill="1"/>
    <xf numFmtId="0" fontId="6" fillId="2" borderId="0" xfId="8" applyFont="1" applyFill="1" applyAlignment="1">
      <alignment horizontal="center"/>
    </xf>
    <xf numFmtId="0" fontId="6" fillId="2" borderId="0" xfId="8" applyFont="1" applyFill="1" applyBorder="1"/>
    <xf numFmtId="0" fontId="6" fillId="0" borderId="0" xfId="8" applyFont="1" applyFill="1" applyBorder="1" applyAlignment="1">
      <alignment horizontal="center"/>
    </xf>
    <xf numFmtId="0" fontId="6" fillId="2" borderId="0" xfId="8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3" fillId="0" borderId="0" xfId="0" applyFont="1" applyFill="1"/>
    <xf numFmtId="0" fontId="24" fillId="0" borderId="2" xfId="8" applyFont="1" applyBorder="1" applyAlignment="1">
      <alignment horizontal="center"/>
    </xf>
    <xf numFmtId="0" fontId="7" fillId="0" borderId="0" xfId="8" applyFont="1" applyBorder="1"/>
    <xf numFmtId="0" fontId="6" fillId="0" borderId="0" xfId="8" applyFont="1" applyBorder="1" applyAlignment="1"/>
    <xf numFmtId="0" fontId="24" fillId="0" borderId="2" xfId="8" quotePrefix="1" applyFont="1" applyBorder="1" applyAlignment="1">
      <alignment horizontal="center"/>
    </xf>
    <xf numFmtId="9" fontId="16" fillId="0" borderId="0" xfId="9" applyNumberFormat="1" applyFont="1"/>
    <xf numFmtId="0" fontId="16" fillId="0" borderId="4" xfId="0" applyFont="1" applyBorder="1"/>
    <xf numFmtId="0" fontId="13" fillId="0" borderId="2" xfId="0" applyFont="1" applyFill="1" applyBorder="1"/>
    <xf numFmtId="0" fontId="16" fillId="0" borderId="2" xfId="0" applyFont="1" applyBorder="1"/>
    <xf numFmtId="171" fontId="7" fillId="0" borderId="0" xfId="1" applyNumberFormat="1" applyFont="1" applyFill="1"/>
    <xf numFmtId="171" fontId="8" fillId="0" borderId="0" xfId="1" applyNumberFormat="1" applyFont="1" applyFill="1"/>
    <xf numFmtId="41" fontId="7" fillId="0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Fill="1" applyBorder="1" applyAlignment="1"/>
    <xf numFmtId="44" fontId="7" fillId="0" borderId="0" xfId="0" applyNumberFormat="1" applyFont="1" applyFill="1" applyBorder="1"/>
    <xf numFmtId="41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quotePrefix="1" applyFont="1" applyFill="1" applyBorder="1"/>
    <xf numFmtId="168" fontId="7" fillId="0" borderId="0" xfId="0" applyNumberFormat="1" applyFont="1" applyFill="1" applyBorder="1"/>
    <xf numFmtId="165" fontId="7" fillId="0" borderId="0" xfId="0" applyNumberFormat="1" applyFont="1" applyFill="1" applyBorder="1"/>
    <xf numFmtId="0" fontId="7" fillId="0" borderId="0" xfId="0" applyNumberFormat="1" applyFont="1" applyAlignment="1">
      <alignment horizontal="center"/>
    </xf>
    <xf numFmtId="168" fontId="25" fillId="0" borderId="0" xfId="1" applyNumberFormat="1" applyFont="1" applyFill="1"/>
    <xf numFmtId="44" fontId="8" fillId="0" borderId="0" xfId="4" applyFont="1" applyFill="1"/>
    <xf numFmtId="168" fontId="7" fillId="0" borderId="2" xfId="1" applyNumberFormat="1" applyFont="1" applyFill="1" applyBorder="1"/>
    <xf numFmtId="0" fontId="5" fillId="0" borderId="0" xfId="15" applyAlignment="1">
      <alignment horizontal="left"/>
    </xf>
    <xf numFmtId="0" fontId="27" fillId="0" borderId="0" xfId="20" applyFont="1" applyAlignment="1">
      <alignment horizontal="left" vertical="center"/>
    </xf>
    <xf numFmtId="0" fontId="28" fillId="0" borderId="0" xfId="20" applyFont="1" applyAlignment="1">
      <alignment horizontal="center" vertical="center"/>
    </xf>
    <xf numFmtId="0" fontId="28" fillId="0" borderId="0" xfId="20" applyFont="1" applyAlignment="1">
      <alignment horizontal="right" vertical="center"/>
    </xf>
    <xf numFmtId="0" fontId="28" fillId="0" borderId="0" xfId="20" applyFont="1" applyAlignment="1">
      <alignment vertical="center"/>
    </xf>
    <xf numFmtId="0" fontId="29" fillId="0" borderId="0" xfId="20" applyFont="1" applyAlignment="1">
      <alignment horizontal="left" vertical="center"/>
    </xf>
    <xf numFmtId="0" fontId="29" fillId="0" borderId="0" xfId="20" applyFont="1" applyAlignment="1">
      <alignment horizontal="center" vertical="center"/>
    </xf>
    <xf numFmtId="17" fontId="29" fillId="0" borderId="0" xfId="20" applyNumberFormat="1" applyFont="1" applyAlignment="1">
      <alignment horizontal="right" vertical="center"/>
    </xf>
    <xf numFmtId="0" fontId="29" fillId="0" borderId="0" xfId="20" applyFont="1" applyAlignment="1">
      <alignment horizontal="right" vertical="center"/>
    </xf>
    <xf numFmtId="0" fontId="28" fillId="0" borderId="0" xfId="20" applyFont="1" applyAlignment="1">
      <alignment horizontal="left" vertical="center"/>
    </xf>
    <xf numFmtId="168" fontId="30" fillId="3" borderId="0" xfId="21" applyNumberFormat="1" applyFont="1" applyFill="1" applyAlignment="1">
      <alignment horizontal="right" vertical="center"/>
    </xf>
    <xf numFmtId="168" fontId="28" fillId="0" borderId="0" xfId="21" applyNumberFormat="1" applyFont="1" applyAlignment="1">
      <alignment horizontal="right" vertical="center"/>
    </xf>
    <xf numFmtId="0" fontId="28" fillId="0" borderId="4" xfId="20" applyFont="1" applyBorder="1" applyAlignment="1">
      <alignment horizontal="left" vertical="center"/>
    </xf>
    <xf numFmtId="0" fontId="28" fillId="0" borderId="4" xfId="20" applyFont="1" applyBorder="1" applyAlignment="1">
      <alignment horizontal="center" vertical="center"/>
    </xf>
    <xf numFmtId="168" fontId="28" fillId="0" borderId="4" xfId="21" applyNumberFormat="1" applyFont="1" applyBorder="1" applyAlignment="1">
      <alignment horizontal="right" vertical="center"/>
    </xf>
    <xf numFmtId="168" fontId="28" fillId="0" borderId="0" xfId="20" applyNumberFormat="1" applyFont="1" applyAlignment="1">
      <alignment horizontal="right" vertical="center"/>
    </xf>
    <xf numFmtId="174" fontId="28" fillId="0" borderId="0" xfId="21" applyNumberFormat="1" applyFont="1" applyBorder="1" applyAlignment="1">
      <alignment horizontal="right" vertical="center"/>
    </xf>
    <xf numFmtId="174" fontId="28" fillId="4" borderId="0" xfId="21" applyNumberFormat="1" applyFont="1" applyFill="1" applyBorder="1" applyAlignment="1">
      <alignment horizontal="right" vertical="center"/>
    </xf>
    <xf numFmtId="174" fontId="28" fillId="0" borderId="0" xfId="21" applyNumberFormat="1" applyFont="1" applyAlignment="1">
      <alignment horizontal="right" vertical="center"/>
    </xf>
    <xf numFmtId="174" fontId="28" fillId="4" borderId="0" xfId="21" applyNumberFormat="1" applyFont="1" applyFill="1" applyAlignment="1">
      <alignment horizontal="right" vertical="center"/>
    </xf>
    <xf numFmtId="10" fontId="28" fillId="0" borderId="0" xfId="20" applyNumberFormat="1" applyFont="1" applyAlignment="1">
      <alignment horizontal="right" vertical="center"/>
    </xf>
    <xf numFmtId="0" fontId="28" fillId="4" borderId="0" xfId="20" applyFont="1" applyFill="1" applyAlignment="1">
      <alignment horizontal="right" vertical="center"/>
    </xf>
    <xf numFmtId="10" fontId="28" fillId="0" borderId="0" xfId="22" applyNumberFormat="1" applyFont="1" applyBorder="1" applyAlignment="1">
      <alignment horizontal="right" vertical="center"/>
    </xf>
    <xf numFmtId="0" fontId="28" fillId="5" borderId="0" xfId="20" applyFont="1" applyFill="1" applyAlignment="1">
      <alignment horizontal="left" vertical="center"/>
    </xf>
    <xf numFmtId="0" fontId="28" fillId="5" borderId="0" xfId="20" applyFont="1" applyFill="1" applyAlignment="1">
      <alignment horizontal="center" vertical="center"/>
    </xf>
    <xf numFmtId="0" fontId="28" fillId="5" borderId="0" xfId="20" applyFont="1" applyFill="1" applyAlignment="1">
      <alignment horizontal="right" vertical="center"/>
    </xf>
    <xf numFmtId="0" fontId="28" fillId="5" borderId="0" xfId="20" applyFont="1" applyFill="1" applyAlignment="1">
      <alignment vertical="center"/>
    </xf>
    <xf numFmtId="0" fontId="31" fillId="0" borderId="0" xfId="20" applyFont="1"/>
    <xf numFmtId="0" fontId="31" fillId="0" borderId="0" xfId="20" applyFont="1" applyAlignment="1">
      <alignment horizontal="center"/>
    </xf>
    <xf numFmtId="168" fontId="28" fillId="0" borderId="4" xfId="20" applyNumberFormat="1" applyFont="1" applyBorder="1" applyAlignment="1">
      <alignment horizontal="right" vertical="center"/>
    </xf>
    <xf numFmtId="0" fontId="32" fillId="2" borderId="0" xfId="8" applyFont="1" applyFill="1"/>
    <xf numFmtId="43" fontId="8" fillId="0" borderId="2" xfId="1" applyFont="1" applyBorder="1" applyAlignment="1">
      <alignment horizontal="right"/>
    </xf>
    <xf numFmtId="171" fontId="7" fillId="0" borderId="0" xfId="0" applyNumberFormat="1" applyFont="1" applyBorder="1" applyAlignment="1">
      <alignment vertical="top"/>
    </xf>
    <xf numFmtId="174" fontId="7" fillId="0" borderId="0" xfId="3" applyNumberFormat="1" applyFont="1"/>
    <xf numFmtId="0" fontId="28" fillId="6" borderId="0" xfId="20" applyFont="1" applyFill="1" applyAlignment="1">
      <alignment horizontal="left" vertical="center"/>
    </xf>
    <xf numFmtId="0" fontId="28" fillId="6" borderId="0" xfId="20" applyFont="1" applyFill="1" applyAlignment="1">
      <alignment horizontal="center" vertical="center"/>
    </xf>
    <xf numFmtId="0" fontId="28" fillId="6" borderId="0" xfId="20" applyFont="1" applyFill="1" applyAlignment="1">
      <alignment horizontal="right" vertical="center"/>
    </xf>
    <xf numFmtId="0" fontId="28" fillId="6" borderId="0" xfId="20" applyFont="1" applyFill="1" applyAlignment="1">
      <alignment vertical="center"/>
    </xf>
    <xf numFmtId="0" fontId="33" fillId="0" borderId="0" xfId="20" applyFont="1" applyAlignment="1">
      <alignment horizontal="left" vertical="center"/>
    </xf>
    <xf numFmtId="168" fontId="28" fillId="0" borderId="0" xfId="1" applyNumberFormat="1" applyFont="1" applyAlignment="1">
      <alignment horizontal="right" vertical="center"/>
    </xf>
    <xf numFmtId="168" fontId="28" fillId="0" borderId="4" xfId="1" applyNumberFormat="1" applyFont="1" applyBorder="1" applyAlignment="1">
      <alignment horizontal="right" vertical="center"/>
    </xf>
    <xf numFmtId="164" fontId="7" fillId="0" borderId="4" xfId="4" applyNumberFormat="1" applyFont="1" applyFill="1" applyBorder="1"/>
    <xf numFmtId="164" fontId="28" fillId="0" borderId="0" xfId="4" applyNumberFormat="1" applyFont="1" applyAlignment="1">
      <alignment horizontal="right" vertical="center"/>
    </xf>
    <xf numFmtId="164" fontId="28" fillId="0" borderId="4" xfId="20" applyNumberFormat="1" applyFont="1" applyBorder="1" applyAlignment="1">
      <alignment horizontal="right" vertical="center"/>
    </xf>
    <xf numFmtId="164" fontId="28" fillId="0" borderId="4" xfId="4" applyNumberFormat="1" applyFont="1" applyBorder="1" applyAlignment="1">
      <alignment horizontal="right" vertical="center"/>
    </xf>
    <xf numFmtId="164" fontId="28" fillId="0" borderId="0" xfId="20" applyNumberFormat="1" applyFont="1" applyAlignment="1">
      <alignment horizontal="right" vertical="center"/>
    </xf>
    <xf numFmtId="10" fontId="7" fillId="0" borderId="3" xfId="9" applyNumberFormat="1" applyFont="1" applyFill="1" applyBorder="1"/>
    <xf numFmtId="168" fontId="28" fillId="0" borderId="0" xfId="20" applyNumberFormat="1" applyFont="1" applyFill="1" applyAlignment="1">
      <alignment horizontal="right" vertical="center"/>
    </xf>
    <xf numFmtId="0" fontId="34" fillId="0" borderId="0" xfId="20" applyFont="1" applyAlignment="1">
      <alignment horizontal="right" vertical="center"/>
    </xf>
    <xf numFmtId="166" fontId="28" fillId="0" borderId="0" xfId="9" applyNumberFormat="1" applyFont="1" applyAlignment="1">
      <alignment horizontal="right" vertical="center"/>
    </xf>
    <xf numFmtId="164" fontId="7" fillId="0" borderId="0" xfId="4" applyNumberFormat="1" applyFont="1" applyAlignment="1">
      <alignment horizontal="right"/>
    </xf>
    <xf numFmtId="0" fontId="7" fillId="0" borderId="4" xfId="8" applyFont="1" applyBorder="1"/>
    <xf numFmtId="164" fontId="7" fillId="0" borderId="4" xfId="4" applyNumberFormat="1" applyFont="1" applyBorder="1"/>
    <xf numFmtId="168" fontId="31" fillId="0" borderId="0" xfId="1" applyNumberFormat="1" applyFont="1" applyAlignment="1">
      <alignment horizontal="right" vertical="center"/>
    </xf>
    <xf numFmtId="168" fontId="31" fillId="0" borderId="0" xfId="20" applyNumberFormat="1" applyFont="1" applyFill="1" applyAlignment="1">
      <alignment horizontal="right" vertical="center"/>
    </xf>
    <xf numFmtId="175" fontId="5" fillId="0" borderId="0" xfId="3" applyNumberFormat="1" applyFont="1" applyFill="1"/>
    <xf numFmtId="171" fontId="5" fillId="0" borderId="0" xfId="3" applyNumberFormat="1" applyFont="1" applyFill="1"/>
    <xf numFmtId="43" fontId="7" fillId="0" borderId="0" xfId="3" applyNumberFormat="1" applyFont="1"/>
    <xf numFmtId="0" fontId="15" fillId="0" borderId="0" xfId="8" applyFont="1" applyFill="1"/>
    <xf numFmtId="43" fontId="28" fillId="0" borderId="0" xfId="20" applyNumberFormat="1" applyFont="1" applyAlignment="1">
      <alignment horizontal="center" vertical="center"/>
    </xf>
    <xf numFmtId="43" fontId="28" fillId="0" borderId="4" xfId="1" applyFont="1" applyBorder="1" applyAlignment="1">
      <alignment horizontal="center" vertical="center"/>
    </xf>
    <xf numFmtId="43" fontId="28" fillId="0" borderId="0" xfId="1" applyFont="1" applyAlignment="1">
      <alignment horizontal="center" vertical="center"/>
    </xf>
    <xf numFmtId="168" fontId="28" fillId="0" borderId="0" xfId="1" applyNumberFormat="1" applyFont="1" applyAlignment="1">
      <alignment horizontal="center" vertical="center"/>
    </xf>
    <xf numFmtId="43" fontId="28" fillId="0" borderId="0" xfId="20" applyNumberFormat="1" applyFont="1" applyAlignment="1">
      <alignment horizontal="right" vertical="center"/>
    </xf>
    <xf numFmtId="43" fontId="28" fillId="0" borderId="0" xfId="1" applyFont="1" applyAlignment="1">
      <alignment horizontal="right" vertical="center"/>
    </xf>
    <xf numFmtId="10" fontId="28" fillId="0" borderId="0" xfId="9" applyNumberFormat="1" applyFont="1" applyAlignment="1">
      <alignment horizontal="right" vertical="center"/>
    </xf>
    <xf numFmtId="0" fontId="31" fillId="0" borderId="0" xfId="20" applyFont="1" applyAlignment="1">
      <alignment horizontal="center" vertical="center"/>
    </xf>
    <xf numFmtId="176" fontId="7" fillId="0" borderId="0" xfId="1" applyNumberFormat="1" applyFont="1"/>
    <xf numFmtId="0" fontId="17" fillId="0" borderId="0" xfId="23" applyFont="1"/>
    <xf numFmtId="0" fontId="16" fillId="0" borderId="0" xfId="23" applyFont="1"/>
    <xf numFmtId="164" fontId="5" fillId="0" borderId="0" xfId="24" applyNumberFormat="1" applyFont="1" applyFill="1" applyBorder="1"/>
    <xf numFmtId="10" fontId="5" fillId="0" borderId="0" xfId="23" applyNumberFormat="1" applyFont="1"/>
    <xf numFmtId="164" fontId="5" fillId="0" borderId="40" xfId="24" applyNumberFormat="1" applyFont="1" applyFill="1" applyBorder="1"/>
    <xf numFmtId="10" fontId="5" fillId="0" borderId="30" xfId="23" applyNumberFormat="1" applyFont="1" applyBorder="1"/>
    <xf numFmtId="0" fontId="35" fillId="0" borderId="0" xfId="23" applyFont="1"/>
    <xf numFmtId="0" fontId="36" fillId="0" borderId="0" xfId="23" applyFont="1" applyAlignment="1">
      <alignment horizontal="right"/>
    </xf>
    <xf numFmtId="44" fontId="16" fillId="0" borderId="0" xfId="23" applyNumberFormat="1" applyFont="1"/>
    <xf numFmtId="170" fontId="16" fillId="0" borderId="0" xfId="24" applyNumberFormat="1" applyFont="1"/>
    <xf numFmtId="9" fontId="16" fillId="0" borderId="0" xfId="23" applyNumberFormat="1" applyFont="1"/>
    <xf numFmtId="10" fontId="16" fillId="0" borderId="0" xfId="24" applyNumberFormat="1" applyFont="1"/>
    <xf numFmtId="44" fontId="16" fillId="0" borderId="0" xfId="25" applyNumberFormat="1" applyFont="1"/>
    <xf numFmtId="10" fontId="5" fillId="0" borderId="0" xfId="23" applyNumberFormat="1" applyFont="1" applyBorder="1"/>
    <xf numFmtId="164" fontId="5" fillId="0" borderId="0" xfId="4" applyNumberFormat="1" applyFont="1" applyBorder="1"/>
    <xf numFmtId="9" fontId="7" fillId="0" borderId="0" xfId="0" applyNumberFormat="1" applyFont="1"/>
    <xf numFmtId="0" fontId="7" fillId="0" borderId="2" xfId="8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8" applyFont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25" xfId="15" applyFont="1" applyBorder="1" applyAlignment="1">
      <alignment horizontal="center" vertical="center"/>
    </xf>
    <xf numFmtId="0" fontId="13" fillId="0" borderId="26" xfId="15" applyFont="1" applyBorder="1" applyAlignment="1">
      <alignment horizontal="center" vertical="center"/>
    </xf>
    <xf numFmtId="0" fontId="13" fillId="0" borderId="27" xfId="15" applyFont="1" applyBorder="1" applyAlignment="1">
      <alignment horizontal="center" vertical="center"/>
    </xf>
    <xf numFmtId="0" fontId="13" fillId="0" borderId="27" xfId="15" applyFont="1" applyFill="1" applyBorder="1" applyAlignment="1">
      <alignment horizontal="center" vertical="center"/>
    </xf>
    <xf numFmtId="0" fontId="13" fillId="0" borderId="28" xfId="1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171" fontId="7" fillId="0" borderId="0" xfId="1" applyNumberFormat="1" applyFont="1"/>
    <xf numFmtId="164" fontId="6" fillId="3" borderId="0" xfId="4" applyNumberFormat="1" applyFont="1" applyFill="1"/>
    <xf numFmtId="2" fontId="7" fillId="0" borderId="0" xfId="0" applyNumberFormat="1" applyFont="1" applyFill="1" applyBorder="1" applyAlignment="1">
      <alignment horizontal="right"/>
    </xf>
    <xf numFmtId="171" fontId="32" fillId="3" borderId="0" xfId="1" applyNumberFormat="1" applyFont="1" applyFill="1"/>
    <xf numFmtId="0" fontId="6" fillId="0" borderId="0" xfId="8" applyFont="1" applyFill="1" applyBorder="1" applyAlignment="1"/>
  </cellXfs>
  <cellStyles count="26">
    <cellStyle name="Comma" xfId="1" builtinId="3"/>
    <cellStyle name="Comma 2" xfId="2" xr:uid="{00000000-0005-0000-0000-000001000000}"/>
    <cellStyle name="Comma 3" xfId="3" xr:uid="{00000000-0005-0000-0000-000002000000}"/>
    <cellStyle name="Comma 3 2" xfId="16" xr:uid="{00000000-0005-0000-0000-000003000000}"/>
    <cellStyle name="Comma 4" xfId="14" xr:uid="{00000000-0005-0000-0000-000004000000}"/>
    <cellStyle name="Comma 5" xfId="21" xr:uid="{13A5DCFB-A2B3-470D-AA3B-30CEB44A49F7}"/>
    <cellStyle name="Currency" xfId="4" builtinId="4"/>
    <cellStyle name="Currency 2" xfId="5" xr:uid="{00000000-0005-0000-0000-000006000000}"/>
    <cellStyle name="Currency 2 2" xfId="17" xr:uid="{00000000-0005-0000-0000-000007000000}"/>
    <cellStyle name="Currency 3" xfId="6" xr:uid="{00000000-0005-0000-0000-000008000000}"/>
    <cellStyle name="Currency 4" xfId="24" xr:uid="{474135F7-C76A-4AC1-A700-35380A3E4322}"/>
    <cellStyle name="Normal" xfId="0" builtinId="0"/>
    <cellStyle name="Normal 2" xfId="7" xr:uid="{00000000-0005-0000-0000-00000A000000}"/>
    <cellStyle name="Normal 2 2" xfId="15" xr:uid="{00000000-0005-0000-0000-00000B000000}"/>
    <cellStyle name="Normal 3" xfId="8" xr:uid="{00000000-0005-0000-0000-00000C000000}"/>
    <cellStyle name="Normal 4" xfId="13" xr:uid="{00000000-0005-0000-0000-00000D000000}"/>
    <cellStyle name="Normal 5" xfId="20" xr:uid="{2E76F7CD-04C6-4092-A702-142FEDC9FED7}"/>
    <cellStyle name="Normal 5 2" xfId="23" xr:uid="{759FB45A-FBCE-4F0B-9CDA-3E148E8B9870}"/>
    <cellStyle name="Percent" xfId="9" builtinId="5"/>
    <cellStyle name="Percent 2" xfId="10" xr:uid="{00000000-0005-0000-0000-00000F000000}"/>
    <cellStyle name="Percent 2 2" xfId="11" xr:uid="{00000000-0005-0000-0000-000010000000}"/>
    <cellStyle name="Percent 3" xfId="12" xr:uid="{00000000-0005-0000-0000-000011000000}"/>
    <cellStyle name="Percent 3 2" xfId="18" xr:uid="{00000000-0005-0000-0000-000012000000}"/>
    <cellStyle name="Percent 4" xfId="19" xr:uid="{00000000-0005-0000-0000-000013000000}"/>
    <cellStyle name="Percent 5" xfId="22" xr:uid="{4C98C88A-21DE-4E44-8B24-FB76A1BB4A39}"/>
    <cellStyle name="Percent 5 2" xfId="25" xr:uid="{E5E34816-633A-422C-8E42-1E83E6F36FF5}"/>
  </cellStyles>
  <dxfs count="0"/>
  <tableStyles count="0" defaultTableStyle="TableStyleMedium9" defaultPivotStyle="PivotStyleLight16"/>
  <colors>
    <mruColors>
      <color rgb="FFFFFFCC"/>
      <color rgb="FF0000FF"/>
      <color rgb="FF00009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holly\Local%20Settings\Temporary%20Internet%20Files\OLK2A\Clark%20Energy%20Model%202009%2007-29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edger Master"/>
      <sheetName val="Exec Drivers"/>
      <sheetName val="Global Inputs"/>
      <sheetName val="Start"/>
      <sheetName val="Revenue"/>
      <sheetName val="Purch Power"/>
      <sheetName val="Misc Revenue"/>
      <sheetName val="O&amp;M"/>
      <sheetName val="Misc Exp"/>
      <sheetName val="Cnst&amp;Plt"/>
      <sheetName val="RUS Debt (1)"/>
      <sheetName val="RUS Debt (2)"/>
      <sheetName val="CFC Debt"/>
      <sheetName val="FFB Debt"/>
      <sheetName val="End"/>
      <sheetName val="Consolidation"/>
      <sheetName val="Fin Rpts"/>
      <sheetName val="Var Rpt"/>
      <sheetName val="Budget Inc Rpt"/>
      <sheetName val="Actuals"/>
      <sheetName val="Variance"/>
      <sheetName val="Budget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K71"/>
  <sheetViews>
    <sheetView tabSelected="1" zoomScale="75" zoomScaleNormal="75" workbookViewId="0">
      <selection activeCell="Q23" sqref="Q23"/>
    </sheetView>
  </sheetViews>
  <sheetFormatPr defaultColWidth="9.109375" defaultRowHeight="15.6" x14ac:dyDescent="0.3"/>
  <cols>
    <col min="1" max="1" width="3.5546875" style="160" customWidth="1"/>
    <col min="2" max="2" width="23.5546875" style="85" customWidth="1"/>
    <col min="3" max="3" width="6.88671875" style="97" bestFit="1" customWidth="1"/>
    <col min="4" max="4" width="32.88671875" style="85" bestFit="1" customWidth="1"/>
    <col min="5" max="5" width="1.5546875" style="85" customWidth="1"/>
    <col min="6" max="6" width="11.5546875" style="85" bestFit="1" customWidth="1"/>
    <col min="7" max="7" width="10.88671875" style="86" bestFit="1" customWidth="1"/>
    <col min="8" max="8" width="10.88671875" style="85" bestFit="1" customWidth="1"/>
    <col min="9" max="9" width="12" style="85" hidden="1" customWidth="1"/>
    <col min="10" max="10" width="12.109375" style="85" bestFit="1" customWidth="1"/>
    <col min="11" max="11" width="1.5546875" style="85" customWidth="1"/>
    <col min="12" max="12" width="14.33203125" style="85" bestFit="1" customWidth="1"/>
    <col min="13" max="13" width="16.21875" style="85" bestFit="1" customWidth="1"/>
    <col min="14" max="14" width="16.6640625" style="85" bestFit="1" customWidth="1"/>
    <col min="15" max="15" width="11.44140625" style="85" bestFit="1" customWidth="1"/>
    <col min="16" max="16" width="9.6640625" style="85" bestFit="1" customWidth="1"/>
    <col min="17" max="17" width="9.6640625" style="86" bestFit="1" customWidth="1"/>
    <col min="18" max="18" width="3" style="85" customWidth="1"/>
    <col min="19" max="19" width="17.33203125" style="85" bestFit="1" customWidth="1"/>
    <col min="20" max="20" width="14.6640625" style="85" customWidth="1"/>
    <col min="21" max="24" width="13.6640625" style="85" customWidth="1"/>
    <col min="25" max="25" width="16.88671875" style="85" bestFit="1" customWidth="1"/>
    <col min="26" max="44" width="13.6640625" style="85" customWidth="1"/>
    <col min="45" max="16384" width="9.109375" style="85"/>
  </cols>
  <sheetData>
    <row r="1" spans="1:33" ht="17.399999999999999" x14ac:dyDescent="0.3">
      <c r="A1" s="70" t="s">
        <v>122</v>
      </c>
      <c r="C1" s="89"/>
      <c r="F1" s="88"/>
      <c r="G1" s="134"/>
      <c r="H1" s="222"/>
      <c r="I1" s="88"/>
      <c r="J1" s="88"/>
      <c r="N1" s="88"/>
      <c r="T1" s="217"/>
    </row>
    <row r="2" spans="1:33" ht="17.399999999999999" x14ac:dyDescent="0.3">
      <c r="A2" s="87" t="s">
        <v>22</v>
      </c>
      <c r="F2" s="137"/>
      <c r="G2" s="137"/>
      <c r="H2" s="242"/>
      <c r="N2" s="105"/>
    </row>
    <row r="4" spans="1:33" x14ac:dyDescent="0.3">
      <c r="B4" s="397" t="s">
        <v>23</v>
      </c>
      <c r="C4" s="397"/>
      <c r="D4" s="397"/>
      <c r="F4" s="397" t="s">
        <v>24</v>
      </c>
      <c r="G4" s="397"/>
      <c r="H4" s="397"/>
      <c r="I4" s="397"/>
      <c r="J4" s="397"/>
      <c r="L4" s="397" t="s">
        <v>39</v>
      </c>
      <c r="M4" s="397"/>
      <c r="N4" s="397"/>
      <c r="O4" s="397"/>
      <c r="P4" s="397"/>
      <c r="Q4" s="397"/>
    </row>
    <row r="5" spans="1:33" ht="12" customHeight="1" x14ac:dyDescent="0.3">
      <c r="E5" s="95"/>
      <c r="K5" s="95"/>
      <c r="Q5" s="85"/>
      <c r="T5" s="288"/>
      <c r="U5" s="289"/>
      <c r="V5" s="289"/>
      <c r="X5" s="289"/>
      <c r="Y5" s="289"/>
      <c r="Z5" s="288"/>
    </row>
    <row r="6" spans="1:33" s="88" customFormat="1" x14ac:dyDescent="0.3">
      <c r="A6" s="162"/>
      <c r="C6" s="89"/>
      <c r="D6" s="89" t="s">
        <v>25</v>
      </c>
      <c r="E6" s="280"/>
      <c r="F6" s="89" t="s">
        <v>57</v>
      </c>
      <c r="G6" s="162" t="s">
        <v>26</v>
      </c>
      <c r="H6" s="89" t="s">
        <v>27</v>
      </c>
      <c r="I6" s="89" t="s">
        <v>63</v>
      </c>
      <c r="J6" s="89" t="s">
        <v>63</v>
      </c>
      <c r="K6" s="281"/>
      <c r="L6" s="162" t="s">
        <v>59</v>
      </c>
      <c r="M6" s="162" t="s">
        <v>40</v>
      </c>
      <c r="N6" s="89" t="s">
        <v>27</v>
      </c>
      <c r="O6" s="89" t="s">
        <v>28</v>
      </c>
      <c r="P6" s="89" t="s">
        <v>28</v>
      </c>
      <c r="Q6" s="89" t="s">
        <v>28</v>
      </c>
      <c r="R6" s="89"/>
      <c r="S6" s="85"/>
      <c r="T6" s="85"/>
      <c r="U6" s="289"/>
      <c r="V6" s="85"/>
      <c r="W6" s="85"/>
    </row>
    <row r="7" spans="1:33" s="88" customFormat="1" x14ac:dyDescent="0.3">
      <c r="A7" s="162"/>
      <c r="B7" s="277" t="s">
        <v>29</v>
      </c>
      <c r="C7" s="277" t="s">
        <v>30</v>
      </c>
      <c r="D7" s="277" t="s">
        <v>31</v>
      </c>
      <c r="E7" s="282"/>
      <c r="F7" s="277" t="s">
        <v>4</v>
      </c>
      <c r="G7" s="283" t="s">
        <v>4</v>
      </c>
      <c r="H7" s="277" t="s">
        <v>4</v>
      </c>
      <c r="I7" s="277" t="s">
        <v>58</v>
      </c>
      <c r="J7" s="277" t="s">
        <v>64</v>
      </c>
      <c r="K7" s="284"/>
      <c r="L7" s="277" t="s">
        <v>21</v>
      </c>
      <c r="M7" s="277" t="s">
        <v>21</v>
      </c>
      <c r="N7" s="277" t="s">
        <v>21</v>
      </c>
      <c r="O7" s="277" t="s">
        <v>32</v>
      </c>
      <c r="P7" s="277" t="s">
        <v>33</v>
      </c>
      <c r="Q7" s="277" t="s">
        <v>45</v>
      </c>
      <c r="R7" s="89"/>
      <c r="S7" s="85"/>
      <c r="T7" s="85"/>
      <c r="U7" s="289"/>
      <c r="V7" s="85"/>
      <c r="W7" s="85"/>
    </row>
    <row r="8" spans="1:33" s="286" customFormat="1" x14ac:dyDescent="0.3">
      <c r="A8" s="285" t="s">
        <v>74</v>
      </c>
      <c r="B8" s="290" t="s">
        <v>108</v>
      </c>
      <c r="C8" s="290" t="s">
        <v>109</v>
      </c>
      <c r="D8" s="287" t="s">
        <v>97</v>
      </c>
      <c r="E8" s="282"/>
      <c r="F8" s="287" t="s">
        <v>98</v>
      </c>
      <c r="G8" s="287" t="s">
        <v>99</v>
      </c>
      <c r="H8" s="287" t="s">
        <v>100</v>
      </c>
      <c r="I8" s="287" t="s">
        <v>100</v>
      </c>
      <c r="J8" s="287" t="s">
        <v>101</v>
      </c>
      <c r="K8" s="284"/>
      <c r="L8" s="287" t="s">
        <v>102</v>
      </c>
      <c r="M8" s="287" t="s">
        <v>103</v>
      </c>
      <c r="N8" s="287" t="s">
        <v>104</v>
      </c>
      <c r="O8" s="287" t="s">
        <v>105</v>
      </c>
      <c r="P8" s="287" t="s">
        <v>106</v>
      </c>
      <c r="Q8" s="287" t="s">
        <v>107</v>
      </c>
      <c r="T8" s="85"/>
      <c r="U8" s="289"/>
      <c r="V8" s="425"/>
      <c r="W8" s="85"/>
      <c r="X8" s="88"/>
      <c r="Y8" s="88"/>
    </row>
    <row r="9" spans="1:33" s="88" customFormat="1" x14ac:dyDescent="0.3">
      <c r="A9" s="162"/>
      <c r="B9" s="276"/>
      <c r="C9" s="277"/>
      <c r="D9" s="277"/>
      <c r="E9" s="95"/>
      <c r="F9" s="278"/>
      <c r="G9" s="279"/>
      <c r="H9" s="278"/>
      <c r="I9" s="278"/>
      <c r="J9" s="278"/>
      <c r="K9" s="95"/>
      <c r="L9" s="278"/>
      <c r="M9" s="278"/>
      <c r="N9" s="278"/>
      <c r="O9" s="278"/>
      <c r="P9" s="278"/>
      <c r="Q9" s="278"/>
      <c r="R9" s="89"/>
      <c r="S9" s="85"/>
      <c r="T9" s="85"/>
      <c r="U9" s="289"/>
      <c r="V9" s="85"/>
      <c r="W9" s="85"/>
    </row>
    <row r="10" spans="1:33" x14ac:dyDescent="0.3">
      <c r="E10" s="95"/>
      <c r="G10" s="85"/>
      <c r="K10" s="95"/>
      <c r="U10" s="289"/>
      <c r="V10" s="243" t="s">
        <v>27</v>
      </c>
      <c r="X10" s="88"/>
      <c r="Y10" s="88"/>
    </row>
    <row r="11" spans="1:33" s="86" customFormat="1" ht="15" customHeight="1" x14ac:dyDescent="0.3">
      <c r="A11" s="160">
        <v>1</v>
      </c>
      <c r="B11" s="2" t="str">
        <f>List!B6</f>
        <v>Residential</v>
      </c>
      <c r="C11" s="109" t="str">
        <f>List!C6</f>
        <v>A</v>
      </c>
      <c r="D11" s="85" t="s">
        <v>141</v>
      </c>
      <c r="E11" s="95"/>
      <c r="F11" s="23">
        <v>14</v>
      </c>
      <c r="G11" s="23">
        <f>F11</f>
        <v>14</v>
      </c>
      <c r="H11" s="421">
        <f>ROUND(V11,2)</f>
        <v>17.09</v>
      </c>
      <c r="I11" s="211">
        <f>H11-F11</f>
        <v>3.09</v>
      </c>
      <c r="J11" s="211">
        <f>H11-G11</f>
        <v>3.09</v>
      </c>
      <c r="K11" s="95"/>
      <c r="L11" s="73">
        <f>A!G22</f>
        <v>20988317.938437998</v>
      </c>
      <c r="M11" s="73">
        <f>A!J22</f>
        <v>20687755.783957999</v>
      </c>
      <c r="N11" s="73">
        <f>A!S22</f>
        <v>21283316.203958001</v>
      </c>
      <c r="O11" s="124">
        <f>A!S24</f>
        <v>595560.42000000179</v>
      </c>
      <c r="P11" s="218">
        <f>A!S26</f>
        <v>2.8788063152882921E-2</v>
      </c>
      <c r="Q11" s="81">
        <f>A!S28</f>
        <v>3.0900000000000092</v>
      </c>
      <c r="R11" s="85"/>
      <c r="S11" s="85"/>
      <c r="T11" s="85"/>
      <c r="U11" s="289"/>
      <c r="V11" s="424">
        <v>17.09</v>
      </c>
      <c r="W11" s="85"/>
      <c r="X11" s="88"/>
      <c r="Y11" s="88"/>
      <c r="Z11" s="214"/>
      <c r="AA11" s="214"/>
      <c r="AB11" s="214"/>
      <c r="AC11" s="214"/>
      <c r="AD11" s="214"/>
      <c r="AE11" s="214"/>
      <c r="AF11" s="214"/>
      <c r="AG11" s="214"/>
    </row>
    <row r="12" spans="1:33" s="86" customFormat="1" ht="15" customHeight="1" x14ac:dyDescent="0.3">
      <c r="A12" s="160"/>
      <c r="B12" s="90"/>
      <c r="C12" s="110"/>
      <c r="D12" s="85" t="s">
        <v>41</v>
      </c>
      <c r="E12" s="95"/>
      <c r="F12" s="343">
        <v>9.2002E-2</v>
      </c>
      <c r="G12" s="343">
        <v>9.0392E-2</v>
      </c>
      <c r="H12" s="343">
        <f>G12</f>
        <v>9.0392E-2</v>
      </c>
      <c r="I12" s="212">
        <f>H12-F12</f>
        <v>-1.6100000000000003E-3</v>
      </c>
      <c r="J12" s="212">
        <f>H12-G12</f>
        <v>0</v>
      </c>
      <c r="K12" s="95"/>
      <c r="L12" s="73"/>
      <c r="M12" s="73"/>
      <c r="N12" s="73"/>
      <c r="O12" s="73"/>
      <c r="P12" s="219"/>
      <c r="Q12" s="106"/>
      <c r="R12" s="85"/>
      <c r="S12" s="85"/>
      <c r="T12" s="85"/>
      <c r="U12" s="289"/>
      <c r="V12" s="295"/>
      <c r="W12" s="85"/>
      <c r="X12" s="88"/>
      <c r="Y12" s="88"/>
      <c r="Z12" s="214"/>
      <c r="AA12" s="214"/>
      <c r="AB12" s="214"/>
      <c r="AC12" s="214"/>
      <c r="AD12" s="214"/>
      <c r="AE12" s="214"/>
      <c r="AF12" s="214"/>
      <c r="AG12" s="214"/>
    </row>
    <row r="13" spans="1:33" s="86" customFormat="1" ht="15" customHeight="1" x14ac:dyDescent="0.3">
      <c r="A13" s="160"/>
      <c r="B13" s="90"/>
      <c r="C13" s="110"/>
      <c r="D13" s="85" t="s">
        <v>186</v>
      </c>
      <c r="E13" s="95"/>
      <c r="F13" s="23">
        <v>3.6</v>
      </c>
      <c r="G13" s="23">
        <f>F13</f>
        <v>3.6</v>
      </c>
      <c r="H13" s="23">
        <f>G13</f>
        <v>3.6</v>
      </c>
      <c r="I13" s="212">
        <f>H13-F13</f>
        <v>0</v>
      </c>
      <c r="J13" s="212">
        <f>H13-G13</f>
        <v>0</v>
      </c>
      <c r="K13" s="95"/>
      <c r="L13" s="73"/>
      <c r="M13" s="73"/>
      <c r="N13" s="73"/>
      <c r="O13" s="73"/>
      <c r="P13" s="219"/>
      <c r="Q13" s="106"/>
      <c r="R13" s="85"/>
      <c r="S13" s="85"/>
      <c r="T13" s="85"/>
      <c r="U13" s="289"/>
      <c r="V13" s="295"/>
      <c r="W13" s="85"/>
      <c r="X13" s="88"/>
      <c r="Y13" s="88"/>
      <c r="Z13" s="214"/>
      <c r="AA13" s="214"/>
      <c r="AB13" s="214"/>
      <c r="AC13" s="214"/>
      <c r="AD13" s="214"/>
      <c r="AE13" s="214"/>
      <c r="AF13" s="214"/>
      <c r="AG13" s="214"/>
    </row>
    <row r="14" spans="1:33" s="86" customFormat="1" ht="9" customHeight="1" x14ac:dyDescent="0.3">
      <c r="A14" s="160"/>
      <c r="B14" s="94"/>
      <c r="C14" s="111"/>
      <c r="D14" s="95"/>
      <c r="E14" s="95"/>
      <c r="F14" s="95"/>
      <c r="G14" s="95"/>
      <c r="H14" s="95"/>
      <c r="I14" s="95"/>
      <c r="J14" s="95"/>
      <c r="K14" s="95"/>
      <c r="L14" s="96"/>
      <c r="M14" s="96"/>
      <c r="N14" s="96"/>
      <c r="O14" s="96"/>
      <c r="P14" s="220"/>
      <c r="Q14" s="107"/>
      <c r="R14" s="85"/>
      <c r="S14" s="85"/>
      <c r="T14" s="85"/>
      <c r="U14" s="289"/>
      <c r="W14" s="85"/>
      <c r="X14" s="88"/>
      <c r="Y14" s="88"/>
      <c r="Z14" s="215"/>
      <c r="AA14" s="215"/>
      <c r="AB14" s="215"/>
      <c r="AC14" s="215"/>
      <c r="AD14" s="215"/>
      <c r="AE14" s="215"/>
      <c r="AF14" s="215"/>
      <c r="AG14" s="215"/>
    </row>
    <row r="15" spans="1:33" s="86" customFormat="1" ht="15" customHeight="1" x14ac:dyDescent="0.3">
      <c r="A15" s="160">
        <v>2</v>
      </c>
      <c r="B15" s="2" t="str">
        <f>List!B7</f>
        <v>Small Commercial</v>
      </c>
      <c r="C15" s="110" t="str">
        <f>List!C7</f>
        <v>B</v>
      </c>
      <c r="D15" s="85" t="s">
        <v>141</v>
      </c>
      <c r="E15" s="95"/>
      <c r="F15" s="23">
        <v>28.75</v>
      </c>
      <c r="G15" s="23">
        <f>F15</f>
        <v>28.75</v>
      </c>
      <c r="H15" s="23">
        <f>G15</f>
        <v>28.75</v>
      </c>
      <c r="I15" s="91">
        <f>H15-F15</f>
        <v>0</v>
      </c>
      <c r="J15" s="91">
        <f>H15-G15</f>
        <v>0</v>
      </c>
      <c r="K15" s="95"/>
      <c r="L15" s="73">
        <f>B!G24</f>
        <v>1161001.3770000001</v>
      </c>
      <c r="M15" s="73">
        <f>B!J24</f>
        <v>1144978.3350000002</v>
      </c>
      <c r="N15" s="73">
        <f>B!S24</f>
        <v>1144978.3350000002</v>
      </c>
      <c r="O15" s="73">
        <f>B!S26</f>
        <v>0</v>
      </c>
      <c r="P15" s="219">
        <f>B!S28</f>
        <v>0</v>
      </c>
      <c r="Q15" s="81">
        <f>B!S30</f>
        <v>0</v>
      </c>
      <c r="R15" s="85"/>
      <c r="S15" s="85"/>
      <c r="T15" s="85"/>
      <c r="U15" s="289"/>
      <c r="V15" s="295"/>
      <c r="W15" s="85"/>
      <c r="X15" s="88"/>
      <c r="Y15" s="88"/>
    </row>
    <row r="16" spans="1:33" s="86" customFormat="1" ht="15" customHeight="1" x14ac:dyDescent="0.3">
      <c r="A16" s="160"/>
      <c r="B16" s="90"/>
      <c r="C16" s="110"/>
      <c r="D16" s="85" t="s">
        <v>41</v>
      </c>
      <c r="E16" s="95"/>
      <c r="F16" s="93">
        <v>8.0460000000000004E-2</v>
      </c>
      <c r="G16" s="93">
        <v>7.8850000000000003E-2</v>
      </c>
      <c r="H16" s="93">
        <f>G16</f>
        <v>7.8850000000000003E-2</v>
      </c>
      <c r="I16" s="93">
        <f>H16-F16</f>
        <v>-1.6100000000000003E-3</v>
      </c>
      <c r="J16" s="93">
        <f>H16-G16</f>
        <v>0</v>
      </c>
      <c r="K16" s="95"/>
      <c r="L16" s="73"/>
      <c r="M16" s="73"/>
      <c r="N16" s="73"/>
      <c r="O16" s="73"/>
      <c r="P16" s="219"/>
      <c r="Q16" s="106"/>
      <c r="R16" s="85"/>
      <c r="S16" s="85"/>
      <c r="T16" s="85"/>
      <c r="U16" s="289"/>
      <c r="V16" s="85"/>
      <c r="W16" s="85"/>
      <c r="X16" s="88"/>
      <c r="Y16" s="88"/>
    </row>
    <row r="17" spans="1:25" s="86" customFormat="1" ht="15" customHeight="1" x14ac:dyDescent="0.3">
      <c r="A17" s="160"/>
      <c r="B17" s="90"/>
      <c r="C17" s="110"/>
      <c r="D17" s="85" t="s">
        <v>186</v>
      </c>
      <c r="E17" s="95"/>
      <c r="F17" s="367">
        <f>F13</f>
        <v>3.6</v>
      </c>
      <c r="G17" s="367">
        <f t="shared" ref="G17:H17" si="0">G13</f>
        <v>3.6</v>
      </c>
      <c r="H17" s="367">
        <f t="shared" si="0"/>
        <v>3.6</v>
      </c>
      <c r="I17" s="93"/>
      <c r="J17" s="93">
        <f>H17-G17</f>
        <v>0</v>
      </c>
      <c r="K17" s="95"/>
      <c r="L17" s="73"/>
      <c r="M17" s="73"/>
      <c r="N17" s="73"/>
      <c r="O17" s="73"/>
      <c r="P17" s="219"/>
      <c r="Q17" s="106"/>
      <c r="R17" s="85"/>
      <c r="S17" s="85"/>
      <c r="T17" s="85"/>
      <c r="U17" s="289"/>
      <c r="V17" s="85"/>
      <c r="W17" s="85"/>
      <c r="X17" s="88"/>
      <c r="Y17" s="88"/>
    </row>
    <row r="18" spans="1:25" s="86" customFormat="1" ht="9" customHeight="1" x14ac:dyDescent="0.3">
      <c r="A18" s="160"/>
      <c r="B18" s="94"/>
      <c r="C18" s="111"/>
      <c r="D18" s="95"/>
      <c r="E18" s="95"/>
      <c r="F18" s="95"/>
      <c r="G18" s="95"/>
      <c r="H18" s="95"/>
      <c r="I18" s="95"/>
      <c r="J18" s="95"/>
      <c r="K18" s="95"/>
      <c r="L18" s="96"/>
      <c r="M18" s="96"/>
      <c r="N18" s="96"/>
      <c r="O18" s="96"/>
      <c r="P18" s="220"/>
      <c r="Q18" s="107"/>
      <c r="R18" s="85"/>
      <c r="S18" s="85"/>
      <c r="T18" s="85"/>
      <c r="U18" s="289"/>
      <c r="V18" s="85"/>
      <c r="W18" s="85"/>
    </row>
    <row r="19" spans="1:25" s="86" customFormat="1" ht="15" customHeight="1" x14ac:dyDescent="0.3">
      <c r="A19" s="160">
        <v>3</v>
      </c>
      <c r="B19" s="2" t="str">
        <f>List!B8</f>
        <v>Large Commercial</v>
      </c>
      <c r="C19" s="109" t="str">
        <f>List!C8</f>
        <v>LP</v>
      </c>
      <c r="D19" s="85" t="s">
        <v>141</v>
      </c>
      <c r="E19" s="95"/>
      <c r="F19" s="23">
        <v>71.55</v>
      </c>
      <c r="G19" s="23">
        <f>F19</f>
        <v>71.55</v>
      </c>
      <c r="H19" s="23">
        <f>G19</f>
        <v>71.55</v>
      </c>
      <c r="I19" s="91">
        <f>H19-F19</f>
        <v>0</v>
      </c>
      <c r="J19" s="91">
        <f>H19-G19</f>
        <v>0</v>
      </c>
      <c r="K19" s="95"/>
      <c r="L19" s="73">
        <f>LP!G27</f>
        <v>3411263.7786000003</v>
      </c>
      <c r="M19" s="73">
        <f>LP!J27</f>
        <v>3359863.2406000001</v>
      </c>
      <c r="N19" s="73">
        <f>LP!S27</f>
        <v>3359863.2406000001</v>
      </c>
      <c r="O19" s="73">
        <f>LP!S29</f>
        <v>0</v>
      </c>
      <c r="P19" s="219">
        <f>LP!S31</f>
        <v>0</v>
      </c>
      <c r="Q19" s="81">
        <f>LP!S33</f>
        <v>0</v>
      </c>
      <c r="R19" s="85"/>
      <c r="S19" s="85"/>
      <c r="T19" s="85"/>
      <c r="U19" s="289"/>
      <c r="V19" s="85"/>
      <c r="W19" s="85"/>
      <c r="X19" s="243"/>
      <c r="Y19" s="243"/>
    </row>
    <row r="20" spans="1:25" s="86" customFormat="1" ht="15" customHeight="1" x14ac:dyDescent="0.3">
      <c r="A20" s="160"/>
      <c r="B20" s="90"/>
      <c r="C20" s="110"/>
      <c r="D20" s="85" t="s">
        <v>41</v>
      </c>
      <c r="E20" s="95"/>
      <c r="F20" s="343">
        <v>6.6347000000000003E-2</v>
      </c>
      <c r="G20" s="343">
        <v>6.4737000000000003E-2</v>
      </c>
      <c r="H20" s="343">
        <f>G20</f>
        <v>6.4737000000000003E-2</v>
      </c>
      <c r="I20" s="93">
        <f>H20-F20</f>
        <v>-1.6100000000000003E-3</v>
      </c>
      <c r="J20" s="93">
        <f>H20-G20</f>
        <v>0</v>
      </c>
      <c r="K20" s="95"/>
      <c r="L20" s="73"/>
      <c r="M20" s="73"/>
      <c r="N20" s="73"/>
      <c r="O20" s="73"/>
      <c r="P20" s="219"/>
      <c r="Q20" s="106"/>
      <c r="R20" s="85"/>
      <c r="S20" s="85"/>
      <c r="T20" s="85"/>
      <c r="U20" s="85"/>
      <c r="V20" s="85"/>
      <c r="X20" s="237"/>
      <c r="Y20" s="239"/>
    </row>
    <row r="21" spans="1:25" s="86" customFormat="1" ht="15" customHeight="1" x14ac:dyDescent="0.3">
      <c r="A21" s="160"/>
      <c r="B21" s="90"/>
      <c r="C21" s="110"/>
      <c r="D21" s="85" t="s">
        <v>42</v>
      </c>
      <c r="E21" s="95"/>
      <c r="F21" s="23">
        <v>7.36</v>
      </c>
      <c r="G21" s="23">
        <f>F21</f>
        <v>7.36</v>
      </c>
      <c r="H21" s="23">
        <f>G21</f>
        <v>7.36</v>
      </c>
      <c r="I21" s="93">
        <f>H21-F21</f>
        <v>0</v>
      </c>
      <c r="J21" s="93">
        <f>H21-G21</f>
        <v>0</v>
      </c>
      <c r="K21" s="95"/>
      <c r="L21" s="73"/>
      <c r="M21" s="73"/>
      <c r="N21" s="73"/>
      <c r="O21" s="73"/>
      <c r="P21" s="219"/>
      <c r="Q21" s="106"/>
      <c r="R21" s="85"/>
      <c r="S21" s="85"/>
      <c r="T21" s="85"/>
      <c r="U21" s="85"/>
      <c r="V21" s="85"/>
    </row>
    <row r="22" spans="1:25" s="86" customFormat="1" ht="9" customHeight="1" x14ac:dyDescent="0.3">
      <c r="A22" s="160"/>
      <c r="B22" s="94"/>
      <c r="C22" s="111"/>
      <c r="D22" s="95"/>
      <c r="E22" s="95"/>
      <c r="F22" s="95"/>
      <c r="G22" s="95"/>
      <c r="H22" s="95"/>
      <c r="I22" s="95"/>
      <c r="J22" s="95"/>
      <c r="K22" s="95"/>
      <c r="L22" s="96"/>
      <c r="M22" s="96"/>
      <c r="N22" s="96"/>
      <c r="O22" s="96"/>
      <c r="P22" s="220"/>
      <c r="Q22" s="107"/>
      <c r="R22" s="85"/>
      <c r="S22" s="85"/>
      <c r="T22" s="85"/>
      <c r="U22" s="85"/>
      <c r="V22" s="85"/>
      <c r="X22" s="237"/>
      <c r="Y22" s="239"/>
    </row>
    <row r="23" spans="1:25" s="86" customFormat="1" ht="15" customHeight="1" x14ac:dyDescent="0.3">
      <c r="A23" s="160">
        <v>4</v>
      </c>
      <c r="B23" s="2" t="str">
        <f>List!B9</f>
        <v>Large Comm Rate</v>
      </c>
      <c r="C23" s="109" t="str">
        <f>List!C9</f>
        <v>LPR</v>
      </c>
      <c r="D23" s="85" t="s">
        <v>141</v>
      </c>
      <c r="E23" s="95"/>
      <c r="F23" s="23">
        <v>110</v>
      </c>
      <c r="G23" s="23">
        <f>F23</f>
        <v>110</v>
      </c>
      <c r="H23" s="23">
        <f>G23</f>
        <v>110</v>
      </c>
      <c r="I23" s="91">
        <f>H23-F23</f>
        <v>0</v>
      </c>
      <c r="J23" s="91">
        <f>H23-G23</f>
        <v>0</v>
      </c>
      <c r="K23" s="95"/>
      <c r="L23" s="73">
        <f>LPR!G27</f>
        <v>792797.35161199991</v>
      </c>
      <c r="M23" s="73">
        <f>LPR!J27</f>
        <v>774944.56393199996</v>
      </c>
      <c r="N23" s="73">
        <f>LPR!S27</f>
        <v>774944.56393199996</v>
      </c>
      <c r="O23" s="73">
        <f>LPR!S29</f>
        <v>0</v>
      </c>
      <c r="P23" s="219">
        <f>LPR!S31</f>
        <v>0</v>
      </c>
      <c r="Q23" s="81">
        <f>LPR!S33</f>
        <v>0</v>
      </c>
      <c r="R23" s="85"/>
      <c r="S23" s="85"/>
      <c r="T23" s="85"/>
      <c r="U23" s="85"/>
      <c r="V23" s="85"/>
      <c r="X23" s="236"/>
      <c r="Y23" s="239"/>
    </row>
    <row r="24" spans="1:25" s="86" customFormat="1" ht="15" customHeight="1" x14ac:dyDescent="0.3">
      <c r="A24" s="160"/>
      <c r="B24" s="90"/>
      <c r="C24" s="110"/>
      <c r="D24" s="85" t="s">
        <v>41</v>
      </c>
      <c r="E24" s="95"/>
      <c r="F24" s="343">
        <v>5.7898999999999999E-2</v>
      </c>
      <c r="G24" s="343">
        <v>5.6288999999999999E-2</v>
      </c>
      <c r="H24" s="343">
        <f>G24</f>
        <v>5.6288999999999999E-2</v>
      </c>
      <c r="I24" s="93">
        <f>H24-F24</f>
        <v>-1.6100000000000003E-3</v>
      </c>
      <c r="J24" s="93">
        <f>H24-G24</f>
        <v>0</v>
      </c>
      <c r="K24" s="95"/>
      <c r="L24" s="73"/>
      <c r="M24" s="73"/>
      <c r="N24" s="73"/>
      <c r="O24" s="73"/>
      <c r="P24" s="219"/>
      <c r="Q24" s="106"/>
      <c r="R24" s="85"/>
      <c r="S24" s="85"/>
      <c r="T24" s="85"/>
      <c r="U24" s="85"/>
      <c r="V24" s="85"/>
      <c r="X24" s="238"/>
      <c r="Y24" s="239"/>
    </row>
    <row r="25" spans="1:25" s="86" customFormat="1" ht="15" customHeight="1" x14ac:dyDescent="0.3">
      <c r="A25" s="160"/>
      <c r="B25" s="90"/>
      <c r="C25" s="110"/>
      <c r="D25" s="85" t="s">
        <v>42</v>
      </c>
      <c r="E25" s="95"/>
      <c r="F25" s="23">
        <v>6.91</v>
      </c>
      <c r="G25" s="23">
        <f>F25</f>
        <v>6.91</v>
      </c>
      <c r="H25" s="23">
        <f>G25</f>
        <v>6.91</v>
      </c>
      <c r="I25" s="93">
        <f>H25-F25</f>
        <v>0</v>
      </c>
      <c r="J25" s="93">
        <f>H25-G25</f>
        <v>0</v>
      </c>
      <c r="K25" s="95"/>
      <c r="L25" s="73"/>
      <c r="M25" s="73"/>
      <c r="N25" s="73"/>
      <c r="O25" s="73"/>
      <c r="P25" s="219"/>
      <c r="Q25" s="106"/>
      <c r="R25" s="85"/>
      <c r="S25" s="85"/>
      <c r="T25" s="85"/>
      <c r="U25" s="85"/>
      <c r="V25" s="85"/>
    </row>
    <row r="26" spans="1:25" s="86" customFormat="1" ht="9" customHeight="1" x14ac:dyDescent="0.3">
      <c r="A26" s="160"/>
      <c r="B26" s="94"/>
      <c r="C26" s="111"/>
      <c r="D26" s="95"/>
      <c r="E26" s="95"/>
      <c r="F26" s="95"/>
      <c r="G26" s="95"/>
      <c r="H26" s="340"/>
      <c r="I26" s="95"/>
      <c r="J26" s="95"/>
      <c r="K26" s="95"/>
      <c r="L26" s="96"/>
      <c r="M26" s="96"/>
      <c r="N26" s="96"/>
      <c r="O26" s="96"/>
      <c r="P26" s="220"/>
      <c r="Q26" s="107"/>
      <c r="R26" s="85"/>
      <c r="S26" s="85"/>
      <c r="T26" s="216"/>
      <c r="U26" s="296"/>
      <c r="V26" s="295"/>
      <c r="Y26" s="239"/>
    </row>
    <row r="27" spans="1:25" s="86" customFormat="1" ht="15" customHeight="1" x14ac:dyDescent="0.3">
      <c r="A27" s="160">
        <v>5</v>
      </c>
      <c r="B27" s="2" t="str">
        <f>List!B10</f>
        <v>Lighting</v>
      </c>
      <c r="C27" s="110" t="str">
        <f>List!C10</f>
        <v>SL</v>
      </c>
      <c r="D27" s="85" t="s">
        <v>142</v>
      </c>
      <c r="E27" s="95"/>
      <c r="F27" s="91"/>
      <c r="G27" s="91"/>
      <c r="H27" s="91"/>
      <c r="I27" s="91">
        <f>H27-F27</f>
        <v>0</v>
      </c>
      <c r="J27" s="91"/>
      <c r="K27" s="95"/>
      <c r="L27" s="73">
        <f>SL!H29</f>
        <v>1027725.4799999999</v>
      </c>
      <c r="M27" s="73">
        <f>SL!K29</f>
        <v>1020048.9599999997</v>
      </c>
      <c r="N27" s="73">
        <f>SL!Q29</f>
        <v>1020048.9599999997</v>
      </c>
      <c r="O27" s="73">
        <f>SL!Q31</f>
        <v>0</v>
      </c>
      <c r="P27" s="219">
        <f>SL!Q33</f>
        <v>0</v>
      </c>
      <c r="Q27" s="81">
        <f>SL!Q35</f>
        <v>0</v>
      </c>
      <c r="R27" s="85"/>
      <c r="S27" s="85"/>
      <c r="W27" s="214"/>
    </row>
    <row r="28" spans="1:25" s="86" customFormat="1" ht="9" customHeight="1" x14ac:dyDescent="0.3">
      <c r="A28" s="160"/>
      <c r="B28" s="94"/>
      <c r="C28" s="111"/>
      <c r="D28" s="95"/>
      <c r="E28" s="95"/>
      <c r="F28" s="95"/>
      <c r="G28" s="95"/>
      <c r="H28" s="95"/>
      <c r="I28" s="95"/>
      <c r="J28" s="95"/>
      <c r="K28" s="95"/>
      <c r="L28" s="96"/>
      <c r="M28" s="96"/>
      <c r="N28" s="96"/>
      <c r="O28" s="96"/>
      <c r="P28" s="220"/>
      <c r="Q28" s="107"/>
      <c r="R28" s="85"/>
      <c r="S28" s="85"/>
    </row>
    <row r="29" spans="1:25" s="86" customFormat="1" ht="15" hidden="1" customHeight="1" x14ac:dyDescent="0.3">
      <c r="A29" s="160"/>
      <c r="B29" s="2">
        <f>List!B14</f>
        <v>0</v>
      </c>
      <c r="C29" s="110">
        <f>List!C14</f>
        <v>0</v>
      </c>
      <c r="D29" s="85"/>
      <c r="E29" s="95"/>
      <c r="F29" s="23"/>
      <c r="G29" s="23"/>
      <c r="H29" s="91"/>
      <c r="I29" s="91">
        <f>H29-F29</f>
        <v>0</v>
      </c>
      <c r="J29" s="91"/>
      <c r="K29" s="95"/>
      <c r="L29" s="73"/>
      <c r="M29" s="73"/>
      <c r="N29" s="73"/>
      <c r="O29" s="73"/>
      <c r="P29" s="219"/>
      <c r="Q29" s="143"/>
      <c r="R29" s="85"/>
      <c r="S29" s="85"/>
      <c r="T29" s="85"/>
      <c r="U29" s="85"/>
      <c r="V29" s="85"/>
    </row>
    <row r="30" spans="1:25" s="86" customFormat="1" hidden="1" x14ac:dyDescent="0.3">
      <c r="A30" s="160"/>
      <c r="B30" s="90"/>
      <c r="C30" s="110"/>
      <c r="D30" s="85"/>
      <c r="E30" s="95"/>
      <c r="F30" s="93"/>
      <c r="G30" s="93"/>
      <c r="H30" s="93"/>
      <c r="I30" s="93">
        <f>H30-F30</f>
        <v>0</v>
      </c>
      <c r="J30" s="93"/>
      <c r="K30" s="95"/>
      <c r="L30" s="73"/>
      <c r="M30" s="73"/>
      <c r="N30" s="73"/>
      <c r="O30" s="73"/>
      <c r="P30" s="219"/>
      <c r="Q30" s="106"/>
      <c r="R30" s="85"/>
      <c r="S30" s="85"/>
      <c r="T30" s="85"/>
      <c r="U30" s="85"/>
      <c r="V30" s="85"/>
    </row>
    <row r="31" spans="1:25" s="86" customFormat="1" hidden="1" x14ac:dyDescent="0.3">
      <c r="A31" s="160"/>
      <c r="B31" s="94"/>
      <c r="C31" s="111"/>
      <c r="D31" s="95"/>
      <c r="E31" s="95"/>
      <c r="F31" s="95"/>
      <c r="G31" s="95"/>
      <c r="H31" s="95"/>
      <c r="I31" s="95"/>
      <c r="J31" s="95"/>
      <c r="K31" s="95"/>
      <c r="L31" s="96"/>
      <c r="M31" s="96"/>
      <c r="N31" s="96"/>
      <c r="O31" s="96"/>
      <c r="P31" s="220"/>
      <c r="Q31" s="107"/>
      <c r="R31" s="85"/>
      <c r="S31" s="85"/>
      <c r="T31" s="85"/>
      <c r="U31" s="85"/>
      <c r="V31" s="85"/>
    </row>
    <row r="32" spans="1:25" s="86" customFormat="1" ht="8.25" hidden="1" customHeight="1" x14ac:dyDescent="0.3">
      <c r="A32" s="160"/>
      <c r="B32" s="90">
        <f>List!B15</f>
        <v>0</v>
      </c>
      <c r="C32" s="110">
        <f>List!C15</f>
        <v>0</v>
      </c>
      <c r="D32" s="24"/>
      <c r="E32" s="95"/>
      <c r="F32" s="91"/>
      <c r="G32" s="91"/>
      <c r="H32" s="91"/>
      <c r="I32" s="91">
        <f>H32-F32</f>
        <v>0</v>
      </c>
      <c r="J32" s="91"/>
      <c r="K32" s="95"/>
      <c r="L32" s="124"/>
      <c r="M32" s="124"/>
      <c r="N32" s="124"/>
      <c r="O32" s="124"/>
      <c r="P32" s="218"/>
      <c r="Q32" s="143"/>
      <c r="R32" s="85"/>
      <c r="S32" s="85"/>
      <c r="T32" s="85"/>
      <c r="U32" s="85"/>
      <c r="V32" s="85"/>
    </row>
    <row r="33" spans="1:22" s="86" customFormat="1" hidden="1" x14ac:dyDescent="0.3">
      <c r="A33" s="160"/>
      <c r="B33" s="90"/>
      <c r="C33" s="110"/>
      <c r="D33" s="24"/>
      <c r="E33" s="95"/>
      <c r="F33" s="91"/>
      <c r="G33" s="91"/>
      <c r="H33" s="91"/>
      <c r="I33" s="91">
        <f>H33-F33</f>
        <v>0</v>
      </c>
      <c r="J33" s="91"/>
      <c r="K33" s="95"/>
      <c r="L33" s="73"/>
      <c r="M33" s="73"/>
      <c r="N33" s="73"/>
      <c r="O33" s="73"/>
      <c r="P33" s="219"/>
      <c r="R33" s="104"/>
      <c r="S33" s="85"/>
      <c r="T33" s="85"/>
      <c r="U33" s="85"/>
      <c r="V33" s="85"/>
    </row>
    <row r="34" spans="1:22" s="86" customFormat="1" hidden="1" x14ac:dyDescent="0.3">
      <c r="A34" s="160"/>
      <c r="B34" s="90"/>
      <c r="C34" s="110"/>
      <c r="D34" s="24"/>
      <c r="E34" s="95"/>
      <c r="F34" s="91"/>
      <c r="G34" s="91"/>
      <c r="H34" s="91"/>
      <c r="I34" s="91">
        <f>H34-F34</f>
        <v>0</v>
      </c>
      <c r="J34" s="91"/>
      <c r="K34" s="95"/>
      <c r="L34" s="73"/>
      <c r="M34" s="73"/>
      <c r="N34" s="73"/>
      <c r="O34" s="73"/>
      <c r="P34" s="219"/>
      <c r="Q34" s="47"/>
      <c r="S34" s="85"/>
    </row>
    <row r="35" spans="1:22" s="86" customFormat="1" hidden="1" x14ac:dyDescent="0.3">
      <c r="A35" s="160"/>
      <c r="B35" s="90"/>
      <c r="C35" s="110"/>
      <c r="D35" s="24"/>
      <c r="E35" s="95"/>
      <c r="F35" s="91"/>
      <c r="G35" s="91"/>
      <c r="H35" s="91"/>
      <c r="I35" s="91">
        <f>H35-F35</f>
        <v>0</v>
      </c>
      <c r="J35" s="91"/>
      <c r="K35" s="95"/>
      <c r="L35" s="73"/>
      <c r="M35" s="73"/>
      <c r="N35" s="73"/>
      <c r="O35" s="73"/>
      <c r="P35" s="219"/>
      <c r="S35" s="85"/>
    </row>
    <row r="36" spans="1:22" s="86" customFormat="1" hidden="1" x14ac:dyDescent="0.3">
      <c r="A36" s="160"/>
      <c r="B36" s="90"/>
      <c r="C36" s="110"/>
      <c r="D36" s="24"/>
      <c r="E36" s="95"/>
      <c r="F36" s="91"/>
      <c r="G36" s="91"/>
      <c r="H36" s="91"/>
      <c r="I36" s="91">
        <f>H36-F36</f>
        <v>0</v>
      </c>
      <c r="J36" s="91"/>
      <c r="K36" s="95"/>
      <c r="L36" s="73"/>
      <c r="M36" s="73"/>
      <c r="N36" s="73"/>
      <c r="O36" s="73"/>
      <c r="P36" s="219"/>
      <c r="S36" s="85"/>
    </row>
    <row r="37" spans="1:22" s="86" customFormat="1" ht="9" hidden="1" customHeight="1" x14ac:dyDescent="0.3">
      <c r="A37" s="160"/>
      <c r="B37" s="94"/>
      <c r="C37" s="112"/>
      <c r="D37" s="95"/>
      <c r="E37" s="95"/>
      <c r="F37" s="95"/>
      <c r="G37" s="95"/>
      <c r="H37" s="95"/>
      <c r="I37" s="95"/>
      <c r="J37" s="95"/>
      <c r="K37" s="95"/>
      <c r="L37" s="96"/>
      <c r="M37" s="96"/>
      <c r="N37" s="96"/>
      <c r="O37" s="96"/>
      <c r="P37" s="220"/>
      <c r="Q37" s="95"/>
      <c r="S37" s="85"/>
    </row>
    <row r="38" spans="1:22" s="86" customFormat="1" ht="33" customHeight="1" thickBot="1" x14ac:dyDescent="0.35">
      <c r="A38" s="163">
        <v>6</v>
      </c>
      <c r="B38" s="99" t="s">
        <v>34</v>
      </c>
      <c r="C38" s="113"/>
      <c r="D38" s="99"/>
      <c r="E38" s="95"/>
      <c r="F38" s="99"/>
      <c r="G38" s="99"/>
      <c r="H38" s="99"/>
      <c r="I38" s="99"/>
      <c r="J38" s="99"/>
      <c r="K38" s="95"/>
      <c r="L38" s="100">
        <f>SUM(L11:L37)</f>
        <v>27381105.925650001</v>
      </c>
      <c r="M38" s="100">
        <f>SUM(M11:M37)</f>
        <v>26987590.883490004</v>
      </c>
      <c r="N38" s="100">
        <f>SUM(N11:N37)</f>
        <v>27583151.303490005</v>
      </c>
      <c r="O38" s="101">
        <f>SUM(O11:O37)</f>
        <v>595560.42000000179</v>
      </c>
      <c r="P38" s="221">
        <f>O38/M38</f>
        <v>2.2067935688336794E-2</v>
      </c>
      <c r="Q38" s="102"/>
      <c r="S38" s="85"/>
    </row>
    <row r="39" spans="1:22" s="103" customFormat="1" ht="31.5" customHeight="1" thickTop="1" x14ac:dyDescent="0.3">
      <c r="A39" s="163"/>
      <c r="B39" s="138"/>
      <c r="C39" s="139"/>
      <c r="D39" s="138"/>
      <c r="E39" s="138"/>
      <c r="F39" s="138"/>
      <c r="G39" s="138"/>
      <c r="H39" s="138"/>
      <c r="I39" s="138"/>
      <c r="J39" s="138"/>
      <c r="K39" s="138"/>
      <c r="L39" s="140"/>
      <c r="M39" s="140"/>
      <c r="N39" s="140"/>
      <c r="O39" s="141"/>
      <c r="P39" s="142"/>
      <c r="Q39" s="142"/>
      <c r="S39" s="85"/>
      <c r="T39" s="92"/>
      <c r="U39" s="135"/>
      <c r="V39" s="104"/>
    </row>
    <row r="40" spans="1:22" s="103" customFormat="1" ht="15.75" customHeight="1" x14ac:dyDescent="0.3">
      <c r="A40" s="160"/>
      <c r="B40" s="85"/>
      <c r="C40" s="97"/>
      <c r="D40" s="85"/>
      <c r="E40" s="85"/>
      <c r="F40" s="85"/>
      <c r="G40" s="86"/>
      <c r="H40" s="85"/>
      <c r="I40" s="85"/>
      <c r="J40" s="85"/>
      <c r="K40" s="85"/>
      <c r="L40" s="85"/>
      <c r="M40" s="85"/>
      <c r="N40" s="137" t="s">
        <v>93</v>
      </c>
      <c r="O40" s="422">
        <v>596421</v>
      </c>
      <c r="P40" s="85"/>
      <c r="Q40" s="86"/>
      <c r="S40" s="85"/>
      <c r="T40" s="92"/>
      <c r="U40" s="135"/>
      <c r="V40" s="104"/>
    </row>
    <row r="41" spans="1:22" x14ac:dyDescent="0.3">
      <c r="D41" s="97"/>
      <c r="E41" s="97"/>
      <c r="F41" s="97"/>
      <c r="G41" s="97"/>
      <c r="H41" s="97"/>
      <c r="I41" s="97"/>
      <c r="N41" s="137" t="s">
        <v>94</v>
      </c>
      <c r="O41" s="27">
        <f>O38-O40</f>
        <v>-860.57999999821186</v>
      </c>
    </row>
    <row r="42" spans="1:22" x14ac:dyDescent="0.3">
      <c r="N42" s="27"/>
      <c r="P42" s="98"/>
    </row>
    <row r="43" spans="1:22" x14ac:dyDescent="0.3">
      <c r="J43" s="97"/>
      <c r="K43" s="97"/>
      <c r="L43" s="268" t="s">
        <v>95</v>
      </c>
      <c r="M43" s="271">
        <f>M38-L38</f>
        <v>-393515.04215999693</v>
      </c>
      <c r="N43" s="105"/>
      <c r="P43" s="244"/>
    </row>
    <row r="44" spans="1:22" x14ac:dyDescent="0.3">
      <c r="N44" s="13"/>
    </row>
    <row r="45" spans="1:22" x14ac:dyDescent="0.3">
      <c r="L45" s="394" t="s">
        <v>215</v>
      </c>
      <c r="M45" s="394"/>
      <c r="N45" s="105"/>
    </row>
    <row r="46" spans="1:22" x14ac:dyDescent="0.3">
      <c r="L46" s="85" t="s">
        <v>112</v>
      </c>
      <c r="M46" s="360">
        <f>A!J26</f>
        <v>-300562.1544799991</v>
      </c>
      <c r="N46" s="13"/>
    </row>
    <row r="47" spans="1:22" x14ac:dyDescent="0.3">
      <c r="L47" s="85" t="s">
        <v>113</v>
      </c>
      <c r="M47" s="27">
        <f>B!J28</f>
        <v>-16023.041999999899</v>
      </c>
      <c r="N47" s="105"/>
    </row>
    <row r="48" spans="1:22" x14ac:dyDescent="0.3">
      <c r="L48" s="85" t="s">
        <v>114</v>
      </c>
      <c r="M48" s="360">
        <f>LP!J31</f>
        <v>-51400.538000000175</v>
      </c>
      <c r="N48" s="13"/>
    </row>
    <row r="49" spans="1:37" x14ac:dyDescent="0.3">
      <c r="L49" s="85" t="s">
        <v>115</v>
      </c>
      <c r="M49" s="27">
        <f>LPR!J31</f>
        <v>-17852.78767999995</v>
      </c>
      <c r="N49" s="105"/>
    </row>
    <row r="50" spans="1:37" s="86" customFormat="1" x14ac:dyDescent="0.3">
      <c r="A50" s="160"/>
      <c r="B50" s="85"/>
      <c r="C50" s="97"/>
      <c r="D50" s="85"/>
      <c r="E50" s="85"/>
      <c r="F50" s="85"/>
      <c r="H50" s="85"/>
      <c r="I50" s="85"/>
      <c r="J50" s="85"/>
      <c r="K50" s="85"/>
      <c r="L50" s="85" t="s">
        <v>116</v>
      </c>
      <c r="M50" s="360">
        <f>SL!K33</f>
        <v>-7676.520000000135</v>
      </c>
      <c r="N50" s="85"/>
      <c r="O50" s="85"/>
      <c r="P50" s="85"/>
      <c r="S50" s="85"/>
      <c r="T50" s="85"/>
      <c r="V50" s="85"/>
      <c r="AE50" s="85"/>
      <c r="AG50" s="85"/>
      <c r="AI50" s="85"/>
      <c r="AK50" s="85"/>
    </row>
    <row r="51" spans="1:37" s="86" customFormat="1" x14ac:dyDescent="0.3">
      <c r="A51" s="160"/>
      <c r="B51" s="85"/>
      <c r="C51" s="97"/>
      <c r="D51" s="85"/>
      <c r="E51" s="85"/>
      <c r="F51" s="85"/>
      <c r="H51" s="85"/>
      <c r="I51" s="85"/>
      <c r="J51" s="85"/>
      <c r="K51" s="85"/>
      <c r="L51" s="361" t="s">
        <v>34</v>
      </c>
      <c r="M51" s="362">
        <f>SUM(M46:M50)</f>
        <v>-393515.04215999926</v>
      </c>
      <c r="N51" s="85"/>
      <c r="O51" s="85"/>
      <c r="P51" s="85"/>
      <c r="S51" s="85"/>
      <c r="T51" s="85"/>
      <c r="V51" s="85"/>
      <c r="AE51" s="85"/>
      <c r="AG51" s="85"/>
      <c r="AI51" s="85"/>
      <c r="AK51" s="85"/>
    </row>
    <row r="52" spans="1:37" s="86" customFormat="1" x14ac:dyDescent="0.3">
      <c r="A52" s="160"/>
      <c r="B52" s="85"/>
      <c r="C52" s="97"/>
      <c r="D52" s="85"/>
      <c r="E52" s="85"/>
      <c r="F52" s="85"/>
      <c r="H52" s="85"/>
      <c r="I52" s="85"/>
      <c r="J52" s="85"/>
      <c r="K52" s="85"/>
      <c r="L52" s="85" t="s">
        <v>88</v>
      </c>
      <c r="M52" s="105">
        <f>M51-M43</f>
        <v>-2.3283064365386963E-9</v>
      </c>
      <c r="N52" s="85"/>
      <c r="O52" s="85"/>
      <c r="P52" s="85"/>
      <c r="S52" s="85"/>
      <c r="T52" s="85"/>
      <c r="V52" s="85"/>
      <c r="AE52" s="85"/>
      <c r="AG52" s="85"/>
      <c r="AI52" s="85"/>
      <c r="AK52" s="85"/>
    </row>
    <row r="56" spans="1:37" s="86" customFormat="1" x14ac:dyDescent="0.3">
      <c r="A56" s="160"/>
      <c r="B56" s="85"/>
      <c r="C56" s="97"/>
      <c r="D56" s="85"/>
      <c r="E56" s="85"/>
      <c r="F56" s="85"/>
      <c r="H56" s="85"/>
      <c r="I56" s="85"/>
      <c r="J56" s="85"/>
      <c r="K56" s="85"/>
      <c r="L56" s="85"/>
      <c r="M56" s="85"/>
      <c r="N56" s="85"/>
      <c r="O56" s="85"/>
      <c r="P56" s="85"/>
      <c r="S56" s="85"/>
      <c r="T56" s="85"/>
      <c r="V56" s="85"/>
      <c r="AE56" s="85"/>
      <c r="AG56" s="85"/>
      <c r="AI56" s="85"/>
      <c r="AK56" s="85"/>
    </row>
    <row r="58" spans="1:37" s="86" customFormat="1" x14ac:dyDescent="0.3">
      <c r="A58" s="160"/>
      <c r="B58" s="85"/>
      <c r="C58" s="97"/>
      <c r="D58" s="85"/>
      <c r="E58" s="85"/>
      <c r="F58" s="85"/>
      <c r="H58" s="85"/>
      <c r="I58" s="85"/>
      <c r="J58" s="85"/>
      <c r="K58" s="85"/>
      <c r="L58" s="85"/>
      <c r="M58" s="85"/>
      <c r="N58" s="85"/>
      <c r="O58" s="85"/>
      <c r="P58" s="85"/>
      <c r="S58" s="85"/>
      <c r="T58" s="85"/>
      <c r="V58" s="85"/>
      <c r="AE58" s="85"/>
      <c r="AG58" s="85"/>
      <c r="AI58" s="85"/>
      <c r="AK58" s="85"/>
    </row>
    <row r="64" spans="1:37" x14ac:dyDescent="0.3">
      <c r="F64" s="97"/>
      <c r="G64" s="85"/>
    </row>
    <row r="65" spans="3:7" x14ac:dyDescent="0.3">
      <c r="F65" s="97"/>
      <c r="G65" s="85"/>
    </row>
    <row r="66" spans="3:7" x14ac:dyDescent="0.3">
      <c r="C66" s="85"/>
      <c r="F66" s="105"/>
      <c r="G66" s="104"/>
    </row>
    <row r="67" spans="3:7" x14ac:dyDescent="0.3">
      <c r="C67" s="85"/>
    </row>
    <row r="68" spans="3:7" x14ac:dyDescent="0.3">
      <c r="C68" s="85"/>
    </row>
    <row r="69" spans="3:7" x14ac:dyDescent="0.3">
      <c r="C69" s="85"/>
    </row>
    <row r="70" spans="3:7" x14ac:dyDescent="0.3">
      <c r="C70" s="85"/>
    </row>
    <row r="71" spans="3:7" x14ac:dyDescent="0.3">
      <c r="C71" s="85"/>
    </row>
  </sheetData>
  <dataConsolidate/>
  <mergeCells count="3">
    <mergeCell ref="B4:D4"/>
    <mergeCell ref="L4:Q4"/>
    <mergeCell ref="F4:J4"/>
  </mergeCells>
  <printOptions horizontalCentered="1"/>
  <pageMargins left="0.5" right="0.5" top="1.5" bottom="0.5" header="0.3" footer="0.3"/>
  <pageSetup scale="67" orientation="landscape" r:id="rId1"/>
  <headerFooter>
    <oddFooter>&amp;RExhibit JW-9
Page &amp;P of &amp;N</oddFooter>
  </headerFooter>
  <colBreaks count="1" manualBreakCount="1">
    <brk id="17" max="49" man="1"/>
  </colBreaks>
  <ignoredErrors>
    <ignoredError sqref="D8 F8:J8 L8:Q8 B8:C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92D050"/>
    <pageSetUpPr fitToPage="1"/>
  </sheetPr>
  <dimension ref="A1:K40"/>
  <sheetViews>
    <sheetView topLeftCell="A25" zoomScaleNormal="100" workbookViewId="0">
      <selection activeCell="E33" sqref="E33:G40"/>
    </sheetView>
  </sheetViews>
  <sheetFormatPr defaultColWidth="9.109375" defaultRowHeight="13.2" x14ac:dyDescent="0.25"/>
  <cols>
    <col min="1" max="2" width="3.33203125" style="148" customWidth="1"/>
    <col min="3" max="3" width="2.6640625" style="148" customWidth="1"/>
    <col min="4" max="4" width="35.44140625" style="148" customWidth="1"/>
    <col min="5" max="5" width="12.33203125" style="148" bestFit="1" customWidth="1"/>
    <col min="6" max="7" width="11.6640625" style="148" customWidth="1"/>
    <col min="8" max="8" width="9.109375" style="148"/>
    <col min="9" max="9" width="37" style="156" bestFit="1" customWidth="1"/>
    <col min="10" max="10" width="14.6640625" style="156" customWidth="1"/>
    <col min="11" max="11" width="10.109375" style="148" customWidth="1"/>
    <col min="12" max="14" width="9.109375" style="156"/>
    <col min="15" max="15" width="52" style="156" bestFit="1" customWidth="1"/>
    <col min="16" max="16384" width="9.109375" style="156"/>
  </cols>
  <sheetData>
    <row r="1" spans="1:11" ht="17.399999999999999" x14ac:dyDescent="0.3">
      <c r="A1" s="269" t="str">
        <f>List!A1</f>
        <v>Licking Valley R.E.C.C.</v>
      </c>
      <c r="B1" s="269"/>
      <c r="C1" s="158"/>
      <c r="D1" s="158"/>
      <c r="E1" s="158"/>
      <c r="F1" s="158"/>
      <c r="G1" s="158"/>
      <c r="H1" s="158"/>
      <c r="K1" s="158"/>
    </row>
    <row r="2" spans="1:11" x14ac:dyDescent="0.25">
      <c r="A2" s="144"/>
      <c r="B2" s="144"/>
      <c r="C2" s="158"/>
      <c r="D2" s="158"/>
      <c r="E2" s="158"/>
      <c r="F2" s="158"/>
      <c r="G2" s="158"/>
      <c r="H2" s="158"/>
      <c r="K2" s="158"/>
    </row>
    <row r="3" spans="1:11" x14ac:dyDescent="0.25">
      <c r="A3" s="144" t="s">
        <v>68</v>
      </c>
      <c r="B3" s="144"/>
      <c r="C3" s="158"/>
      <c r="D3" s="158"/>
      <c r="E3" s="158"/>
      <c r="F3" s="158"/>
      <c r="G3" s="158"/>
      <c r="H3" s="158"/>
      <c r="K3" s="158"/>
    </row>
    <row r="4" spans="1:11" ht="12.75" customHeight="1" x14ac:dyDescent="0.25">
      <c r="A4" s="158"/>
      <c r="B4" s="158"/>
      <c r="C4" s="158"/>
      <c r="D4" s="158"/>
      <c r="E4" s="158"/>
      <c r="F4" s="158"/>
      <c r="G4" s="158"/>
      <c r="H4" s="158"/>
    </row>
    <row r="5" spans="1:11" ht="12.75" customHeight="1" x14ac:dyDescent="0.25">
      <c r="A5" s="158"/>
      <c r="B5" s="158"/>
      <c r="C5" s="158"/>
      <c r="D5" s="158"/>
      <c r="E5" s="417" t="s">
        <v>24</v>
      </c>
      <c r="F5" s="417"/>
      <c r="G5" s="158"/>
      <c r="H5" s="156"/>
      <c r="J5" s="148"/>
      <c r="K5" s="156"/>
    </row>
    <row r="6" spans="1:11" x14ac:dyDescent="0.25">
      <c r="A6" s="158"/>
      <c r="B6" s="158"/>
      <c r="C6" s="145" t="s">
        <v>23</v>
      </c>
      <c r="D6" s="158"/>
      <c r="E6" s="208" t="s">
        <v>26</v>
      </c>
      <c r="F6" s="208" t="s">
        <v>27</v>
      </c>
      <c r="G6" s="158"/>
      <c r="H6" s="156"/>
      <c r="J6" s="148"/>
      <c r="K6" s="156"/>
    </row>
    <row r="7" spans="1:11" ht="28.2" customHeight="1" x14ac:dyDescent="0.25">
      <c r="A7" s="158"/>
      <c r="B7" s="158"/>
      <c r="C7" s="420" t="s">
        <v>175</v>
      </c>
      <c r="D7" s="420"/>
      <c r="E7" s="158"/>
      <c r="F7" s="158"/>
      <c r="G7" s="158"/>
      <c r="H7" s="156"/>
      <c r="J7" s="148"/>
      <c r="K7" s="156"/>
    </row>
    <row r="8" spans="1:11" x14ac:dyDescent="0.25">
      <c r="A8" s="158"/>
      <c r="B8" s="158"/>
      <c r="C8" s="146"/>
      <c r="D8" s="203" t="s">
        <v>172</v>
      </c>
      <c r="E8" s="213">
        <f>'Present and Proposed Rates'!G11</f>
        <v>14</v>
      </c>
      <c r="F8" s="213">
        <f>'Present and Proposed Rates'!H11</f>
        <v>17.09</v>
      </c>
      <c r="G8" s="158"/>
      <c r="H8" s="156"/>
      <c r="J8" s="148"/>
      <c r="K8" s="156"/>
    </row>
    <row r="9" spans="1:11" x14ac:dyDescent="0.25">
      <c r="A9" s="158"/>
      <c r="B9" s="158"/>
      <c r="C9" s="147"/>
      <c r="D9" s="203" t="s">
        <v>173</v>
      </c>
      <c r="E9" s="365">
        <f>'Present and Proposed Rates'!G12</f>
        <v>9.0392E-2</v>
      </c>
      <c r="F9" s="365">
        <f>'Present and Proposed Rates'!H12</f>
        <v>9.0392E-2</v>
      </c>
      <c r="G9" s="158"/>
      <c r="H9" s="156"/>
      <c r="J9" s="148"/>
      <c r="K9" s="156"/>
    </row>
    <row r="10" spans="1:11" x14ac:dyDescent="0.25">
      <c r="A10" s="158"/>
      <c r="B10" s="158"/>
      <c r="C10" s="147" t="s">
        <v>183</v>
      </c>
      <c r="D10" s="203"/>
      <c r="E10" s="365"/>
      <c r="F10" s="365"/>
      <c r="G10" s="158"/>
      <c r="H10" s="156"/>
      <c r="J10" s="148"/>
      <c r="K10" s="156"/>
    </row>
    <row r="11" spans="1:11" x14ac:dyDescent="0.25">
      <c r="A11" s="158"/>
      <c r="B11" s="158"/>
      <c r="C11" s="147"/>
      <c r="D11" s="368" t="s">
        <v>184</v>
      </c>
      <c r="E11" s="365"/>
      <c r="F11" s="365"/>
      <c r="G11" s="158"/>
      <c r="H11" s="156"/>
      <c r="J11" s="148"/>
      <c r="K11" s="156"/>
    </row>
    <row r="12" spans="1:11" x14ac:dyDescent="0.25">
      <c r="A12" s="158"/>
      <c r="B12" s="158"/>
      <c r="C12" s="147"/>
      <c r="D12" s="203" t="s">
        <v>185</v>
      </c>
      <c r="E12" s="213">
        <f>'Present and Proposed Rates'!G11</f>
        <v>14</v>
      </c>
      <c r="F12" s="213">
        <f>'Present and Proposed Rates'!H11</f>
        <v>17.09</v>
      </c>
      <c r="G12" s="158"/>
      <c r="H12" s="156"/>
      <c r="J12" s="148"/>
      <c r="K12" s="156"/>
    </row>
    <row r="13" spans="1:11" x14ac:dyDescent="0.25">
      <c r="A13" s="158"/>
      <c r="B13" s="158"/>
      <c r="C13" s="147"/>
      <c r="D13" s="203" t="s">
        <v>173</v>
      </c>
      <c r="E13" s="365">
        <f>'Present and Proposed Rates'!G12</f>
        <v>9.0392E-2</v>
      </c>
      <c r="F13" s="365">
        <f>'Present and Proposed Rates'!H12</f>
        <v>9.0392E-2</v>
      </c>
      <c r="G13" s="158"/>
      <c r="H13" s="156"/>
      <c r="J13" s="148"/>
      <c r="K13" s="156"/>
    </row>
    <row r="14" spans="1:11" x14ac:dyDescent="0.25">
      <c r="A14" s="158"/>
      <c r="B14" s="158"/>
      <c r="C14" s="147"/>
      <c r="D14" s="203" t="s">
        <v>186</v>
      </c>
      <c r="E14" s="366">
        <f>'Present and Proposed Rates'!G13</f>
        <v>3.6</v>
      </c>
      <c r="F14" s="366">
        <f>'Present and Proposed Rates'!H13</f>
        <v>3.6</v>
      </c>
      <c r="G14" s="158"/>
      <c r="H14" s="156"/>
      <c r="J14" s="148"/>
      <c r="K14" s="156"/>
    </row>
    <row r="15" spans="1:11" x14ac:dyDescent="0.25">
      <c r="A15" s="158"/>
      <c r="B15" s="158"/>
      <c r="C15" s="147"/>
      <c r="D15" s="203"/>
      <c r="E15" s="203"/>
      <c r="F15" s="204"/>
      <c r="G15" s="204"/>
      <c r="H15" s="158"/>
    </row>
    <row r="16" spans="1:11" x14ac:dyDescent="0.25">
      <c r="A16" s="158"/>
      <c r="B16" s="158"/>
      <c r="C16" s="205" t="s">
        <v>96</v>
      </c>
      <c r="D16" s="156"/>
      <c r="E16" s="240"/>
      <c r="F16" s="156"/>
      <c r="G16" s="156"/>
      <c r="H16" s="158"/>
    </row>
    <row r="17" spans="1:11" x14ac:dyDescent="0.25">
      <c r="A17" s="158"/>
      <c r="B17" s="158"/>
      <c r="H17" s="158"/>
    </row>
    <row r="18" spans="1:11" ht="48.75" customHeight="1" x14ac:dyDescent="0.25">
      <c r="A18" s="158"/>
      <c r="B18" s="419" t="s">
        <v>71</v>
      </c>
      <c r="C18" s="419"/>
      <c r="D18" s="419"/>
      <c r="E18" s="419"/>
      <c r="F18" s="419"/>
      <c r="H18" s="158"/>
    </row>
    <row r="19" spans="1:11" x14ac:dyDescent="0.25">
      <c r="E19" s="418" t="s">
        <v>28</v>
      </c>
      <c r="F19" s="418"/>
    </row>
    <row r="20" spans="1:11" x14ac:dyDescent="0.25">
      <c r="C20" s="293" t="s">
        <v>23</v>
      </c>
      <c r="D20" s="294"/>
      <c r="E20" s="155" t="s">
        <v>73</v>
      </c>
      <c r="F20" s="155" t="s">
        <v>67</v>
      </c>
    </row>
    <row r="21" spans="1:11" x14ac:dyDescent="0.25">
      <c r="C21" s="148" t="str">
        <f>List!C6</f>
        <v>A</v>
      </c>
      <c r="D21" s="156" t="str">
        <f>List!B6</f>
        <v>Residential</v>
      </c>
      <c r="E21" s="151">
        <f>'Present and Proposed Rates'!O11</f>
        <v>595560.42000000179</v>
      </c>
      <c r="F21" s="272">
        <f>'Present and Proposed Rates'!P11</f>
        <v>2.8788063152882921E-2</v>
      </c>
    </row>
    <row r="22" spans="1:11" x14ac:dyDescent="0.25">
      <c r="C22" s="148" t="str">
        <f>List!C7</f>
        <v>B</v>
      </c>
      <c r="D22" s="156" t="str">
        <f>List!B7</f>
        <v>Small Commercial</v>
      </c>
      <c r="E22" s="151">
        <f>'Present and Proposed Rates'!O15</f>
        <v>0</v>
      </c>
      <c r="F22" s="291">
        <f>'Present and Proposed Rates'!P15</f>
        <v>0</v>
      </c>
    </row>
    <row r="23" spans="1:11" x14ac:dyDescent="0.25">
      <c r="C23" s="148" t="str">
        <f>List!C8</f>
        <v>LP</v>
      </c>
      <c r="D23" s="156" t="str">
        <f>List!B8</f>
        <v>Large Commercial</v>
      </c>
      <c r="E23" s="151">
        <f>'Present and Proposed Rates'!O19</f>
        <v>0</v>
      </c>
      <c r="F23" s="291">
        <f>'Present and Proposed Rates'!P19</f>
        <v>0</v>
      </c>
    </row>
    <row r="24" spans="1:11" x14ac:dyDescent="0.25">
      <c r="C24" s="148" t="str">
        <f>List!C9</f>
        <v>LPR</v>
      </c>
      <c r="D24" s="156" t="str">
        <f>List!B9</f>
        <v>Large Comm Rate</v>
      </c>
      <c r="E24" s="151">
        <f>'Present and Proposed Rates'!O23</f>
        <v>0</v>
      </c>
      <c r="F24" s="291">
        <f>'Present and Proposed Rates'!P23</f>
        <v>0</v>
      </c>
    </row>
    <row r="25" spans="1:11" x14ac:dyDescent="0.25">
      <c r="C25" s="148" t="str">
        <f>List!C10</f>
        <v>SL</v>
      </c>
      <c r="D25" s="156" t="str">
        <f>List!B10</f>
        <v>Lighting</v>
      </c>
      <c r="E25" s="151">
        <f>'Present and Proposed Rates'!O27</f>
        <v>0</v>
      </c>
      <c r="F25" s="291">
        <f>'Present and Proposed Rates'!P27</f>
        <v>0</v>
      </c>
    </row>
    <row r="26" spans="1:11" hidden="1" x14ac:dyDescent="0.25">
      <c r="D26" s="156">
        <f>List!B14</f>
        <v>0</v>
      </c>
      <c r="E26" s="151">
        <f>'Present and Proposed Rates'!O29</f>
        <v>0</v>
      </c>
      <c r="F26" s="272">
        <f>'Present and Proposed Rates'!P29</f>
        <v>0</v>
      </c>
      <c r="K26" s="149"/>
    </row>
    <row r="27" spans="1:11" hidden="1" x14ac:dyDescent="0.25">
      <c r="D27" s="156">
        <f>List!B15</f>
        <v>0</v>
      </c>
      <c r="E27" s="151">
        <f>'Present and Proposed Rates'!O32</f>
        <v>0</v>
      </c>
      <c r="F27" s="272">
        <f>'Present and Proposed Rates'!P32</f>
        <v>0</v>
      </c>
      <c r="H27" s="150"/>
      <c r="K27" s="149"/>
    </row>
    <row r="28" spans="1:11" x14ac:dyDescent="0.25">
      <c r="C28" s="165" t="s">
        <v>37</v>
      </c>
      <c r="D28" s="292"/>
      <c r="E28" s="152">
        <f>'Present and Proposed Rates'!O38</f>
        <v>595560.42000000179</v>
      </c>
      <c r="F28" s="273">
        <f>'Present and Proposed Rates'!P38</f>
        <v>2.2067935688336794E-2</v>
      </c>
      <c r="H28" s="150"/>
      <c r="K28" s="149"/>
    </row>
    <row r="29" spans="1:11" ht="16.5" customHeight="1" x14ac:dyDescent="0.25">
      <c r="H29" s="150"/>
      <c r="K29" s="149"/>
    </row>
    <row r="30" spans="1:11" ht="36.75" customHeight="1" x14ac:dyDescent="0.25">
      <c r="B30" s="419" t="s">
        <v>72</v>
      </c>
      <c r="C30" s="419"/>
      <c r="D30" s="419"/>
      <c r="E30" s="419"/>
      <c r="F30" s="419"/>
      <c r="G30" s="419"/>
      <c r="H30" s="150"/>
      <c r="K30" s="149"/>
    </row>
    <row r="31" spans="1:11" x14ac:dyDescent="0.25">
      <c r="E31" s="153" t="s">
        <v>69</v>
      </c>
      <c r="F31" s="418" t="s">
        <v>28</v>
      </c>
      <c r="G31" s="418"/>
      <c r="H31" s="150"/>
    </row>
    <row r="32" spans="1:11" x14ac:dyDescent="0.25">
      <c r="C32" s="293" t="s">
        <v>23</v>
      </c>
      <c r="D32" s="294"/>
      <c r="E32" s="154" t="s">
        <v>70</v>
      </c>
      <c r="F32" s="155" t="s">
        <v>73</v>
      </c>
      <c r="G32" s="155" t="s">
        <v>67</v>
      </c>
      <c r="H32" s="150"/>
    </row>
    <row r="33" spans="3:7" x14ac:dyDescent="0.25">
      <c r="C33" s="148" t="str">
        <f>List!C6</f>
        <v>A</v>
      </c>
      <c r="D33" s="156" t="str">
        <f>List!B6</f>
        <v>Residential</v>
      </c>
      <c r="E33" s="270">
        <f>A!D29</f>
        <v>968.59243117600056</v>
      </c>
      <c r="F33" s="150">
        <f>'Present and Proposed Rates'!Q11</f>
        <v>3.0900000000000092</v>
      </c>
      <c r="G33" s="272">
        <f>'Present and Proposed Rates'!P11</f>
        <v>2.8788063152882921E-2</v>
      </c>
    </row>
    <row r="34" spans="3:7" x14ac:dyDescent="0.25">
      <c r="C34" s="148" t="str">
        <f>List!C7</f>
        <v>B</v>
      </c>
      <c r="D34" s="156" t="str">
        <f>List!B7</f>
        <v>Small Commercial</v>
      </c>
      <c r="E34" s="270">
        <f>B!D31</f>
        <v>960.63706563706569</v>
      </c>
      <c r="F34" s="150">
        <f>'Present and Proposed Rates'!Q15</f>
        <v>0</v>
      </c>
      <c r="G34" s="291">
        <f>'Present and Proposed Rates'!P15</f>
        <v>0</v>
      </c>
    </row>
    <row r="35" spans="3:7" x14ac:dyDescent="0.25">
      <c r="C35" s="148" t="str">
        <f>List!C8</f>
        <v>LP</v>
      </c>
      <c r="D35" s="156" t="str">
        <f>List!B8</f>
        <v>Large Commercial</v>
      </c>
      <c r="E35" s="270">
        <f>LP!D34</f>
        <v>12006.694245957127</v>
      </c>
      <c r="F35" s="150">
        <f>'Present and Proposed Rates'!Q19</f>
        <v>0</v>
      </c>
      <c r="G35" s="291">
        <f>'Present and Proposed Rates'!P19</f>
        <v>0</v>
      </c>
    </row>
    <row r="36" spans="3:7" x14ac:dyDescent="0.25">
      <c r="C36" s="148" t="str">
        <f>List!C9</f>
        <v>LPR</v>
      </c>
      <c r="D36" s="156" t="str">
        <f>List!B9</f>
        <v>Large Comm Rate</v>
      </c>
      <c r="E36" s="270">
        <f>LPR!D34</f>
        <v>226299.75510204083</v>
      </c>
      <c r="F36" s="150">
        <f>'Present and Proposed Rates'!Q23</f>
        <v>0</v>
      </c>
      <c r="G36" s="291">
        <f>'Present and Proposed Rates'!P23</f>
        <v>0</v>
      </c>
    </row>
    <row r="37" spans="3:7" x14ac:dyDescent="0.25">
      <c r="C37" s="148" t="str">
        <f>List!C10</f>
        <v>SL</v>
      </c>
      <c r="D37" s="156" t="str">
        <f>List!B10</f>
        <v>Lighting</v>
      </c>
      <c r="E37" s="274" t="s">
        <v>81</v>
      </c>
      <c r="F37" s="150">
        <f>'Present and Proposed Rates'!Q27</f>
        <v>0</v>
      </c>
      <c r="G37" s="291">
        <f>'Present and Proposed Rates'!P27</f>
        <v>0</v>
      </c>
    </row>
    <row r="38" spans="3:7" hidden="1" x14ac:dyDescent="0.25">
      <c r="D38" s="156">
        <f>List!B14</f>
        <v>0</v>
      </c>
      <c r="E38" s="270"/>
      <c r="F38" s="150">
        <f>'Present and Proposed Rates'!Q29</f>
        <v>0</v>
      </c>
      <c r="G38" s="272">
        <f>'Present and Proposed Rates'!P29</f>
        <v>0</v>
      </c>
    </row>
    <row r="39" spans="3:7" hidden="1" x14ac:dyDescent="0.25">
      <c r="D39" s="156">
        <f>List!B15</f>
        <v>0</v>
      </c>
      <c r="E39" s="207"/>
      <c r="F39" s="150">
        <f>'Present and Proposed Rates'!Q32</f>
        <v>0</v>
      </c>
      <c r="G39" s="272">
        <f>'Present and Proposed Rates'!P32</f>
        <v>0</v>
      </c>
    </row>
    <row r="40" spans="3:7" x14ac:dyDescent="0.25">
      <c r="C40" s="165" t="s">
        <v>37</v>
      </c>
      <c r="D40" s="292"/>
      <c r="E40" s="275" t="s">
        <v>81</v>
      </c>
      <c r="F40" s="206">
        <f>'Present and Proposed Rates'!Q38</f>
        <v>0</v>
      </c>
      <c r="G40" s="273">
        <f>'Present and Proposed Rates'!P38</f>
        <v>2.2067935688336794E-2</v>
      </c>
    </row>
  </sheetData>
  <mergeCells count="6">
    <mergeCell ref="E5:F5"/>
    <mergeCell ref="E19:F19"/>
    <mergeCell ref="F31:G31"/>
    <mergeCell ref="B30:G30"/>
    <mergeCell ref="B18:F18"/>
    <mergeCell ref="C7:D7"/>
  </mergeCells>
  <printOptions horizontalCentered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4B0A-56F3-4CD8-B0F2-CE8E5EE8C859}">
  <sheetPr codeName="Sheet17">
    <tabColor rgb="FF92D050"/>
    <pageSetUpPr fitToPage="1"/>
  </sheetPr>
  <dimension ref="A1:K63"/>
  <sheetViews>
    <sheetView zoomScaleNormal="100" workbookViewId="0">
      <selection activeCell="C30" sqref="C30"/>
    </sheetView>
  </sheetViews>
  <sheetFormatPr defaultColWidth="9.109375" defaultRowHeight="13.2" x14ac:dyDescent="0.25"/>
  <cols>
    <col min="1" max="2" width="3.33203125" style="148" customWidth="1"/>
    <col min="3" max="3" width="2.6640625" style="148" customWidth="1"/>
    <col min="4" max="4" width="35.44140625" style="148" customWidth="1"/>
    <col min="5" max="5" width="12.33203125" style="148" bestFit="1" customWidth="1"/>
    <col min="6" max="7" width="11.6640625" style="148" customWidth="1"/>
    <col min="8" max="8" width="9.109375" style="148"/>
    <col min="9" max="9" width="37" style="156" bestFit="1" customWidth="1"/>
    <col min="10" max="10" width="14.6640625" style="156" customWidth="1"/>
    <col min="11" max="11" width="10.109375" style="148" customWidth="1"/>
    <col min="12" max="14" width="9.109375" style="156"/>
    <col min="15" max="15" width="52" style="156" bestFit="1" customWidth="1"/>
    <col min="16" max="16384" width="9.109375" style="156"/>
  </cols>
  <sheetData>
    <row r="1" spans="1:11" ht="17.399999999999999" x14ac:dyDescent="0.3">
      <c r="A1" s="269" t="str">
        <f>List!A1</f>
        <v>Licking Valley R.E.C.C.</v>
      </c>
      <c r="B1" s="269"/>
      <c r="C1" s="158"/>
      <c r="D1" s="158"/>
      <c r="E1" s="158"/>
      <c r="F1" s="158"/>
      <c r="G1" s="158"/>
      <c r="H1" s="158"/>
      <c r="K1" s="158"/>
    </row>
    <row r="2" spans="1:11" x14ac:dyDescent="0.25">
      <c r="A2" s="144"/>
      <c r="B2" s="144"/>
      <c r="C2" s="158"/>
      <c r="D2" s="158"/>
      <c r="E2" s="158"/>
      <c r="F2" s="158"/>
      <c r="G2" s="158"/>
      <c r="H2" s="158"/>
      <c r="K2" s="158"/>
    </row>
    <row r="3" spans="1:11" x14ac:dyDescent="0.25">
      <c r="A3" s="144" t="s">
        <v>68</v>
      </c>
      <c r="B3" s="144"/>
      <c r="C3" s="158"/>
      <c r="D3" s="158"/>
      <c r="E3" s="158"/>
      <c r="F3" s="158"/>
      <c r="G3" s="158"/>
      <c r="H3" s="158"/>
      <c r="K3" s="158"/>
    </row>
    <row r="4" spans="1:11" ht="12.75" customHeight="1" x14ac:dyDescent="0.25">
      <c r="A4" s="158"/>
      <c r="B4" s="158"/>
      <c r="C4" s="158"/>
      <c r="D4" s="158"/>
      <c r="E4" s="158"/>
      <c r="F4" s="158"/>
      <c r="G4" s="158"/>
      <c r="H4" s="158"/>
    </row>
    <row r="5" spans="1:11" ht="12.75" customHeight="1" x14ac:dyDescent="0.25">
      <c r="A5" s="158"/>
      <c r="B5" s="158"/>
      <c r="C5" s="158"/>
      <c r="D5" s="158"/>
      <c r="E5" s="417" t="s">
        <v>24</v>
      </c>
      <c r="F5" s="417"/>
      <c r="G5" s="158"/>
      <c r="H5" s="156"/>
      <c r="J5" s="148"/>
      <c r="K5" s="156"/>
    </row>
    <row r="6" spans="1:11" x14ac:dyDescent="0.25">
      <c r="A6" s="158"/>
      <c r="B6" s="158"/>
      <c r="C6" s="145" t="s">
        <v>23</v>
      </c>
      <c r="D6" s="158"/>
      <c r="E6" s="208" t="s">
        <v>26</v>
      </c>
      <c r="F6" s="208" t="s">
        <v>27</v>
      </c>
      <c r="G6" s="158"/>
      <c r="H6" s="156"/>
      <c r="J6" s="148"/>
      <c r="K6" s="156"/>
    </row>
    <row r="7" spans="1:11" ht="25.8" customHeight="1" x14ac:dyDescent="0.25">
      <c r="A7" s="158"/>
      <c r="B7" s="158"/>
      <c r="C7" s="420" t="s">
        <v>175</v>
      </c>
      <c r="D7" s="420"/>
      <c r="E7" s="158"/>
      <c r="F7" s="158"/>
      <c r="G7" s="158"/>
      <c r="H7" s="156"/>
      <c r="J7" s="148"/>
      <c r="K7" s="156"/>
    </row>
    <row r="8" spans="1:11" x14ac:dyDescent="0.25">
      <c r="A8" s="158"/>
      <c r="B8" s="158"/>
      <c r="C8" s="146"/>
      <c r="D8" s="203" t="s">
        <v>174</v>
      </c>
      <c r="E8" s="213">
        <f>'Present and Proposed Rates'!G11</f>
        <v>14</v>
      </c>
      <c r="F8" s="213">
        <f>'Present and Proposed Rates'!H11</f>
        <v>17.09</v>
      </c>
      <c r="G8" s="158"/>
      <c r="H8" s="156"/>
      <c r="J8" s="148"/>
      <c r="K8" s="156"/>
    </row>
    <row r="9" spans="1:11" x14ac:dyDescent="0.25">
      <c r="A9" s="158"/>
      <c r="B9" s="158"/>
      <c r="C9" s="147"/>
      <c r="D9" s="203" t="s">
        <v>173</v>
      </c>
      <c r="E9" s="365">
        <f>'Present and Proposed Rates'!G12</f>
        <v>9.0392E-2</v>
      </c>
      <c r="F9" s="365">
        <f>'Present and Proposed Rates'!H12</f>
        <v>9.0392E-2</v>
      </c>
      <c r="G9" s="158"/>
      <c r="H9" s="156"/>
      <c r="J9" s="148"/>
      <c r="K9" s="156"/>
    </row>
    <row r="10" spans="1:11" x14ac:dyDescent="0.25">
      <c r="A10" s="158"/>
      <c r="B10" s="158"/>
      <c r="C10" s="147" t="s">
        <v>183</v>
      </c>
      <c r="D10" s="203"/>
      <c r="E10" s="365"/>
      <c r="F10" s="365"/>
      <c r="G10" s="158"/>
      <c r="H10" s="156"/>
      <c r="J10" s="148"/>
      <c r="K10" s="156"/>
    </row>
    <row r="11" spans="1:11" x14ac:dyDescent="0.25">
      <c r="A11" s="158"/>
      <c r="B11" s="158"/>
      <c r="C11" s="147"/>
      <c r="D11" s="368" t="s">
        <v>184</v>
      </c>
      <c r="E11" s="365"/>
      <c r="F11" s="365"/>
      <c r="G11" s="158"/>
      <c r="H11" s="156"/>
      <c r="J11" s="148"/>
      <c r="K11" s="156"/>
    </row>
    <row r="12" spans="1:11" x14ac:dyDescent="0.25">
      <c r="A12" s="158"/>
      <c r="B12" s="158"/>
      <c r="C12" s="147"/>
      <c r="D12" s="203" t="s">
        <v>185</v>
      </c>
      <c r="E12" s="366">
        <f>'Present and Proposed Rates'!G11</f>
        <v>14</v>
      </c>
      <c r="F12" s="366">
        <f>'Present and Proposed Rates'!H11</f>
        <v>17.09</v>
      </c>
      <c r="G12" s="158"/>
      <c r="H12" s="156"/>
      <c r="J12" s="148"/>
      <c r="K12" s="156"/>
    </row>
    <row r="13" spans="1:11" x14ac:dyDescent="0.25">
      <c r="A13" s="158"/>
      <c r="B13" s="158"/>
      <c r="C13" s="147"/>
      <c r="D13" s="203" t="s">
        <v>173</v>
      </c>
      <c r="E13" s="365">
        <f>'Present and Proposed Rates'!G12</f>
        <v>9.0392E-2</v>
      </c>
      <c r="F13" s="365">
        <f>'Present and Proposed Rates'!H12</f>
        <v>9.0392E-2</v>
      </c>
      <c r="G13" s="158"/>
      <c r="H13" s="156"/>
      <c r="J13" s="148"/>
      <c r="K13" s="156"/>
    </row>
    <row r="14" spans="1:11" x14ac:dyDescent="0.25">
      <c r="A14" s="158"/>
      <c r="B14" s="158"/>
      <c r="C14" s="147"/>
      <c r="D14" s="203" t="s">
        <v>186</v>
      </c>
      <c r="E14" s="366">
        <f>'Present and Proposed Rates'!G13</f>
        <v>3.6</v>
      </c>
      <c r="F14" s="366">
        <f>'Present and Proposed Rates'!H13</f>
        <v>3.6</v>
      </c>
      <c r="G14" s="158"/>
      <c r="H14" s="156"/>
      <c r="J14" s="148"/>
      <c r="K14" s="156"/>
    </row>
    <row r="15" spans="1:11" x14ac:dyDescent="0.25">
      <c r="A15" s="158"/>
      <c r="B15" s="158"/>
      <c r="C15" s="147"/>
      <c r="D15" s="368" t="s">
        <v>187</v>
      </c>
      <c r="E15" s="365"/>
      <c r="F15" s="365"/>
      <c r="G15" s="158"/>
      <c r="H15" s="156"/>
      <c r="J15" s="148"/>
      <c r="K15" s="156"/>
    </row>
    <row r="16" spans="1:11" x14ac:dyDescent="0.25">
      <c r="A16" s="158"/>
      <c r="B16" s="158"/>
      <c r="C16" s="147"/>
      <c r="D16" s="203" t="s">
        <v>185</v>
      </c>
      <c r="E16" s="366">
        <f>'Present and Proposed Rates'!G15</f>
        <v>28.75</v>
      </c>
      <c r="F16" s="366">
        <f>'Present and Proposed Rates'!H15</f>
        <v>28.75</v>
      </c>
      <c r="G16" s="158"/>
      <c r="H16" s="156"/>
      <c r="J16" s="148"/>
      <c r="K16" s="156"/>
    </row>
    <row r="17" spans="1:11" x14ac:dyDescent="0.25">
      <c r="A17" s="158"/>
      <c r="B17" s="158"/>
      <c r="C17" s="147"/>
      <c r="D17" s="203" t="s">
        <v>173</v>
      </c>
      <c r="E17" s="365">
        <f>'Present and Proposed Rates'!G16</f>
        <v>7.8850000000000003E-2</v>
      </c>
      <c r="F17" s="365">
        <f>'Present and Proposed Rates'!H16</f>
        <v>7.8850000000000003E-2</v>
      </c>
      <c r="G17" s="158"/>
      <c r="H17" s="156"/>
      <c r="J17" s="148"/>
      <c r="K17" s="156"/>
    </row>
    <row r="18" spans="1:11" x14ac:dyDescent="0.25">
      <c r="A18" s="158"/>
      <c r="B18" s="158"/>
      <c r="C18" s="147"/>
      <c r="D18" s="203" t="s">
        <v>186</v>
      </c>
      <c r="E18" s="366">
        <f>'Present and Proposed Rates'!G17</f>
        <v>3.6</v>
      </c>
      <c r="F18" s="366">
        <f>'Present and Proposed Rates'!H17</f>
        <v>3.6</v>
      </c>
      <c r="G18" s="158"/>
      <c r="H18" s="156"/>
      <c r="J18" s="148"/>
      <c r="K18" s="156"/>
    </row>
    <row r="19" spans="1:11" x14ac:dyDescent="0.25">
      <c r="A19" s="158"/>
      <c r="B19" s="158"/>
      <c r="C19" s="146" t="s">
        <v>176</v>
      </c>
      <c r="D19" s="158"/>
      <c r="E19" s="365"/>
      <c r="F19" s="365"/>
      <c r="G19" s="158"/>
      <c r="H19" s="156"/>
      <c r="J19" s="148"/>
      <c r="K19" s="156"/>
    </row>
    <row r="20" spans="1:11" x14ac:dyDescent="0.25">
      <c r="A20" s="158"/>
      <c r="B20" s="158"/>
      <c r="C20" s="146"/>
      <c r="D20" s="203" t="s">
        <v>174</v>
      </c>
      <c r="E20" s="366">
        <f>'Present and Proposed Rates'!G15</f>
        <v>28.75</v>
      </c>
      <c r="F20" s="366">
        <f>'Present and Proposed Rates'!H15</f>
        <v>28.75</v>
      </c>
      <c r="G20" s="158"/>
      <c r="H20" s="156"/>
      <c r="J20" s="148"/>
      <c r="K20" s="156"/>
    </row>
    <row r="21" spans="1:11" x14ac:dyDescent="0.25">
      <c r="A21" s="158"/>
      <c r="B21" s="158"/>
      <c r="C21" s="147"/>
      <c r="D21" s="203" t="s">
        <v>173</v>
      </c>
      <c r="E21" s="365">
        <f>'Present and Proposed Rates'!G16</f>
        <v>7.8850000000000003E-2</v>
      </c>
      <c r="F21" s="365">
        <f>'Present and Proposed Rates'!H16</f>
        <v>7.8850000000000003E-2</v>
      </c>
      <c r="G21" s="158"/>
      <c r="H21" s="156"/>
      <c r="J21" s="148"/>
      <c r="K21" s="156"/>
    </row>
    <row r="22" spans="1:11" x14ac:dyDescent="0.25">
      <c r="A22" s="158"/>
      <c r="B22" s="158"/>
      <c r="C22" s="146" t="s">
        <v>177</v>
      </c>
      <c r="D22" s="158"/>
      <c r="E22" s="365"/>
      <c r="F22" s="365"/>
      <c r="G22" s="158"/>
      <c r="H22" s="156"/>
      <c r="J22" s="148"/>
      <c r="K22" s="156"/>
    </row>
    <row r="23" spans="1:11" x14ac:dyDescent="0.25">
      <c r="A23" s="158"/>
      <c r="B23" s="158"/>
      <c r="C23" s="146"/>
      <c r="D23" s="203" t="s">
        <v>172</v>
      </c>
      <c r="E23" s="366">
        <f>'Present and Proposed Rates'!G19</f>
        <v>71.55</v>
      </c>
      <c r="F23" s="366">
        <f>'Present and Proposed Rates'!H19</f>
        <v>71.55</v>
      </c>
      <c r="G23" s="158"/>
      <c r="H23" s="156"/>
      <c r="J23" s="148"/>
      <c r="K23" s="156"/>
    </row>
    <row r="24" spans="1:11" x14ac:dyDescent="0.25">
      <c r="A24" s="158"/>
      <c r="B24" s="158"/>
      <c r="C24" s="147"/>
      <c r="D24" s="203" t="s">
        <v>173</v>
      </c>
      <c r="E24" s="365">
        <f>'Present and Proposed Rates'!G20</f>
        <v>6.4737000000000003E-2</v>
      </c>
      <c r="F24" s="365">
        <f>'Present and Proposed Rates'!H20</f>
        <v>6.4737000000000003E-2</v>
      </c>
      <c r="G24" s="158"/>
      <c r="H24" s="156"/>
      <c r="J24" s="148"/>
      <c r="K24" s="156"/>
    </row>
    <row r="25" spans="1:11" x14ac:dyDescent="0.25">
      <c r="A25" s="158"/>
      <c r="B25" s="158"/>
      <c r="C25" s="147"/>
      <c r="D25" s="203" t="s">
        <v>178</v>
      </c>
      <c r="E25" s="366">
        <f>'Present and Proposed Rates'!G21</f>
        <v>7.36</v>
      </c>
      <c r="F25" s="366">
        <f>'Present and Proposed Rates'!H21</f>
        <v>7.36</v>
      </c>
      <c r="G25" s="158"/>
      <c r="H25" s="156"/>
      <c r="J25" s="148"/>
      <c r="K25" s="156"/>
    </row>
    <row r="26" spans="1:11" x14ac:dyDescent="0.25">
      <c r="A26" s="158"/>
      <c r="B26" s="158"/>
      <c r="C26" s="146" t="s">
        <v>179</v>
      </c>
      <c r="D26" s="158"/>
      <c r="E26" s="365"/>
      <c r="F26" s="365"/>
      <c r="G26" s="158"/>
      <c r="H26" s="156"/>
      <c r="J26" s="148"/>
      <c r="K26" s="156"/>
    </row>
    <row r="27" spans="1:11" x14ac:dyDescent="0.25">
      <c r="A27" s="158"/>
      <c r="B27" s="158"/>
      <c r="C27" s="146"/>
      <c r="D27" s="203" t="s">
        <v>172</v>
      </c>
      <c r="E27" s="366">
        <f>'Present and Proposed Rates'!G23</f>
        <v>110</v>
      </c>
      <c r="F27" s="366">
        <f>'Present and Proposed Rates'!H23</f>
        <v>110</v>
      </c>
      <c r="G27" s="158"/>
      <c r="H27" s="156"/>
      <c r="J27" s="148"/>
      <c r="K27" s="156"/>
    </row>
    <row r="28" spans="1:11" x14ac:dyDescent="0.25">
      <c r="A28" s="158"/>
      <c r="B28" s="158"/>
      <c r="C28" s="147"/>
      <c r="D28" s="203" t="s">
        <v>173</v>
      </c>
      <c r="E28" s="365">
        <f>'Present and Proposed Rates'!G24</f>
        <v>5.6288999999999999E-2</v>
      </c>
      <c r="F28" s="365">
        <f>'Present and Proposed Rates'!H24</f>
        <v>5.6288999999999999E-2</v>
      </c>
      <c r="G28" s="158"/>
      <c r="H28" s="156"/>
      <c r="J28" s="148"/>
      <c r="K28" s="156"/>
    </row>
    <row r="29" spans="1:11" x14ac:dyDescent="0.25">
      <c r="A29" s="158"/>
      <c r="B29" s="158"/>
      <c r="C29" s="147"/>
      <c r="D29" s="203" t="s">
        <v>178</v>
      </c>
      <c r="E29" s="366">
        <f>'Present and Proposed Rates'!G25</f>
        <v>6.91</v>
      </c>
      <c r="F29" s="366">
        <f>'Present and Proposed Rates'!H25</f>
        <v>6.91</v>
      </c>
      <c r="G29" s="158"/>
      <c r="H29" s="156"/>
      <c r="J29" s="148"/>
      <c r="K29" s="156"/>
    </row>
    <row r="30" spans="1:11" x14ac:dyDescent="0.25">
      <c r="A30" s="158"/>
      <c r="B30" s="158"/>
      <c r="C30" s="147" t="s">
        <v>180</v>
      </c>
      <c r="D30" s="203"/>
      <c r="E30" s="365"/>
      <c r="F30" s="365"/>
      <c r="G30" s="158"/>
      <c r="H30" s="156"/>
      <c r="J30" s="148"/>
      <c r="K30" s="156"/>
    </row>
    <row r="31" spans="1:11" x14ac:dyDescent="0.25">
      <c r="A31" s="158"/>
      <c r="B31" s="158"/>
      <c r="C31" s="147"/>
      <c r="D31" s="203" t="s">
        <v>181</v>
      </c>
      <c r="E31" s="366">
        <f>SL!J12</f>
        <v>3.06</v>
      </c>
      <c r="F31" s="366">
        <f>SL!O12</f>
        <v>3.06</v>
      </c>
      <c r="G31" s="158"/>
      <c r="H31" s="156"/>
      <c r="J31" s="148"/>
      <c r="K31" s="156"/>
    </row>
    <row r="32" spans="1:11" x14ac:dyDescent="0.25">
      <c r="A32" s="158"/>
      <c r="B32" s="158"/>
      <c r="C32" s="147"/>
      <c r="D32" s="203" t="s">
        <v>182</v>
      </c>
      <c r="E32" s="366">
        <f>SL!J13</f>
        <v>3.54</v>
      </c>
      <c r="F32" s="366">
        <f>SL!O13</f>
        <v>3.54</v>
      </c>
      <c r="G32" s="158"/>
      <c r="H32" s="156"/>
      <c r="J32" s="148"/>
      <c r="K32" s="156"/>
    </row>
    <row r="33" spans="1:11" x14ac:dyDescent="0.25">
      <c r="A33" s="158"/>
      <c r="B33" s="158"/>
      <c r="C33" s="147"/>
      <c r="D33" s="203" t="s">
        <v>145</v>
      </c>
      <c r="E33" s="366">
        <f>SL!J15</f>
        <v>10.24</v>
      </c>
      <c r="F33" s="366">
        <f>SL!O15</f>
        <v>10.24</v>
      </c>
      <c r="G33" s="158"/>
      <c r="H33" s="156"/>
      <c r="J33" s="148"/>
      <c r="K33" s="156"/>
    </row>
    <row r="34" spans="1:11" x14ac:dyDescent="0.25">
      <c r="A34" s="158"/>
      <c r="B34" s="158"/>
      <c r="C34" s="147"/>
      <c r="D34" s="203" t="s">
        <v>146</v>
      </c>
      <c r="E34" s="366">
        <f>SL!J16</f>
        <v>10.37</v>
      </c>
      <c r="F34" s="366">
        <f>SL!O16</f>
        <v>10.37</v>
      </c>
      <c r="G34" s="158"/>
      <c r="H34" s="156"/>
      <c r="J34" s="148"/>
      <c r="K34" s="156"/>
    </row>
    <row r="35" spans="1:11" x14ac:dyDescent="0.25">
      <c r="A35" s="158"/>
      <c r="B35" s="158"/>
      <c r="C35" s="147"/>
      <c r="D35" s="203" t="s">
        <v>147</v>
      </c>
      <c r="E35" s="366">
        <f>SL!J17</f>
        <v>15.85</v>
      </c>
      <c r="F35" s="366">
        <f>SL!O17</f>
        <v>15.85</v>
      </c>
      <c r="G35" s="158"/>
      <c r="H35" s="156"/>
      <c r="J35" s="148"/>
      <c r="K35" s="156"/>
    </row>
    <row r="36" spans="1:11" x14ac:dyDescent="0.25">
      <c r="A36" s="158"/>
      <c r="B36" s="158"/>
      <c r="C36" s="147"/>
      <c r="D36" s="203" t="s">
        <v>148</v>
      </c>
      <c r="E36" s="366">
        <f>SL!J18</f>
        <v>21.78</v>
      </c>
      <c r="F36" s="366">
        <f>SL!O18</f>
        <v>21.78</v>
      </c>
      <c r="G36" s="158"/>
      <c r="H36" s="156"/>
      <c r="J36" s="148"/>
      <c r="K36" s="156"/>
    </row>
    <row r="37" spans="1:11" x14ac:dyDescent="0.25">
      <c r="A37" s="158"/>
      <c r="B37" s="158"/>
      <c r="C37" s="147"/>
      <c r="D37" s="203" t="s">
        <v>149</v>
      </c>
      <c r="E37" s="366">
        <f>SL!J19</f>
        <v>9.2899999999999991</v>
      </c>
      <c r="F37" s="366">
        <f>SL!O19</f>
        <v>9.2899999999999991</v>
      </c>
      <c r="G37" s="158"/>
      <c r="H37" s="156"/>
      <c r="J37" s="148"/>
      <c r="K37" s="156"/>
    </row>
    <row r="38" spans="1:11" x14ac:dyDescent="0.25">
      <c r="A38" s="158"/>
      <c r="B38" s="158"/>
      <c r="C38" s="147"/>
      <c r="D38" s="203" t="s">
        <v>150</v>
      </c>
      <c r="E38" s="366">
        <f>SL!J20</f>
        <v>11.12</v>
      </c>
      <c r="F38" s="366">
        <f>SL!O20</f>
        <v>11.12</v>
      </c>
      <c r="G38" s="158"/>
      <c r="H38" s="156"/>
      <c r="J38" s="148"/>
      <c r="K38" s="156"/>
    </row>
    <row r="39" spans="1:11" x14ac:dyDescent="0.25">
      <c r="A39" s="158"/>
      <c r="B39" s="158"/>
      <c r="C39" s="147"/>
      <c r="D39" s="203" t="s">
        <v>151</v>
      </c>
      <c r="E39" s="366">
        <f>SL!J21</f>
        <v>17.5</v>
      </c>
      <c r="F39" s="366">
        <f>SL!O21</f>
        <v>17.5</v>
      </c>
      <c r="G39" s="158"/>
      <c r="H39" s="156"/>
      <c r="J39" s="148"/>
      <c r="K39" s="156"/>
    </row>
    <row r="40" spans="1:11" ht="24" customHeight="1" x14ac:dyDescent="0.25">
      <c r="A40" s="158"/>
      <c r="B40" s="158"/>
      <c r="H40" s="158"/>
    </row>
    <row r="41" spans="1:11" ht="48.75" customHeight="1" x14ac:dyDescent="0.25">
      <c r="A41" s="158"/>
      <c r="B41" s="419" t="s">
        <v>71</v>
      </c>
      <c r="C41" s="419"/>
      <c r="D41" s="419"/>
      <c r="E41" s="419"/>
      <c r="F41" s="419"/>
      <c r="H41" s="158"/>
    </row>
    <row r="42" spans="1:11" x14ac:dyDescent="0.25">
      <c r="E42" s="418" t="s">
        <v>28</v>
      </c>
      <c r="F42" s="418"/>
    </row>
    <row r="43" spans="1:11" x14ac:dyDescent="0.25">
      <c r="C43" s="293" t="s">
        <v>23</v>
      </c>
      <c r="D43" s="294"/>
      <c r="E43" s="155" t="s">
        <v>73</v>
      </c>
      <c r="F43" s="155" t="s">
        <v>67</v>
      </c>
    </row>
    <row r="44" spans="1:11" x14ac:dyDescent="0.25">
      <c r="C44" s="148" t="str">
        <f>List!C6</f>
        <v>A</v>
      </c>
      <c r="D44" s="156" t="str">
        <f>List!B6</f>
        <v>Residential</v>
      </c>
      <c r="E44" s="151">
        <f>'Present and Proposed Rates'!O11</f>
        <v>595560.42000000179</v>
      </c>
      <c r="F44" s="272">
        <f>'Present and Proposed Rates'!P11</f>
        <v>2.8788063152882921E-2</v>
      </c>
    </row>
    <row r="45" spans="1:11" x14ac:dyDescent="0.25">
      <c r="C45" s="148" t="str">
        <f>List!C7</f>
        <v>B</v>
      </c>
      <c r="D45" s="156" t="str">
        <f>List!B7</f>
        <v>Small Commercial</v>
      </c>
      <c r="E45" s="151">
        <f>'Present and Proposed Rates'!O15</f>
        <v>0</v>
      </c>
      <c r="F45" s="291">
        <f>'Present and Proposed Rates'!P15</f>
        <v>0</v>
      </c>
    </row>
    <row r="46" spans="1:11" x14ac:dyDescent="0.25">
      <c r="C46" s="148" t="str">
        <f>List!C8</f>
        <v>LP</v>
      </c>
      <c r="D46" s="156" t="str">
        <f>List!B8</f>
        <v>Large Commercial</v>
      </c>
      <c r="E46" s="151">
        <f>'Present and Proposed Rates'!O19</f>
        <v>0</v>
      </c>
      <c r="F46" s="291">
        <f>'Present and Proposed Rates'!P19</f>
        <v>0</v>
      </c>
    </row>
    <row r="47" spans="1:11" x14ac:dyDescent="0.25">
      <c r="C47" s="148" t="str">
        <f>List!C9</f>
        <v>LPR</v>
      </c>
      <c r="D47" s="156" t="str">
        <f>List!B9</f>
        <v>Large Comm Rate</v>
      </c>
      <c r="E47" s="151">
        <f>'Present and Proposed Rates'!O23</f>
        <v>0</v>
      </c>
      <c r="F47" s="291">
        <f>'Present and Proposed Rates'!P23</f>
        <v>0</v>
      </c>
    </row>
    <row r="48" spans="1:11" x14ac:dyDescent="0.25">
      <c r="C48" s="148" t="str">
        <f>List!C10</f>
        <v>SL</v>
      </c>
      <c r="D48" s="156" t="str">
        <f>List!B10</f>
        <v>Lighting</v>
      </c>
      <c r="E48" s="151">
        <f>'Present and Proposed Rates'!O27</f>
        <v>0</v>
      </c>
      <c r="F48" s="291">
        <f>'Present and Proposed Rates'!P27</f>
        <v>0</v>
      </c>
    </row>
    <row r="49" spans="2:11" hidden="1" x14ac:dyDescent="0.25">
      <c r="D49" s="156">
        <f>List!B14</f>
        <v>0</v>
      </c>
      <c r="E49" s="151">
        <f>'Present and Proposed Rates'!O29</f>
        <v>0</v>
      </c>
      <c r="F49" s="272">
        <f>'Present and Proposed Rates'!P29</f>
        <v>0</v>
      </c>
      <c r="K49" s="149"/>
    </row>
    <row r="50" spans="2:11" hidden="1" x14ac:dyDescent="0.25">
      <c r="D50" s="156">
        <f>List!B15</f>
        <v>0</v>
      </c>
      <c r="E50" s="151">
        <f>'Present and Proposed Rates'!O32</f>
        <v>0</v>
      </c>
      <c r="F50" s="272">
        <f>'Present and Proposed Rates'!P32</f>
        <v>0</v>
      </c>
      <c r="H50" s="150"/>
      <c r="K50" s="149"/>
    </row>
    <row r="51" spans="2:11" x14ac:dyDescent="0.25">
      <c r="C51" s="165" t="s">
        <v>37</v>
      </c>
      <c r="D51" s="292"/>
      <c r="E51" s="152">
        <f>'Present and Proposed Rates'!O38</f>
        <v>595560.42000000179</v>
      </c>
      <c r="F51" s="273">
        <f>'Present and Proposed Rates'!P38</f>
        <v>2.2067935688336794E-2</v>
      </c>
      <c r="H51" s="150"/>
      <c r="K51" s="149"/>
    </row>
    <row r="52" spans="2:11" ht="16.5" customHeight="1" x14ac:dyDescent="0.25">
      <c r="H52" s="150"/>
      <c r="K52" s="149"/>
    </row>
    <row r="53" spans="2:11" ht="36.75" customHeight="1" x14ac:dyDescent="0.25">
      <c r="B53" s="419" t="s">
        <v>72</v>
      </c>
      <c r="C53" s="419"/>
      <c r="D53" s="419"/>
      <c r="E53" s="419"/>
      <c r="F53" s="419"/>
      <c r="G53" s="419"/>
      <c r="H53" s="150"/>
      <c r="K53" s="149"/>
    </row>
    <row r="54" spans="2:11" x14ac:dyDescent="0.25">
      <c r="E54" s="153" t="s">
        <v>69</v>
      </c>
      <c r="F54" s="418" t="s">
        <v>28</v>
      </c>
      <c r="G54" s="418"/>
      <c r="H54" s="150"/>
    </row>
    <row r="55" spans="2:11" x14ac:dyDescent="0.25">
      <c r="C55" s="293" t="s">
        <v>23</v>
      </c>
      <c r="D55" s="294"/>
      <c r="E55" s="154" t="s">
        <v>70</v>
      </c>
      <c r="F55" s="155" t="s">
        <v>73</v>
      </c>
      <c r="G55" s="155" t="s">
        <v>67</v>
      </c>
      <c r="H55" s="150"/>
    </row>
    <row r="56" spans="2:11" x14ac:dyDescent="0.25">
      <c r="C56" s="148" t="str">
        <f>List!C6</f>
        <v>A</v>
      </c>
      <c r="D56" s="156" t="str">
        <f>List!B6</f>
        <v>Residential</v>
      </c>
      <c r="E56" s="270">
        <f>A!D29</f>
        <v>968.59243117600056</v>
      </c>
      <c r="F56" s="150">
        <f>'Present and Proposed Rates'!Q11</f>
        <v>3.0900000000000092</v>
      </c>
      <c r="G56" s="272">
        <f>'Present and Proposed Rates'!P11</f>
        <v>2.8788063152882921E-2</v>
      </c>
    </row>
    <row r="57" spans="2:11" x14ac:dyDescent="0.25">
      <c r="C57" s="148" t="str">
        <f>List!C7</f>
        <v>B</v>
      </c>
      <c r="D57" s="156" t="str">
        <f>List!B7</f>
        <v>Small Commercial</v>
      </c>
      <c r="E57" s="270">
        <f>B!D31</f>
        <v>960.63706563706569</v>
      </c>
      <c r="F57" s="150">
        <f>'Present and Proposed Rates'!Q15</f>
        <v>0</v>
      </c>
      <c r="G57" s="291">
        <f>'Present and Proposed Rates'!P15</f>
        <v>0</v>
      </c>
    </row>
    <row r="58" spans="2:11" x14ac:dyDescent="0.25">
      <c r="C58" s="148" t="str">
        <f>List!C8</f>
        <v>LP</v>
      </c>
      <c r="D58" s="156" t="str">
        <f>List!B8</f>
        <v>Large Commercial</v>
      </c>
      <c r="E58" s="270">
        <f>LP!D34</f>
        <v>12006.694245957127</v>
      </c>
      <c r="F58" s="150">
        <f>'Present and Proposed Rates'!Q19</f>
        <v>0</v>
      </c>
      <c r="G58" s="291">
        <f>'Present and Proposed Rates'!P19</f>
        <v>0</v>
      </c>
    </row>
    <row r="59" spans="2:11" x14ac:dyDescent="0.25">
      <c r="C59" s="148" t="str">
        <f>List!C9</f>
        <v>LPR</v>
      </c>
      <c r="D59" s="156" t="str">
        <f>List!B9</f>
        <v>Large Comm Rate</v>
      </c>
      <c r="E59" s="270">
        <f>LPR!D34</f>
        <v>226299.75510204083</v>
      </c>
      <c r="F59" s="150">
        <f>'Present and Proposed Rates'!Q23</f>
        <v>0</v>
      </c>
      <c r="G59" s="291">
        <f>'Present and Proposed Rates'!P23</f>
        <v>0</v>
      </c>
    </row>
    <row r="60" spans="2:11" x14ac:dyDescent="0.25">
      <c r="C60" s="148" t="str">
        <f>List!C10</f>
        <v>SL</v>
      </c>
      <c r="D60" s="156" t="str">
        <f>List!B10</f>
        <v>Lighting</v>
      </c>
      <c r="E60" s="274" t="s">
        <v>81</v>
      </c>
      <c r="F60" s="150">
        <f>'Present and Proposed Rates'!Q27</f>
        <v>0</v>
      </c>
      <c r="G60" s="291">
        <f>'Present and Proposed Rates'!P27</f>
        <v>0</v>
      </c>
    </row>
    <row r="61" spans="2:11" hidden="1" x14ac:dyDescent="0.25">
      <c r="D61" s="156">
        <f>List!B14</f>
        <v>0</v>
      </c>
      <c r="E61" s="270"/>
      <c r="F61" s="150">
        <f>'Present and Proposed Rates'!Q29</f>
        <v>0</v>
      </c>
      <c r="G61" s="272">
        <f>'Present and Proposed Rates'!P29</f>
        <v>0</v>
      </c>
    </row>
    <row r="62" spans="2:11" hidden="1" x14ac:dyDescent="0.25">
      <c r="D62" s="156">
        <f>List!B15</f>
        <v>0</v>
      </c>
      <c r="E62" s="207"/>
      <c r="F62" s="150">
        <f>'Present and Proposed Rates'!Q32</f>
        <v>0</v>
      </c>
      <c r="G62" s="272">
        <f>'Present and Proposed Rates'!P32</f>
        <v>0</v>
      </c>
    </row>
    <row r="63" spans="2:11" x14ac:dyDescent="0.25">
      <c r="C63" s="165" t="s">
        <v>37</v>
      </c>
      <c r="D63" s="292"/>
      <c r="E63" s="275" t="s">
        <v>81</v>
      </c>
      <c r="F63" s="206">
        <f>'Present and Proposed Rates'!Q38</f>
        <v>0</v>
      </c>
      <c r="G63" s="273">
        <f>'Present and Proposed Rates'!P38</f>
        <v>2.2067935688336794E-2</v>
      </c>
    </row>
  </sheetData>
  <mergeCells count="6">
    <mergeCell ref="E5:F5"/>
    <mergeCell ref="B41:F41"/>
    <mergeCell ref="E42:F42"/>
    <mergeCell ref="B53:G53"/>
    <mergeCell ref="F54:G54"/>
    <mergeCell ref="C7:D7"/>
  </mergeCells>
  <printOptions horizontalCentered="1"/>
  <pageMargins left="0.7" right="0.7" top="0.75" bottom="0.7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5" tint="0.59999389629810485"/>
    <pageSetUpPr fitToPage="1"/>
  </sheetPr>
  <dimension ref="A1:I16"/>
  <sheetViews>
    <sheetView zoomScaleNormal="100" workbookViewId="0">
      <selection activeCell="B6" sqref="B6:C10"/>
    </sheetView>
  </sheetViews>
  <sheetFormatPr defaultRowHeight="13.2" x14ac:dyDescent="0.25"/>
  <cols>
    <col min="1" max="1" width="9.109375" style="159"/>
    <col min="2" max="2" width="39.109375" bestFit="1" customWidth="1"/>
    <col min="5" max="5" width="39.109375" bestFit="1" customWidth="1"/>
    <col min="8" max="8" width="36.6640625" bestFit="1" customWidth="1"/>
  </cols>
  <sheetData>
    <row r="1" spans="1:9" x14ac:dyDescent="0.25">
      <c r="A1" s="209" t="str">
        <f>'Present and Proposed Rates'!A1</f>
        <v>Licking Valley R.E.C.C.</v>
      </c>
    </row>
    <row r="2" spans="1:9" x14ac:dyDescent="0.25">
      <c r="A2" s="209" t="s">
        <v>82</v>
      </c>
    </row>
    <row r="3" spans="1:9" x14ac:dyDescent="0.25">
      <c r="A3" s="157"/>
    </row>
    <row r="4" spans="1:9" x14ac:dyDescent="0.25">
      <c r="A4" s="157" t="s">
        <v>74</v>
      </c>
      <c r="B4" s="210" t="s">
        <v>4</v>
      </c>
      <c r="C4" s="241" t="s">
        <v>30</v>
      </c>
    </row>
    <row r="6" spans="1:9" x14ac:dyDescent="0.25">
      <c r="A6" s="159">
        <v>1</v>
      </c>
      <c r="B6" s="156" t="s">
        <v>86</v>
      </c>
      <c r="C6" s="240" t="s">
        <v>112</v>
      </c>
      <c r="F6" s="156"/>
      <c r="H6" s="156"/>
      <c r="I6" s="156"/>
    </row>
    <row r="7" spans="1:9" x14ac:dyDescent="0.25">
      <c r="A7" s="159">
        <v>2</v>
      </c>
      <c r="B7" s="156" t="s">
        <v>119</v>
      </c>
      <c r="C7" s="240" t="s">
        <v>113</v>
      </c>
      <c r="F7" s="156"/>
      <c r="H7" s="156"/>
    </row>
    <row r="8" spans="1:9" x14ac:dyDescent="0.25">
      <c r="A8" s="159">
        <v>3</v>
      </c>
      <c r="B8" s="156" t="s">
        <v>120</v>
      </c>
      <c r="C8" s="240" t="s">
        <v>114</v>
      </c>
      <c r="H8" s="156"/>
    </row>
    <row r="9" spans="1:9" x14ac:dyDescent="0.25">
      <c r="A9" s="159">
        <v>4</v>
      </c>
      <c r="B9" s="156" t="s">
        <v>121</v>
      </c>
      <c r="C9" s="240" t="s">
        <v>115</v>
      </c>
      <c r="H9" s="156"/>
      <c r="I9" s="156"/>
    </row>
    <row r="10" spans="1:9" x14ac:dyDescent="0.25">
      <c r="A10" s="159">
        <v>5</v>
      </c>
      <c r="B10" s="156" t="s">
        <v>87</v>
      </c>
      <c r="C10" s="240" t="s">
        <v>116</v>
      </c>
      <c r="H10" s="156"/>
      <c r="I10" s="156"/>
    </row>
    <row r="11" spans="1:9" x14ac:dyDescent="0.25">
      <c r="A11" s="159">
        <v>6</v>
      </c>
      <c r="B11" s="156" t="s">
        <v>117</v>
      </c>
      <c r="C11" s="240" t="s">
        <v>118</v>
      </c>
      <c r="H11" s="156"/>
      <c r="I11" s="156"/>
    </row>
    <row r="12" spans="1:9" x14ac:dyDescent="0.25">
      <c r="A12" s="159">
        <v>7</v>
      </c>
      <c r="B12" s="156" t="s">
        <v>117</v>
      </c>
      <c r="C12" s="240" t="s">
        <v>118</v>
      </c>
      <c r="H12" s="156"/>
    </row>
    <row r="13" spans="1:9" x14ac:dyDescent="0.25">
      <c r="A13" s="159">
        <v>8</v>
      </c>
      <c r="B13" s="156" t="s">
        <v>117</v>
      </c>
      <c r="C13" s="240" t="s">
        <v>118</v>
      </c>
      <c r="H13" s="158"/>
    </row>
    <row r="14" spans="1:9" x14ac:dyDescent="0.25">
      <c r="B14" s="156"/>
      <c r="C14" s="240"/>
      <c r="H14" s="158"/>
    </row>
    <row r="15" spans="1:9" x14ac:dyDescent="0.25">
      <c r="B15" s="156"/>
      <c r="C15" s="240"/>
      <c r="H15" s="158"/>
    </row>
    <row r="16" spans="1:9" x14ac:dyDescent="0.25">
      <c r="C16" s="15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ADCF5-4524-4E53-B344-03B2F7E4B5A6}">
  <sheetPr>
    <tabColor theme="5" tint="0.59999389629810485"/>
  </sheetPr>
  <dimension ref="A3:Q246"/>
  <sheetViews>
    <sheetView topLeftCell="B1" workbookViewId="0">
      <selection activeCell="J31" sqref="J31"/>
    </sheetView>
  </sheetViews>
  <sheetFormatPr defaultRowHeight="13.2" x14ac:dyDescent="0.25"/>
  <cols>
    <col min="1" max="1" width="8.88671875" style="314"/>
    <col min="2" max="2" width="24.21875" style="319" bestFit="1" customWidth="1"/>
    <col min="3" max="3" width="12.21875" style="312" bestFit="1" customWidth="1"/>
    <col min="4" max="12" width="11.21875" style="313" bestFit="1" customWidth="1"/>
    <col min="13" max="13" width="11.88671875" style="313" bestFit="1" customWidth="1"/>
    <col min="14" max="15" width="11.21875" style="313" bestFit="1" customWidth="1"/>
    <col min="16" max="16" width="14" style="313" customWidth="1"/>
    <col min="17" max="17" width="16.109375" style="313" customWidth="1"/>
    <col min="18" max="16384" width="8.88671875" style="314"/>
  </cols>
  <sheetData>
    <row r="3" spans="2:17" x14ac:dyDescent="0.25">
      <c r="B3" s="311" t="s">
        <v>123</v>
      </c>
    </row>
    <row r="4" spans="2:17" x14ac:dyDescent="0.25">
      <c r="B4" s="311"/>
    </row>
    <row r="5" spans="2:17" x14ac:dyDescent="0.25">
      <c r="B5" s="315" t="s">
        <v>4</v>
      </c>
      <c r="C5" s="316" t="s">
        <v>30</v>
      </c>
      <c r="D5" s="317">
        <v>43466</v>
      </c>
      <c r="E5" s="317">
        <v>43497</v>
      </c>
      <c r="F5" s="317">
        <v>43525</v>
      </c>
      <c r="G5" s="317">
        <v>43556</v>
      </c>
      <c r="H5" s="317">
        <v>43586</v>
      </c>
      <c r="I5" s="317">
        <v>43617</v>
      </c>
      <c r="J5" s="317">
        <v>43647</v>
      </c>
      <c r="K5" s="317">
        <v>43678</v>
      </c>
      <c r="L5" s="317">
        <v>43709</v>
      </c>
      <c r="M5" s="317">
        <v>43739</v>
      </c>
      <c r="N5" s="317">
        <v>43770</v>
      </c>
      <c r="O5" s="317">
        <v>43800</v>
      </c>
      <c r="P5" s="318" t="s">
        <v>34</v>
      </c>
      <c r="Q5" s="318" t="s">
        <v>85</v>
      </c>
    </row>
    <row r="6" spans="2:17" x14ac:dyDescent="0.25">
      <c r="B6" s="319" t="s">
        <v>86</v>
      </c>
      <c r="C6" s="312" t="s">
        <v>112</v>
      </c>
      <c r="D6" s="320">
        <v>16063</v>
      </c>
      <c r="E6" s="320">
        <v>16049</v>
      </c>
      <c r="F6" s="320">
        <v>16065</v>
      </c>
      <c r="G6" s="320">
        <v>16059</v>
      </c>
      <c r="H6" s="320">
        <v>16050</v>
      </c>
      <c r="I6" s="320">
        <v>16021</v>
      </c>
      <c r="J6" s="320">
        <v>16069</v>
      </c>
      <c r="K6" s="320">
        <v>16045</v>
      </c>
      <c r="L6" s="320">
        <v>16061</v>
      </c>
      <c r="M6" s="320">
        <v>16091</v>
      </c>
      <c r="N6" s="320">
        <v>16089</v>
      </c>
      <c r="O6" s="320">
        <v>16076</v>
      </c>
      <c r="P6" s="321">
        <f>SUM(D6:O6)</f>
        <v>192738</v>
      </c>
      <c r="Q6" s="321">
        <f>AVERAGE(D6:O6)</f>
        <v>16061.5</v>
      </c>
    </row>
    <row r="7" spans="2:17" x14ac:dyDescent="0.25">
      <c r="B7" s="319" t="s">
        <v>119</v>
      </c>
      <c r="C7" s="312" t="s">
        <v>113</v>
      </c>
      <c r="D7" s="320">
        <v>875</v>
      </c>
      <c r="E7" s="320">
        <v>870</v>
      </c>
      <c r="F7" s="320">
        <v>866</v>
      </c>
      <c r="G7" s="320">
        <v>866</v>
      </c>
      <c r="H7" s="320">
        <v>867</v>
      </c>
      <c r="I7" s="320">
        <v>854</v>
      </c>
      <c r="J7" s="320">
        <v>861</v>
      </c>
      <c r="K7" s="320">
        <v>863</v>
      </c>
      <c r="L7" s="320">
        <v>856</v>
      </c>
      <c r="M7" s="320">
        <v>858</v>
      </c>
      <c r="N7" s="320">
        <v>863</v>
      </c>
      <c r="O7" s="320">
        <v>861</v>
      </c>
      <c r="P7" s="321">
        <f t="shared" ref="P7:P13" si="0">SUM(D7:O7)</f>
        <v>10360</v>
      </c>
      <c r="Q7" s="321">
        <f t="shared" ref="Q7:Q13" si="1">AVERAGE(D7:O7)</f>
        <v>863.33333333333337</v>
      </c>
    </row>
    <row r="8" spans="2:17" x14ac:dyDescent="0.25">
      <c r="B8" s="319" t="s">
        <v>124</v>
      </c>
      <c r="C8" s="312" t="s">
        <v>114</v>
      </c>
      <c r="D8" s="320">
        <v>216</v>
      </c>
      <c r="E8" s="320">
        <v>215</v>
      </c>
      <c r="F8" s="320">
        <v>216</v>
      </c>
      <c r="G8" s="320">
        <v>217</v>
      </c>
      <c r="H8" s="320">
        <v>220</v>
      </c>
      <c r="I8" s="320">
        <v>219</v>
      </c>
      <c r="J8" s="320">
        <v>217</v>
      </c>
      <c r="K8" s="320">
        <v>217</v>
      </c>
      <c r="L8" s="320">
        <v>219</v>
      </c>
      <c r="M8" s="320">
        <v>217</v>
      </c>
      <c r="N8" s="320">
        <v>217</v>
      </c>
      <c r="O8" s="320">
        <v>216</v>
      </c>
      <c r="P8" s="321">
        <f t="shared" si="0"/>
        <v>2606</v>
      </c>
      <c r="Q8" s="321">
        <f t="shared" si="1"/>
        <v>217.16666666666666</v>
      </c>
    </row>
    <row r="9" spans="2:17" x14ac:dyDescent="0.25">
      <c r="B9" s="319" t="s">
        <v>125</v>
      </c>
      <c r="C9" s="312" t="s">
        <v>115</v>
      </c>
      <c r="D9" s="320">
        <v>2</v>
      </c>
      <c r="E9" s="320">
        <v>1</v>
      </c>
      <c r="F9" s="320">
        <v>1</v>
      </c>
      <c r="G9" s="320">
        <v>1</v>
      </c>
      <c r="H9" s="320">
        <v>1</v>
      </c>
      <c r="I9" s="320">
        <v>1</v>
      </c>
      <c r="J9" s="320">
        <v>1</v>
      </c>
      <c r="K9" s="320">
        <v>1</v>
      </c>
      <c r="L9" s="320">
        <v>1</v>
      </c>
      <c r="M9" s="320">
        <v>1</v>
      </c>
      <c r="N9" s="320">
        <v>1</v>
      </c>
      <c r="O9" s="320">
        <v>1</v>
      </c>
      <c r="P9" s="321">
        <f>SUM(D9:O9)</f>
        <v>13</v>
      </c>
      <c r="Q9" s="321">
        <f>AVERAGE(D9:O9)</f>
        <v>1.0833333333333333</v>
      </c>
    </row>
    <row r="10" spans="2:17" x14ac:dyDescent="0.25">
      <c r="B10" s="319" t="s">
        <v>126</v>
      </c>
      <c r="C10" s="312" t="s">
        <v>114</v>
      </c>
      <c r="D10" s="320">
        <v>5</v>
      </c>
      <c r="E10" s="320">
        <v>5</v>
      </c>
      <c r="F10" s="320">
        <v>5</v>
      </c>
      <c r="G10" s="320">
        <v>5</v>
      </c>
      <c r="H10" s="320">
        <v>5</v>
      </c>
      <c r="I10" s="320">
        <v>4</v>
      </c>
      <c r="J10" s="320">
        <v>4</v>
      </c>
      <c r="K10" s="320">
        <v>4</v>
      </c>
      <c r="L10" s="320">
        <v>4</v>
      </c>
      <c r="M10" s="320">
        <v>4</v>
      </c>
      <c r="N10" s="320">
        <v>4</v>
      </c>
      <c r="O10" s="320">
        <v>4</v>
      </c>
      <c r="P10" s="321">
        <f t="shared" ref="P10" si="2">SUM(D10:O10)</f>
        <v>53</v>
      </c>
      <c r="Q10" s="321">
        <f t="shared" ref="Q10" si="3">AVERAGE(D10:O10)</f>
        <v>4.416666666666667</v>
      </c>
    </row>
    <row r="11" spans="2:17" x14ac:dyDescent="0.25">
      <c r="B11" s="319" t="s">
        <v>127</v>
      </c>
      <c r="C11" s="312" t="s">
        <v>115</v>
      </c>
      <c r="D11" s="320">
        <v>3</v>
      </c>
      <c r="E11" s="320">
        <v>3</v>
      </c>
      <c r="F11" s="320">
        <v>3</v>
      </c>
      <c r="G11" s="320">
        <v>3</v>
      </c>
      <c r="H11" s="320">
        <v>3</v>
      </c>
      <c r="I11" s="320">
        <v>3</v>
      </c>
      <c r="J11" s="320">
        <v>3</v>
      </c>
      <c r="K11" s="320">
        <v>3</v>
      </c>
      <c r="L11" s="320">
        <v>3</v>
      </c>
      <c r="M11" s="320">
        <v>3</v>
      </c>
      <c r="N11" s="320">
        <v>3</v>
      </c>
      <c r="O11" s="320">
        <v>3</v>
      </c>
      <c r="P11" s="321">
        <f t="shared" si="0"/>
        <v>36</v>
      </c>
      <c r="Q11" s="321">
        <f t="shared" si="1"/>
        <v>3</v>
      </c>
    </row>
    <row r="12" spans="2:17" x14ac:dyDescent="0.25">
      <c r="B12" s="319" t="s">
        <v>87</v>
      </c>
      <c r="C12" s="312" t="s">
        <v>116</v>
      </c>
      <c r="D12" s="320">
        <v>118</v>
      </c>
      <c r="E12" s="320">
        <v>117</v>
      </c>
      <c r="F12" s="320">
        <v>117</v>
      </c>
      <c r="G12" s="320">
        <v>116</v>
      </c>
      <c r="H12" s="320">
        <v>116</v>
      </c>
      <c r="I12" s="320">
        <v>117</v>
      </c>
      <c r="J12" s="320">
        <v>116</v>
      </c>
      <c r="K12" s="320">
        <v>115</v>
      </c>
      <c r="L12" s="320">
        <v>114</v>
      </c>
      <c r="M12" s="320">
        <v>112</v>
      </c>
      <c r="N12" s="320">
        <v>112</v>
      </c>
      <c r="O12" s="320">
        <v>111</v>
      </c>
      <c r="P12" s="321">
        <f t="shared" si="0"/>
        <v>1381</v>
      </c>
      <c r="Q12" s="321">
        <f t="shared" si="1"/>
        <v>115.08333333333333</v>
      </c>
    </row>
    <row r="13" spans="2:17" x14ac:dyDescent="0.25">
      <c r="B13" s="322" t="s">
        <v>34</v>
      </c>
      <c r="C13" s="323"/>
      <c r="D13" s="324">
        <f t="shared" ref="D13:O13" si="4">SUM(D6:D12)</f>
        <v>17282</v>
      </c>
      <c r="E13" s="324">
        <f t="shared" si="4"/>
        <v>17260</v>
      </c>
      <c r="F13" s="324">
        <f t="shared" si="4"/>
        <v>17273</v>
      </c>
      <c r="G13" s="324">
        <f t="shared" si="4"/>
        <v>17267</v>
      </c>
      <c r="H13" s="324">
        <f t="shared" si="4"/>
        <v>17262</v>
      </c>
      <c r="I13" s="324">
        <f t="shared" si="4"/>
        <v>17219</v>
      </c>
      <c r="J13" s="324">
        <f t="shared" si="4"/>
        <v>17271</v>
      </c>
      <c r="K13" s="324">
        <f t="shared" si="4"/>
        <v>17248</v>
      </c>
      <c r="L13" s="324">
        <f t="shared" si="4"/>
        <v>17258</v>
      </c>
      <c r="M13" s="324">
        <f t="shared" si="4"/>
        <v>17286</v>
      </c>
      <c r="N13" s="324">
        <f t="shared" si="4"/>
        <v>17289</v>
      </c>
      <c r="O13" s="324">
        <f t="shared" si="4"/>
        <v>17272</v>
      </c>
      <c r="P13" s="324">
        <f t="shared" si="0"/>
        <v>207187</v>
      </c>
      <c r="Q13" s="324">
        <f t="shared" si="1"/>
        <v>17265.583333333332</v>
      </c>
    </row>
    <row r="15" spans="2:17" x14ac:dyDescent="0.25">
      <c r="B15" s="311" t="s">
        <v>128</v>
      </c>
    </row>
    <row r="16" spans="2:17" x14ac:dyDescent="0.25">
      <c r="B16" s="311"/>
    </row>
    <row r="17" spans="2:17" x14ac:dyDescent="0.25">
      <c r="B17" s="315" t="s">
        <v>4</v>
      </c>
      <c r="C17" s="316" t="s">
        <v>30</v>
      </c>
      <c r="D17" s="317">
        <v>43466</v>
      </c>
      <c r="E17" s="317">
        <v>43497</v>
      </c>
      <c r="F17" s="317">
        <v>43525</v>
      </c>
      <c r="G17" s="317">
        <v>43556</v>
      </c>
      <c r="H17" s="317">
        <v>43586</v>
      </c>
      <c r="I17" s="317">
        <v>43617</v>
      </c>
      <c r="J17" s="317">
        <v>43647</v>
      </c>
      <c r="K17" s="317">
        <v>43678</v>
      </c>
      <c r="L17" s="317">
        <v>43709</v>
      </c>
      <c r="M17" s="317">
        <v>43739</v>
      </c>
      <c r="N17" s="317">
        <v>43770</v>
      </c>
      <c r="O17" s="317">
        <v>43800</v>
      </c>
      <c r="P17" s="318" t="s">
        <v>34</v>
      </c>
      <c r="Q17" s="318" t="s">
        <v>85</v>
      </c>
    </row>
    <row r="18" spans="2:17" x14ac:dyDescent="0.25">
      <c r="B18" s="319" t="s">
        <v>86</v>
      </c>
      <c r="C18" s="312" t="s">
        <v>112</v>
      </c>
      <c r="D18" s="320">
        <v>21983064</v>
      </c>
      <c r="E18" s="320">
        <v>17466664</v>
      </c>
      <c r="F18" s="320">
        <v>14447187</v>
      </c>
      <c r="G18" s="320">
        <v>10685869</v>
      </c>
      <c r="H18" s="320">
        <v>12557765</v>
      </c>
      <c r="I18" s="320">
        <v>14430917</v>
      </c>
      <c r="J18" s="320">
        <v>16185405</v>
      </c>
      <c r="K18" s="320">
        <v>15047614</v>
      </c>
      <c r="L18" s="320">
        <v>12751359</v>
      </c>
      <c r="M18" s="320">
        <v>13832119</v>
      </c>
      <c r="N18" s="320">
        <v>18414869</v>
      </c>
      <c r="O18" s="320">
        <v>18881736</v>
      </c>
      <c r="P18" s="321">
        <f>SUM(D18:O18)</f>
        <v>186684568</v>
      </c>
      <c r="Q18" s="321">
        <f>AVERAGE(D18:O18)</f>
        <v>15557047.333333334</v>
      </c>
    </row>
    <row r="19" spans="2:17" x14ac:dyDescent="0.25">
      <c r="B19" s="319" t="s">
        <v>119</v>
      </c>
      <c r="C19" s="312" t="s">
        <v>113</v>
      </c>
      <c r="D19" s="320">
        <v>962701</v>
      </c>
      <c r="E19" s="320">
        <v>823312</v>
      </c>
      <c r="F19" s="320">
        <v>807514</v>
      </c>
      <c r="G19" s="320">
        <v>732315</v>
      </c>
      <c r="H19" s="320">
        <v>789060</v>
      </c>
      <c r="I19" s="320">
        <v>816640</v>
      </c>
      <c r="J19" s="320">
        <v>899048</v>
      </c>
      <c r="K19" s="320">
        <v>881699</v>
      </c>
      <c r="L19" s="320">
        <v>827449</v>
      </c>
      <c r="M19" s="320">
        <v>739159</v>
      </c>
      <c r="N19" s="320">
        <v>842824</v>
      </c>
      <c r="O19" s="320">
        <v>830479</v>
      </c>
      <c r="P19" s="321">
        <f t="shared" ref="P19:P20" si="5">SUM(D19:O19)</f>
        <v>9952200</v>
      </c>
      <c r="Q19" s="321">
        <f t="shared" ref="Q19:Q20" si="6">AVERAGE(D19:O19)</f>
        <v>829350</v>
      </c>
    </row>
    <row r="20" spans="2:17" x14ac:dyDescent="0.25">
      <c r="B20" s="319" t="s">
        <v>124</v>
      </c>
      <c r="C20" s="312" t="s">
        <v>114</v>
      </c>
      <c r="D20" s="320">
        <v>2751301</v>
      </c>
      <c r="E20" s="320">
        <v>2429216</v>
      </c>
      <c r="F20" s="320">
        <v>2502429</v>
      </c>
      <c r="G20" s="320">
        <v>2137005</v>
      </c>
      <c r="H20" s="320">
        <v>2297680</v>
      </c>
      <c r="I20" s="320">
        <v>2399745</v>
      </c>
      <c r="J20" s="320">
        <v>2727395</v>
      </c>
      <c r="K20" s="320">
        <v>2616218</v>
      </c>
      <c r="L20" s="320">
        <v>2347318</v>
      </c>
      <c r="M20" s="320">
        <v>2314152</v>
      </c>
      <c r="N20" s="320">
        <v>2571182</v>
      </c>
      <c r="O20" s="320">
        <v>2590827</v>
      </c>
      <c r="P20" s="321">
        <f t="shared" si="5"/>
        <v>29684468</v>
      </c>
      <c r="Q20" s="321">
        <f t="shared" si="6"/>
        <v>2473705.6666666665</v>
      </c>
    </row>
    <row r="21" spans="2:17" x14ac:dyDescent="0.25">
      <c r="B21" s="319" t="s">
        <v>125</v>
      </c>
      <c r="C21" s="312" t="s">
        <v>115</v>
      </c>
      <c r="D21" s="320">
        <v>71760</v>
      </c>
      <c r="E21" s="320">
        <v>59472</v>
      </c>
      <c r="F21" s="320">
        <v>70800</v>
      </c>
      <c r="G21" s="320">
        <v>72720</v>
      </c>
      <c r="H21" s="320">
        <v>73872</v>
      </c>
      <c r="I21" s="320">
        <v>72912</v>
      </c>
      <c r="J21" s="320">
        <v>84816</v>
      </c>
      <c r="K21" s="320">
        <v>82320</v>
      </c>
      <c r="L21" s="320">
        <v>75792</v>
      </c>
      <c r="M21" s="320">
        <v>66960</v>
      </c>
      <c r="N21" s="320">
        <v>64848</v>
      </c>
      <c r="O21" s="320">
        <v>56784</v>
      </c>
      <c r="P21" s="321">
        <f>SUM(D21:O21)</f>
        <v>853056</v>
      </c>
      <c r="Q21" s="321">
        <f>AVERAGE(D21:O21)</f>
        <v>71088</v>
      </c>
    </row>
    <row r="22" spans="2:17" x14ac:dyDescent="0.25">
      <c r="B22" s="319" t="s">
        <v>126</v>
      </c>
      <c r="C22" s="312" t="s">
        <v>114</v>
      </c>
      <c r="D22" s="320">
        <v>237072</v>
      </c>
      <c r="E22" s="320">
        <v>206384</v>
      </c>
      <c r="F22" s="320">
        <v>277904</v>
      </c>
      <c r="G22" s="320">
        <v>255456</v>
      </c>
      <c r="H22" s="320">
        <v>183216</v>
      </c>
      <c r="I22" s="320">
        <v>156256</v>
      </c>
      <c r="J22" s="320">
        <v>184808</v>
      </c>
      <c r="K22" s="320">
        <v>164280</v>
      </c>
      <c r="L22" s="320">
        <v>175684</v>
      </c>
      <c r="M22" s="320">
        <v>162408</v>
      </c>
      <c r="N22" s="320">
        <v>124280</v>
      </c>
      <c r="O22" s="320">
        <v>113584</v>
      </c>
      <c r="P22" s="321">
        <f t="shared" ref="P22:P27" si="7">SUM(D22:O22)</f>
        <v>2241332</v>
      </c>
      <c r="Q22" s="321">
        <f t="shared" ref="Q22:Q27" si="8">AVERAGE(D22:O22)</f>
        <v>186777.66666666666</v>
      </c>
    </row>
    <row r="23" spans="2:17" x14ac:dyDescent="0.25">
      <c r="B23" s="319" t="s">
        <v>127</v>
      </c>
      <c r="C23" s="312" t="s">
        <v>115</v>
      </c>
      <c r="D23" s="320">
        <v>759552</v>
      </c>
      <c r="E23" s="320">
        <v>684208</v>
      </c>
      <c r="F23" s="320">
        <v>773072</v>
      </c>
      <c r="G23" s="320">
        <v>863600</v>
      </c>
      <c r="H23" s="320">
        <v>956752</v>
      </c>
      <c r="I23" s="320">
        <v>967232</v>
      </c>
      <c r="J23" s="320">
        <v>1241184</v>
      </c>
      <c r="K23" s="320">
        <v>1113488</v>
      </c>
      <c r="L23" s="320">
        <v>620064</v>
      </c>
      <c r="M23" s="320">
        <v>826368</v>
      </c>
      <c r="N23" s="320">
        <v>707368</v>
      </c>
      <c r="O23" s="320">
        <v>722744</v>
      </c>
      <c r="P23" s="321">
        <f t="shared" si="7"/>
        <v>10235632</v>
      </c>
      <c r="Q23" s="321">
        <f t="shared" si="8"/>
        <v>852969.33333333337</v>
      </c>
    </row>
    <row r="24" spans="2:17" x14ac:dyDescent="0.25">
      <c r="B24" s="319" t="s">
        <v>87</v>
      </c>
      <c r="C24" s="312" t="s">
        <v>116</v>
      </c>
      <c r="D24" s="320">
        <v>12182</v>
      </c>
      <c r="E24" s="320">
        <v>14350</v>
      </c>
      <c r="F24" s="320">
        <v>14235</v>
      </c>
      <c r="G24" s="320">
        <v>14087</v>
      </c>
      <c r="H24" s="320">
        <v>14066</v>
      </c>
      <c r="I24" s="320">
        <v>14026</v>
      </c>
      <c r="J24" s="320">
        <v>13775</v>
      </c>
      <c r="K24" s="320">
        <v>13675</v>
      </c>
      <c r="L24" s="320">
        <v>13626</v>
      </c>
      <c r="M24" s="320">
        <v>13386</v>
      </c>
      <c r="N24" s="320">
        <v>13459</v>
      </c>
      <c r="O24" s="320">
        <v>13274</v>
      </c>
      <c r="P24" s="321">
        <f t="shared" si="7"/>
        <v>164141</v>
      </c>
      <c r="Q24" s="321">
        <f t="shared" si="8"/>
        <v>13678.416666666666</v>
      </c>
    </row>
    <row r="25" spans="2:17" x14ac:dyDescent="0.25">
      <c r="B25" s="319" t="s">
        <v>129</v>
      </c>
      <c r="D25" s="320">
        <v>23189</v>
      </c>
      <c r="E25" s="320">
        <v>20714</v>
      </c>
      <c r="F25" s="320">
        <v>21090</v>
      </c>
      <c r="G25" s="320">
        <v>8730</v>
      </c>
      <c r="H25" s="320">
        <v>4718</v>
      </c>
      <c r="I25" s="320">
        <v>9651</v>
      </c>
      <c r="J25" s="320">
        <v>9214</v>
      </c>
      <c r="K25" s="320">
        <v>8679</v>
      </c>
      <c r="L25" s="320">
        <v>8837</v>
      </c>
      <c r="M25" s="320">
        <v>8072</v>
      </c>
      <c r="N25" s="320">
        <v>16350</v>
      </c>
      <c r="O25" s="320">
        <v>19668</v>
      </c>
      <c r="P25" s="321">
        <f t="shared" si="7"/>
        <v>158912</v>
      </c>
      <c r="Q25" s="321">
        <f t="shared" si="8"/>
        <v>13242.666666666666</v>
      </c>
    </row>
    <row r="26" spans="2:17" x14ac:dyDescent="0.25">
      <c r="B26" s="322" t="s">
        <v>34</v>
      </c>
      <c r="C26" s="323"/>
      <c r="D26" s="324">
        <f>SUM(D18:D25)</f>
        <v>26800821</v>
      </c>
      <c r="E26" s="324">
        <f t="shared" ref="E26:O26" si="9">SUM(E18:E25)</f>
        <v>21704320</v>
      </c>
      <c r="F26" s="324">
        <f t="shared" si="9"/>
        <v>18914231</v>
      </c>
      <c r="G26" s="324">
        <f t="shared" si="9"/>
        <v>14769782</v>
      </c>
      <c r="H26" s="324">
        <f t="shared" si="9"/>
        <v>16877129</v>
      </c>
      <c r="I26" s="324">
        <f t="shared" si="9"/>
        <v>18867379</v>
      </c>
      <c r="J26" s="324">
        <f t="shared" si="9"/>
        <v>21345645</v>
      </c>
      <c r="K26" s="324">
        <f t="shared" si="9"/>
        <v>19927973</v>
      </c>
      <c r="L26" s="324">
        <f t="shared" si="9"/>
        <v>16820129</v>
      </c>
      <c r="M26" s="324">
        <f t="shared" si="9"/>
        <v>17962624</v>
      </c>
      <c r="N26" s="324">
        <f t="shared" si="9"/>
        <v>22755180</v>
      </c>
      <c r="O26" s="324">
        <f t="shared" si="9"/>
        <v>23229096</v>
      </c>
      <c r="P26" s="321">
        <f t="shared" si="7"/>
        <v>239974309</v>
      </c>
      <c r="Q26" s="321">
        <f t="shared" si="8"/>
        <v>19997859.083333332</v>
      </c>
    </row>
    <row r="27" spans="2:17" x14ac:dyDescent="0.25">
      <c r="B27" s="319" t="s">
        <v>130</v>
      </c>
      <c r="D27" s="325">
        <f>D26-D25</f>
        <v>26777632</v>
      </c>
      <c r="E27" s="325">
        <f t="shared" ref="E27:O27" si="10">E26-E25</f>
        <v>21683606</v>
      </c>
      <c r="F27" s="325">
        <f t="shared" si="10"/>
        <v>18893141</v>
      </c>
      <c r="G27" s="325">
        <f t="shared" si="10"/>
        <v>14761052</v>
      </c>
      <c r="H27" s="325">
        <f t="shared" si="10"/>
        <v>16872411</v>
      </c>
      <c r="I27" s="325">
        <f t="shared" si="10"/>
        <v>18857728</v>
      </c>
      <c r="J27" s="325">
        <f t="shared" si="10"/>
        <v>21336431</v>
      </c>
      <c r="K27" s="325">
        <f t="shared" si="10"/>
        <v>19919294</v>
      </c>
      <c r="L27" s="325">
        <f t="shared" si="10"/>
        <v>16811292</v>
      </c>
      <c r="M27" s="325">
        <f t="shared" si="10"/>
        <v>17954552</v>
      </c>
      <c r="N27" s="325">
        <f t="shared" si="10"/>
        <v>22738830</v>
      </c>
      <c r="O27" s="325">
        <f t="shared" si="10"/>
        <v>23209428</v>
      </c>
      <c r="P27" s="321">
        <f t="shared" si="7"/>
        <v>239815397</v>
      </c>
      <c r="Q27" s="321">
        <f t="shared" si="8"/>
        <v>19984616.416666668</v>
      </c>
    </row>
    <row r="29" spans="2:17" x14ac:dyDescent="0.25">
      <c r="B29" s="311" t="s">
        <v>131</v>
      </c>
    </row>
    <row r="30" spans="2:17" x14ac:dyDescent="0.25">
      <c r="B30" s="311"/>
    </row>
    <row r="31" spans="2:17" x14ac:dyDescent="0.25">
      <c r="B31" s="315" t="s">
        <v>4</v>
      </c>
      <c r="C31" s="316" t="s">
        <v>30</v>
      </c>
      <c r="D31" s="317">
        <v>43466</v>
      </c>
      <c r="E31" s="317">
        <v>43497</v>
      </c>
      <c r="F31" s="317">
        <v>43525</v>
      </c>
      <c r="G31" s="317">
        <v>43556</v>
      </c>
      <c r="H31" s="317">
        <v>43586</v>
      </c>
      <c r="I31" s="317">
        <v>43617</v>
      </c>
      <c r="J31" s="317">
        <v>43647</v>
      </c>
      <c r="K31" s="317">
        <v>43678</v>
      </c>
      <c r="L31" s="317">
        <v>43709</v>
      </c>
      <c r="M31" s="317">
        <v>43739</v>
      </c>
      <c r="N31" s="317">
        <v>43770</v>
      </c>
      <c r="O31" s="317">
        <v>43800</v>
      </c>
      <c r="P31" s="318" t="s">
        <v>34</v>
      </c>
      <c r="Q31" s="318" t="s">
        <v>85</v>
      </c>
    </row>
    <row r="32" spans="2:17" x14ac:dyDescent="0.25">
      <c r="B32" s="319" t="s">
        <v>86</v>
      </c>
      <c r="C32" s="312" t="s">
        <v>112</v>
      </c>
      <c r="D32" s="320"/>
      <c r="E32" s="320">
        <v>0</v>
      </c>
      <c r="F32" s="320">
        <v>0</v>
      </c>
      <c r="G32" s="320">
        <v>0</v>
      </c>
      <c r="H32" s="320">
        <v>0</v>
      </c>
      <c r="I32" s="320">
        <v>0</v>
      </c>
      <c r="J32" s="320">
        <v>0</v>
      </c>
      <c r="K32" s="320">
        <v>0</v>
      </c>
      <c r="L32" s="320">
        <v>0</v>
      </c>
      <c r="M32" s="320">
        <v>0</v>
      </c>
      <c r="N32" s="320">
        <v>0</v>
      </c>
      <c r="O32" s="320">
        <v>0</v>
      </c>
      <c r="P32" s="321">
        <f>SUM(D32:O32)</f>
        <v>0</v>
      </c>
      <c r="Q32" s="321">
        <f>AVERAGE(D32:O32)</f>
        <v>0</v>
      </c>
    </row>
    <row r="33" spans="2:17" x14ac:dyDescent="0.25">
      <c r="B33" s="319" t="s">
        <v>119</v>
      </c>
      <c r="C33" s="312" t="s">
        <v>113</v>
      </c>
      <c r="D33" s="320"/>
      <c r="E33" s="320">
        <v>0</v>
      </c>
      <c r="F33" s="320">
        <v>0</v>
      </c>
      <c r="G33" s="320">
        <v>0</v>
      </c>
      <c r="H33" s="320">
        <v>0</v>
      </c>
      <c r="I33" s="320">
        <v>0</v>
      </c>
      <c r="J33" s="320">
        <v>0</v>
      </c>
      <c r="K33" s="320">
        <v>0</v>
      </c>
      <c r="L33" s="320">
        <v>0</v>
      </c>
      <c r="M33" s="320">
        <v>0</v>
      </c>
      <c r="N33" s="320">
        <v>0</v>
      </c>
      <c r="O33" s="320">
        <v>0</v>
      </c>
      <c r="P33" s="321">
        <f t="shared" ref="P33:P34" si="11">SUM(D33:O33)</f>
        <v>0</v>
      </c>
      <c r="Q33" s="321">
        <f t="shared" ref="Q33:Q34" si="12">AVERAGE(D33:O33)</f>
        <v>0</v>
      </c>
    </row>
    <row r="34" spans="2:17" x14ac:dyDescent="0.25">
      <c r="B34" s="319" t="s">
        <v>124</v>
      </c>
      <c r="C34" s="312" t="s">
        <v>114</v>
      </c>
      <c r="D34" s="320">
        <v>0</v>
      </c>
      <c r="E34" s="320">
        <v>0</v>
      </c>
      <c r="F34" s="320">
        <v>0</v>
      </c>
      <c r="G34" s="320">
        <v>0</v>
      </c>
      <c r="H34" s="320">
        <v>0</v>
      </c>
      <c r="I34" s="320">
        <v>0</v>
      </c>
      <c r="J34" s="320">
        <v>0</v>
      </c>
      <c r="K34" s="320">
        <v>0</v>
      </c>
      <c r="L34" s="320">
        <v>0</v>
      </c>
      <c r="M34" s="320">
        <v>0</v>
      </c>
      <c r="N34" s="320">
        <v>0</v>
      </c>
      <c r="O34" s="320">
        <v>0</v>
      </c>
      <c r="P34" s="321">
        <f t="shared" si="11"/>
        <v>0</v>
      </c>
      <c r="Q34" s="321">
        <f t="shared" si="12"/>
        <v>0</v>
      </c>
    </row>
    <row r="35" spans="2:17" x14ac:dyDescent="0.25">
      <c r="B35" s="319" t="s">
        <v>125</v>
      </c>
      <c r="C35" s="312" t="s">
        <v>115</v>
      </c>
      <c r="D35" s="320">
        <v>0</v>
      </c>
      <c r="E35" s="320">
        <v>0</v>
      </c>
      <c r="F35" s="320">
        <v>0</v>
      </c>
      <c r="G35" s="320">
        <v>0</v>
      </c>
      <c r="H35" s="320">
        <v>0</v>
      </c>
      <c r="I35" s="320">
        <v>0</v>
      </c>
      <c r="J35" s="320">
        <v>0</v>
      </c>
      <c r="K35" s="320">
        <v>0</v>
      </c>
      <c r="L35" s="320">
        <v>0</v>
      </c>
      <c r="M35" s="320">
        <v>0</v>
      </c>
      <c r="N35" s="320">
        <v>0</v>
      </c>
      <c r="O35" s="320">
        <v>0</v>
      </c>
      <c r="P35" s="321">
        <f>SUM(D35:O35)</f>
        <v>0</v>
      </c>
      <c r="Q35" s="321">
        <f>AVERAGE(D35:O35)</f>
        <v>0</v>
      </c>
    </row>
    <row r="36" spans="2:17" x14ac:dyDescent="0.25">
      <c r="B36" s="319" t="s">
        <v>126</v>
      </c>
      <c r="C36" s="312" t="s">
        <v>114</v>
      </c>
      <c r="D36" s="320">
        <v>11010.5</v>
      </c>
      <c r="E36" s="320">
        <v>11331.5</v>
      </c>
      <c r="F36" s="320">
        <v>12531.51</v>
      </c>
      <c r="G36" s="320">
        <v>10855.78</v>
      </c>
      <c r="H36" s="320">
        <v>9703.84</v>
      </c>
      <c r="I36" s="320">
        <v>9002.52</v>
      </c>
      <c r="J36" s="320">
        <v>10015.370000000001</v>
      </c>
      <c r="K36" s="320">
        <v>10443.42</v>
      </c>
      <c r="L36" s="320">
        <v>10369.41</v>
      </c>
      <c r="M36" s="320">
        <v>10671.84</v>
      </c>
      <c r="N36" s="320">
        <v>10995.02</v>
      </c>
      <c r="O36" s="320">
        <v>10414.64</v>
      </c>
      <c r="P36" s="321">
        <f t="shared" ref="P36:P39" si="13">SUM(D36:O36)</f>
        <v>127345.35</v>
      </c>
      <c r="Q36" s="321">
        <f t="shared" ref="Q36:Q39" si="14">AVERAGE(D36:O36)</f>
        <v>10612.112500000001</v>
      </c>
    </row>
    <row r="37" spans="2:17" x14ac:dyDescent="0.25">
      <c r="B37" s="319" t="s">
        <v>127</v>
      </c>
      <c r="C37" s="312" t="s">
        <v>115</v>
      </c>
      <c r="D37" s="320">
        <v>1694</v>
      </c>
      <c r="E37" s="320">
        <v>1626.74</v>
      </c>
      <c r="F37" s="320">
        <v>1838.71</v>
      </c>
      <c r="G37" s="320">
        <v>1867.25</v>
      </c>
      <c r="H37" s="320">
        <v>1876.76</v>
      </c>
      <c r="I37" s="320">
        <v>2003.57</v>
      </c>
      <c r="J37" s="320">
        <v>2025.93</v>
      </c>
      <c r="K37" s="320">
        <v>2010.05</v>
      </c>
      <c r="L37" s="320">
        <v>1953.93</v>
      </c>
      <c r="M37" s="320">
        <v>1904.11</v>
      </c>
      <c r="N37" s="320">
        <v>1896.14</v>
      </c>
      <c r="O37" s="320">
        <v>1509.42</v>
      </c>
      <c r="P37" s="321">
        <f t="shared" si="13"/>
        <v>22206.61</v>
      </c>
      <c r="Q37" s="321">
        <f t="shared" si="14"/>
        <v>1850.5508333333335</v>
      </c>
    </row>
    <row r="38" spans="2:17" x14ac:dyDescent="0.25">
      <c r="B38" s="319" t="s">
        <v>87</v>
      </c>
      <c r="C38" s="312" t="s">
        <v>116</v>
      </c>
      <c r="D38" s="320"/>
      <c r="E38" s="320">
        <v>0</v>
      </c>
      <c r="F38" s="320">
        <v>0</v>
      </c>
      <c r="G38" s="320">
        <v>0</v>
      </c>
      <c r="H38" s="320">
        <v>0</v>
      </c>
      <c r="I38" s="320">
        <v>0</v>
      </c>
      <c r="J38" s="320">
        <v>0</v>
      </c>
      <c r="K38" s="320">
        <v>0</v>
      </c>
      <c r="L38" s="320">
        <v>0</v>
      </c>
      <c r="M38" s="320">
        <v>0</v>
      </c>
      <c r="N38" s="320">
        <v>0</v>
      </c>
      <c r="O38" s="320">
        <v>0</v>
      </c>
      <c r="P38" s="321">
        <f t="shared" si="13"/>
        <v>0</v>
      </c>
      <c r="Q38" s="321">
        <f t="shared" si="14"/>
        <v>0</v>
      </c>
    </row>
    <row r="39" spans="2:17" x14ac:dyDescent="0.25">
      <c r="B39" s="322" t="s">
        <v>34</v>
      </c>
      <c r="C39" s="323"/>
      <c r="D39" s="324">
        <f t="shared" ref="D39:O39" si="15">SUM(D32:D38)</f>
        <v>12704.5</v>
      </c>
      <c r="E39" s="324">
        <f t="shared" si="15"/>
        <v>12958.24</v>
      </c>
      <c r="F39" s="324">
        <f t="shared" si="15"/>
        <v>14370.220000000001</v>
      </c>
      <c r="G39" s="324">
        <f t="shared" si="15"/>
        <v>12723.03</v>
      </c>
      <c r="H39" s="324">
        <f t="shared" si="15"/>
        <v>11580.6</v>
      </c>
      <c r="I39" s="324">
        <f t="shared" si="15"/>
        <v>11006.09</v>
      </c>
      <c r="J39" s="324">
        <f t="shared" si="15"/>
        <v>12041.300000000001</v>
      </c>
      <c r="K39" s="324">
        <f t="shared" si="15"/>
        <v>12453.47</v>
      </c>
      <c r="L39" s="324">
        <f t="shared" si="15"/>
        <v>12323.34</v>
      </c>
      <c r="M39" s="324">
        <f t="shared" si="15"/>
        <v>12575.95</v>
      </c>
      <c r="N39" s="324">
        <f t="shared" si="15"/>
        <v>12891.16</v>
      </c>
      <c r="O39" s="324">
        <f t="shared" si="15"/>
        <v>11924.06</v>
      </c>
      <c r="P39" s="324">
        <f t="shared" si="13"/>
        <v>149551.96</v>
      </c>
      <c r="Q39" s="324">
        <f t="shared" si="14"/>
        <v>12462.663333333332</v>
      </c>
    </row>
    <row r="42" spans="2:17" x14ac:dyDescent="0.25">
      <c r="B42" s="311" t="s">
        <v>132</v>
      </c>
    </row>
    <row r="43" spans="2:17" x14ac:dyDescent="0.25">
      <c r="B43" s="311"/>
    </row>
    <row r="44" spans="2:17" x14ac:dyDescent="0.25">
      <c r="B44" s="315" t="s">
        <v>4</v>
      </c>
      <c r="C44" s="316" t="s">
        <v>30</v>
      </c>
      <c r="D44" s="317">
        <v>43466</v>
      </c>
      <c r="E44" s="317">
        <v>43497</v>
      </c>
      <c r="F44" s="317">
        <v>43525</v>
      </c>
      <c r="G44" s="317">
        <v>43556</v>
      </c>
      <c r="H44" s="317">
        <v>43586</v>
      </c>
      <c r="I44" s="317">
        <v>43617</v>
      </c>
      <c r="J44" s="317">
        <v>43647</v>
      </c>
      <c r="K44" s="317">
        <v>43678</v>
      </c>
      <c r="L44" s="317">
        <v>43709</v>
      </c>
      <c r="M44" s="317">
        <v>43739</v>
      </c>
      <c r="N44" s="317">
        <v>43770</v>
      </c>
      <c r="O44" s="317">
        <v>43800</v>
      </c>
      <c r="P44" s="318" t="s">
        <v>34</v>
      </c>
      <c r="Q44" s="318" t="s">
        <v>85</v>
      </c>
    </row>
    <row r="45" spans="2:17" x14ac:dyDescent="0.25">
      <c r="B45" s="319" t="s">
        <v>86</v>
      </c>
      <c r="C45" s="312" t="s">
        <v>112</v>
      </c>
      <c r="D45" s="320">
        <v>2517355.37</v>
      </c>
      <c r="E45" s="320">
        <v>1924547.32</v>
      </c>
      <c r="F45" s="320">
        <v>1668023.09</v>
      </c>
      <c r="G45" s="320">
        <v>1298367.4099999999</v>
      </c>
      <c r="H45" s="320">
        <v>1531289.67</v>
      </c>
      <c r="I45" s="320">
        <v>1673819.53</v>
      </c>
      <c r="J45" s="320">
        <v>1892456.19</v>
      </c>
      <c r="K45" s="320">
        <v>1758670.73</v>
      </c>
      <c r="L45" s="320">
        <v>1506622.28</v>
      </c>
      <c r="M45" s="320">
        <v>1584418.78</v>
      </c>
      <c r="N45" s="320">
        <v>2023900.17</v>
      </c>
      <c r="O45" s="320">
        <v>2087593.29</v>
      </c>
      <c r="P45" s="321">
        <f>SUM(D45:O45)</f>
        <v>21467063.829999998</v>
      </c>
      <c r="Q45" s="321">
        <f>AVERAGE(D45:O45)</f>
        <v>1788921.9858333331</v>
      </c>
    </row>
    <row r="46" spans="2:17" x14ac:dyDescent="0.25">
      <c r="B46" s="319" t="s">
        <v>119</v>
      </c>
      <c r="C46" s="312" t="s">
        <v>113</v>
      </c>
      <c r="D46" s="320">
        <v>114508.14</v>
      </c>
      <c r="E46" s="320">
        <v>95655.72</v>
      </c>
      <c r="F46" s="320">
        <v>95797.59</v>
      </c>
      <c r="G46" s="320">
        <v>88785.600000000006</v>
      </c>
      <c r="H46" s="320">
        <v>96909.97</v>
      </c>
      <c r="I46" s="320">
        <v>96818.06</v>
      </c>
      <c r="J46" s="320">
        <v>106327.52</v>
      </c>
      <c r="K46" s="320">
        <v>103717.33</v>
      </c>
      <c r="L46" s="320">
        <v>97101.32</v>
      </c>
      <c r="M46" s="320">
        <v>89591.13</v>
      </c>
      <c r="N46" s="320">
        <v>96232.74</v>
      </c>
      <c r="O46" s="320">
        <v>101625.57</v>
      </c>
      <c r="P46" s="321">
        <f t="shared" ref="P46:P47" si="16">SUM(D46:O46)</f>
        <v>1183070.69</v>
      </c>
      <c r="Q46" s="321">
        <f t="shared" ref="Q46:Q47" si="17">AVERAGE(D46:O46)</f>
        <v>98589.224166666667</v>
      </c>
    </row>
    <row r="47" spans="2:17" x14ac:dyDescent="0.25">
      <c r="B47" s="319" t="s">
        <v>124</v>
      </c>
      <c r="C47" s="312" t="s">
        <v>114</v>
      </c>
      <c r="D47" s="320">
        <v>301011.78000000003</v>
      </c>
      <c r="E47" s="320">
        <v>256955.51</v>
      </c>
      <c r="F47" s="320">
        <v>276093.61</v>
      </c>
      <c r="G47" s="320">
        <v>228054.45</v>
      </c>
      <c r="H47" s="320">
        <v>250107.49</v>
      </c>
      <c r="I47" s="320">
        <v>246516.38</v>
      </c>
      <c r="J47" s="320">
        <v>280803.55</v>
      </c>
      <c r="K47" s="320">
        <v>276025.65999999997</v>
      </c>
      <c r="L47" s="320">
        <v>252641.77</v>
      </c>
      <c r="M47" s="320">
        <v>247777.08</v>
      </c>
      <c r="N47" s="320">
        <v>267940.71999999997</v>
      </c>
      <c r="O47" s="320">
        <v>273299.64</v>
      </c>
      <c r="P47" s="321">
        <f t="shared" si="16"/>
        <v>3157227.64</v>
      </c>
      <c r="Q47" s="321">
        <f t="shared" si="17"/>
        <v>263102.30333333334</v>
      </c>
    </row>
    <row r="48" spans="2:17" x14ac:dyDescent="0.25">
      <c r="B48" s="319" t="s">
        <v>125</v>
      </c>
      <c r="C48" s="312" t="s">
        <v>115</v>
      </c>
      <c r="D48" s="320">
        <v>6380.21</v>
      </c>
      <c r="E48" s="320">
        <v>5040.78</v>
      </c>
      <c r="F48" s="320">
        <v>5702.17</v>
      </c>
      <c r="G48" s="320">
        <v>5738.18</v>
      </c>
      <c r="H48" s="320">
        <v>5843.53</v>
      </c>
      <c r="I48" s="320">
        <v>5821.38</v>
      </c>
      <c r="J48" s="320">
        <v>6778.68</v>
      </c>
      <c r="K48" s="320">
        <v>6592.39</v>
      </c>
      <c r="L48" s="320">
        <v>6087.56</v>
      </c>
      <c r="M48" s="320">
        <v>5175.33</v>
      </c>
      <c r="N48" s="320">
        <v>5188.71</v>
      </c>
      <c r="O48" s="320">
        <v>4748.17</v>
      </c>
      <c r="P48" s="321">
        <f>SUM(D48:O48)</f>
        <v>69097.09</v>
      </c>
      <c r="Q48" s="321">
        <f>AVERAGE(D48:O48)</f>
        <v>5758.0908333333327</v>
      </c>
    </row>
    <row r="49" spans="1:17" x14ac:dyDescent="0.25">
      <c r="B49" s="319" t="s">
        <v>126</v>
      </c>
      <c r="C49" s="312" t="s">
        <v>114</v>
      </c>
      <c r="D49" s="320">
        <v>26376.54</v>
      </c>
      <c r="E49" s="320">
        <v>26306.400000000001</v>
      </c>
      <c r="F49" s="320">
        <v>31336.47</v>
      </c>
      <c r="G49" s="320">
        <v>29194.38</v>
      </c>
      <c r="H49" s="320">
        <v>22989.25</v>
      </c>
      <c r="I49" s="320">
        <v>18182.39</v>
      </c>
      <c r="J49" s="320">
        <v>24928.19</v>
      </c>
      <c r="K49" s="320">
        <v>20193</v>
      </c>
      <c r="L49" s="320">
        <v>20057.36</v>
      </c>
      <c r="M49" s="320">
        <v>19543.240000000002</v>
      </c>
      <c r="N49" s="320">
        <v>17612.28</v>
      </c>
      <c r="O49" s="320">
        <v>12923.99</v>
      </c>
      <c r="P49" s="321">
        <f t="shared" ref="P49:P53" si="18">SUM(D49:O49)</f>
        <v>269643.49</v>
      </c>
      <c r="Q49" s="321">
        <f t="shared" ref="Q49:Q53" si="19">AVERAGE(D49:O49)</f>
        <v>22470.290833333333</v>
      </c>
    </row>
    <row r="50" spans="1:17" x14ac:dyDescent="0.25">
      <c r="B50" s="319" t="s">
        <v>127</v>
      </c>
      <c r="C50" s="312" t="s">
        <v>115</v>
      </c>
      <c r="D50" s="320">
        <v>58324.06</v>
      </c>
      <c r="E50" s="320">
        <v>47975.08</v>
      </c>
      <c r="F50" s="320">
        <v>55855.27</v>
      </c>
      <c r="G50" s="320">
        <v>59571.37</v>
      </c>
      <c r="H50" s="320">
        <v>68983.97</v>
      </c>
      <c r="I50" s="320">
        <v>66635.28</v>
      </c>
      <c r="J50" s="320">
        <v>85690.95</v>
      </c>
      <c r="K50" s="320">
        <v>76779.87</v>
      </c>
      <c r="L50" s="320">
        <v>47559.45</v>
      </c>
      <c r="M50" s="320">
        <v>57128.95</v>
      </c>
      <c r="N50" s="320">
        <v>50821.760000000002</v>
      </c>
      <c r="O50" s="320">
        <v>49419.65</v>
      </c>
      <c r="P50" s="321">
        <f t="shared" si="18"/>
        <v>724745.66</v>
      </c>
      <c r="Q50" s="321">
        <f t="shared" si="19"/>
        <v>60395.471666666672</v>
      </c>
    </row>
    <row r="51" spans="1:17" x14ac:dyDescent="0.25">
      <c r="B51" s="319" t="s">
        <v>87</v>
      </c>
      <c r="C51" s="312" t="s">
        <v>116</v>
      </c>
      <c r="D51" s="320">
        <v>2349.48</v>
      </c>
      <c r="E51" s="320">
        <v>2581.4499999999998</v>
      </c>
      <c r="F51" s="320">
        <v>2607.58</v>
      </c>
      <c r="G51" s="320">
        <v>2588.73</v>
      </c>
      <c r="H51" s="320">
        <v>2662.91</v>
      </c>
      <c r="I51" s="320">
        <v>2641.84</v>
      </c>
      <c r="J51" s="320">
        <v>2661.98</v>
      </c>
      <c r="K51" s="320">
        <v>2634.79</v>
      </c>
      <c r="L51" s="320">
        <v>2586.14</v>
      </c>
      <c r="M51" s="320">
        <v>2474.56</v>
      </c>
      <c r="N51" s="320">
        <v>2549.06</v>
      </c>
      <c r="O51" s="320">
        <v>563.9</v>
      </c>
      <c r="P51" s="321">
        <f t="shared" si="18"/>
        <v>28902.420000000006</v>
      </c>
      <c r="Q51" s="321">
        <f t="shared" si="19"/>
        <v>2408.5350000000003</v>
      </c>
    </row>
    <row r="52" spans="1:17" x14ac:dyDescent="0.25">
      <c r="B52" s="319" t="s">
        <v>133</v>
      </c>
      <c r="D52" s="320">
        <v>57.75</v>
      </c>
      <c r="E52" s="320">
        <v>55</v>
      </c>
      <c r="F52" s="320">
        <v>57.75</v>
      </c>
      <c r="G52" s="320">
        <v>57.75</v>
      </c>
      <c r="H52" s="320">
        <v>57.75</v>
      </c>
      <c r="I52" s="320">
        <v>57.75</v>
      </c>
      <c r="J52" s="320">
        <v>57.75</v>
      </c>
      <c r="K52" s="320">
        <v>55</v>
      </c>
      <c r="L52" s="320">
        <v>55</v>
      </c>
      <c r="M52" s="320">
        <v>55</v>
      </c>
      <c r="N52" s="320">
        <v>55</v>
      </c>
      <c r="O52" s="320">
        <v>731.5</v>
      </c>
      <c r="P52" s="321">
        <f t="shared" si="18"/>
        <v>1353</v>
      </c>
      <c r="Q52" s="321">
        <f t="shared" si="19"/>
        <v>112.75</v>
      </c>
    </row>
    <row r="53" spans="1:17" x14ac:dyDescent="0.25">
      <c r="B53" s="322" t="s">
        <v>34</v>
      </c>
      <c r="C53" s="323"/>
      <c r="D53" s="324">
        <f t="shared" ref="D53:O53" si="20">SUM(D45:D52)</f>
        <v>3026363.33</v>
      </c>
      <c r="E53" s="324">
        <f t="shared" si="20"/>
        <v>2359117.2599999998</v>
      </c>
      <c r="F53" s="324">
        <f t="shared" si="20"/>
        <v>2135473.5299999998</v>
      </c>
      <c r="G53" s="324">
        <f t="shared" si="20"/>
        <v>1712357.8699999999</v>
      </c>
      <c r="H53" s="324">
        <f t="shared" si="20"/>
        <v>1978844.5399999998</v>
      </c>
      <c r="I53" s="324">
        <f t="shared" si="20"/>
        <v>2110492.61</v>
      </c>
      <c r="J53" s="324">
        <f t="shared" si="20"/>
        <v>2399704.81</v>
      </c>
      <c r="K53" s="324">
        <f t="shared" si="20"/>
        <v>2244668.7700000005</v>
      </c>
      <c r="L53" s="324">
        <f t="shared" si="20"/>
        <v>1932710.8800000001</v>
      </c>
      <c r="M53" s="324">
        <f t="shared" si="20"/>
        <v>2006164.0700000003</v>
      </c>
      <c r="N53" s="324">
        <f t="shared" si="20"/>
        <v>2464300.4399999995</v>
      </c>
      <c r="O53" s="324">
        <f t="shared" si="20"/>
        <v>2530905.71</v>
      </c>
      <c r="P53" s="324">
        <f t="shared" si="18"/>
        <v>26901103.82</v>
      </c>
      <c r="Q53" s="324">
        <f t="shared" si="19"/>
        <v>2241758.6516666668</v>
      </c>
    </row>
    <row r="54" spans="1:17" x14ac:dyDescent="0.25">
      <c r="D54" s="313">
        <v>90788.43</v>
      </c>
      <c r="E54" s="313">
        <v>41615.050000000003</v>
      </c>
      <c r="F54" s="313">
        <v>39088.400000000001</v>
      </c>
      <c r="G54" s="313">
        <v>33970.78</v>
      </c>
      <c r="H54" s="313">
        <v>37354.660000000003</v>
      </c>
      <c r="I54" s="313">
        <v>39433.24</v>
      </c>
      <c r="J54" s="313">
        <v>43806.16</v>
      </c>
      <c r="K54" s="313">
        <v>41375.269999999997</v>
      </c>
      <c r="L54" s="313">
        <v>36982.54</v>
      </c>
      <c r="M54" s="313">
        <v>37646.49</v>
      </c>
      <c r="N54" s="313">
        <v>44452.88</v>
      </c>
      <c r="O54" s="313">
        <v>45471.42</v>
      </c>
    </row>
    <row r="55" spans="1:17" x14ac:dyDescent="0.25">
      <c r="D55" s="313">
        <v>52354.69</v>
      </c>
      <c r="E55" s="313">
        <f>70773.22+50</f>
        <v>70823.22</v>
      </c>
      <c r="F55" s="313">
        <f>64065.3+50</f>
        <v>64115.3</v>
      </c>
      <c r="G55" s="313">
        <f>51374.7+50</f>
        <v>51424.7</v>
      </c>
      <c r="H55" s="313">
        <f>59366.34+50</f>
        <v>59416.34</v>
      </c>
      <c r="I55" s="313">
        <f>63317.45+50</f>
        <v>63367.45</v>
      </c>
      <c r="J55" s="313">
        <f>71993.59+50</f>
        <v>72043.59</v>
      </c>
      <c r="K55" s="313">
        <f>67345.99+50</f>
        <v>67395.990000000005</v>
      </c>
      <c r="L55" s="313">
        <f>57982.45+50</f>
        <v>58032.45</v>
      </c>
      <c r="M55" s="313">
        <f>60184.75+50</f>
        <v>60234.75</v>
      </c>
      <c r="N55" s="313">
        <f>73926.5+50</f>
        <v>73976.5</v>
      </c>
      <c r="O55" s="313">
        <f>75927.52+50</f>
        <v>75977.52</v>
      </c>
    </row>
    <row r="56" spans="1:17" x14ac:dyDescent="0.25">
      <c r="B56" s="311" t="s">
        <v>134</v>
      </c>
      <c r="D56" s="325">
        <f>D53+D54+D55</f>
        <v>3169506.45</v>
      </c>
      <c r="E56" s="325">
        <f t="shared" ref="E56:O56" si="21">E53+E54+E55</f>
        <v>2471555.5299999998</v>
      </c>
      <c r="F56" s="325">
        <f t="shared" si="21"/>
        <v>2238677.2299999995</v>
      </c>
      <c r="G56" s="325">
        <f t="shared" si="21"/>
        <v>1797753.3499999999</v>
      </c>
      <c r="H56" s="325">
        <f t="shared" si="21"/>
        <v>2075615.5399999998</v>
      </c>
      <c r="I56" s="325">
        <f t="shared" si="21"/>
        <v>2213293.3000000003</v>
      </c>
      <c r="J56" s="325">
        <f t="shared" si="21"/>
        <v>2515554.56</v>
      </c>
      <c r="K56" s="325">
        <f t="shared" si="21"/>
        <v>2353440.0300000007</v>
      </c>
      <c r="L56" s="325">
        <f t="shared" si="21"/>
        <v>2027725.87</v>
      </c>
      <c r="M56" s="325">
        <f t="shared" si="21"/>
        <v>2104045.3100000005</v>
      </c>
      <c r="N56" s="325">
        <f t="shared" si="21"/>
        <v>2582729.8199999994</v>
      </c>
      <c r="O56" s="325">
        <f t="shared" si="21"/>
        <v>2652354.65</v>
      </c>
    </row>
    <row r="57" spans="1:17" x14ac:dyDescent="0.25">
      <c r="B57" s="311"/>
    </row>
    <row r="58" spans="1:17" x14ac:dyDescent="0.25">
      <c r="B58" s="315" t="s">
        <v>4</v>
      </c>
      <c r="C58" s="316" t="s">
        <v>30</v>
      </c>
      <c r="D58" s="317">
        <v>43466</v>
      </c>
      <c r="E58" s="317">
        <v>43497</v>
      </c>
      <c r="F58" s="317">
        <v>43525</v>
      </c>
      <c r="G58" s="317">
        <v>43556</v>
      </c>
      <c r="H58" s="317">
        <v>43586</v>
      </c>
      <c r="I58" s="317">
        <v>43617</v>
      </c>
      <c r="J58" s="317">
        <v>43647</v>
      </c>
      <c r="K58" s="317">
        <v>43678</v>
      </c>
      <c r="L58" s="317">
        <v>43709</v>
      </c>
      <c r="M58" s="317">
        <v>43739</v>
      </c>
      <c r="N58" s="317">
        <v>43770</v>
      </c>
      <c r="O58" s="317">
        <v>43800</v>
      </c>
      <c r="P58" s="318" t="s">
        <v>34</v>
      </c>
      <c r="Q58" s="318" t="s">
        <v>85</v>
      </c>
    </row>
    <row r="59" spans="1:17" x14ac:dyDescent="0.25">
      <c r="B59" s="319" t="s">
        <v>86</v>
      </c>
      <c r="C59" s="312" t="s">
        <v>112</v>
      </c>
      <c r="D59" s="320">
        <v>39129.85</v>
      </c>
      <c r="E59" s="320">
        <v>-84189.32</v>
      </c>
      <c r="F59" s="320">
        <v>-44208.39</v>
      </c>
      <c r="G59" s="320">
        <v>-61016.31</v>
      </c>
      <c r="H59" s="320">
        <v>-25869</v>
      </c>
      <c r="I59" s="320">
        <v>-94522.51</v>
      </c>
      <c r="J59" s="320">
        <v>-57134.48</v>
      </c>
      <c r="K59" s="320">
        <v>-65908.55</v>
      </c>
      <c r="L59" s="320">
        <v>-60696.47</v>
      </c>
      <c r="M59" s="320">
        <v>-94196.73</v>
      </c>
      <c r="N59" s="320">
        <v>-130008.98</v>
      </c>
      <c r="O59" s="320">
        <v>-134437.96</v>
      </c>
      <c r="P59" s="321">
        <f>SUM(D59:O59)</f>
        <v>-813058.84999999986</v>
      </c>
      <c r="Q59" s="321">
        <f>AVERAGE(D59:O59)</f>
        <v>-67754.90416666666</v>
      </c>
    </row>
    <row r="60" spans="1:17" x14ac:dyDescent="0.25">
      <c r="B60" s="319" t="s">
        <v>119</v>
      </c>
      <c r="C60" s="312" t="s">
        <v>113</v>
      </c>
      <c r="D60" s="320">
        <v>1713.61</v>
      </c>
      <c r="E60" s="320">
        <v>-3968.36</v>
      </c>
      <c r="F60" s="320">
        <v>-2470.9899999999998</v>
      </c>
      <c r="G60" s="320">
        <v>-4181.5200000000004</v>
      </c>
      <c r="H60" s="320">
        <v>-1625.46</v>
      </c>
      <c r="I60" s="320">
        <v>-5348.99</v>
      </c>
      <c r="J60" s="320">
        <v>-3173.645</v>
      </c>
      <c r="K60" s="320">
        <v>-3861.84</v>
      </c>
      <c r="L60" s="320">
        <v>-3938.66</v>
      </c>
      <c r="M60" s="320">
        <v>-5033.67</v>
      </c>
      <c r="N60" s="320">
        <v>-5950.34</v>
      </c>
      <c r="O60" s="320">
        <v>-5913.01</v>
      </c>
      <c r="P60" s="321">
        <f t="shared" ref="P60:P61" si="22">SUM(D60:O60)</f>
        <v>-43752.875000000007</v>
      </c>
      <c r="Q60" s="321">
        <f t="shared" ref="Q60:Q61" si="23">AVERAGE(D60:O60)</f>
        <v>-3646.0729166666674</v>
      </c>
    </row>
    <row r="61" spans="1:17" x14ac:dyDescent="0.25">
      <c r="A61" s="314">
        <v>5</v>
      </c>
      <c r="B61" s="319" t="s">
        <v>124</v>
      </c>
      <c r="C61" s="376" t="s">
        <v>114</v>
      </c>
      <c r="D61" s="320">
        <v>4897.32</v>
      </c>
      <c r="E61" s="320">
        <v>-11708.82</v>
      </c>
      <c r="F61" s="320">
        <v>-7657.43</v>
      </c>
      <c r="G61" s="320">
        <v>-12202.3</v>
      </c>
      <c r="H61" s="320">
        <v>-4733.22</v>
      </c>
      <c r="I61" s="320">
        <v>-15718.33</v>
      </c>
      <c r="J61" s="320">
        <v>-9627.7000000000007</v>
      </c>
      <c r="K61" s="320">
        <v>-11459.03</v>
      </c>
      <c r="L61" s="320">
        <v>-11173.23</v>
      </c>
      <c r="M61" s="320">
        <v>-15759.38</v>
      </c>
      <c r="N61" s="320">
        <v>-18152.54</v>
      </c>
      <c r="O61" s="320">
        <v>-18446.689999999999</v>
      </c>
      <c r="P61" s="321">
        <f t="shared" si="22"/>
        <v>-131741.35</v>
      </c>
      <c r="Q61" s="321">
        <f t="shared" si="23"/>
        <v>-10978.445833333333</v>
      </c>
    </row>
    <row r="62" spans="1:17" x14ac:dyDescent="0.25">
      <c r="A62" s="314">
        <v>2</v>
      </c>
      <c r="B62" s="319" t="s">
        <v>125</v>
      </c>
      <c r="C62" s="376" t="s">
        <v>115</v>
      </c>
      <c r="D62" s="320">
        <v>127.73</v>
      </c>
      <c r="E62" s="320">
        <v>-286.66000000000003</v>
      </c>
      <c r="F62" s="320">
        <v>-216.65</v>
      </c>
      <c r="G62" s="320">
        <v>-415.23</v>
      </c>
      <c r="H62" s="320">
        <v>-152.18</v>
      </c>
      <c r="I62" s="320">
        <v>-477.57</v>
      </c>
      <c r="J62" s="320">
        <v>-299.39999999999998</v>
      </c>
      <c r="K62" s="320">
        <v>-360.56</v>
      </c>
      <c r="L62" s="320">
        <v>-360.77</v>
      </c>
      <c r="M62" s="320">
        <v>-456</v>
      </c>
      <c r="N62" s="320">
        <v>-457.83</v>
      </c>
      <c r="O62" s="320">
        <v>-404.3</v>
      </c>
      <c r="P62" s="321">
        <f>SUM(D62:O62)</f>
        <v>-3759.42</v>
      </c>
      <c r="Q62" s="321">
        <f>AVERAGE(D62:O62)</f>
        <v>-313.28500000000003</v>
      </c>
    </row>
    <row r="63" spans="1:17" x14ac:dyDescent="0.25">
      <c r="A63" s="314">
        <v>3</v>
      </c>
      <c r="B63" s="319" t="s">
        <v>126</v>
      </c>
      <c r="C63" s="376" t="s">
        <v>114</v>
      </c>
      <c r="D63" s="320">
        <v>421.99</v>
      </c>
      <c r="E63" s="320">
        <v>-994.77</v>
      </c>
      <c r="F63" s="320">
        <v>-850.39</v>
      </c>
      <c r="G63" s="320">
        <v>-1458.65</v>
      </c>
      <c r="H63" s="320">
        <v>-377.42</v>
      </c>
      <c r="I63" s="320">
        <v>-1023.48</v>
      </c>
      <c r="J63" s="320">
        <v>-652.37</v>
      </c>
      <c r="K63" s="320">
        <v>-719.55</v>
      </c>
      <c r="L63" s="320">
        <v>-836.26</v>
      </c>
      <c r="M63" s="320">
        <v>-1106</v>
      </c>
      <c r="N63" s="320">
        <v>-877.42</v>
      </c>
      <c r="O63" s="320">
        <v>-808.72</v>
      </c>
      <c r="P63" s="321">
        <f t="shared" ref="P63:P66" si="24">SUM(D63:O63)</f>
        <v>-9283.0399999999991</v>
      </c>
      <c r="Q63" s="321">
        <f t="shared" ref="Q63:Q68" si="25">AVERAGE(D63:O63)</f>
        <v>-773.58666666666659</v>
      </c>
    </row>
    <row r="64" spans="1:17" x14ac:dyDescent="0.25">
      <c r="A64" s="314">
        <v>8</v>
      </c>
      <c r="B64" s="319" t="s">
        <v>127</v>
      </c>
      <c r="C64" s="376" t="s">
        <v>115</v>
      </c>
      <c r="D64" s="320">
        <v>1352</v>
      </c>
      <c r="E64" s="320">
        <v>-3297.88</v>
      </c>
      <c r="F64" s="320">
        <v>-2365.6</v>
      </c>
      <c r="G64" s="320">
        <v>-4931.16</v>
      </c>
      <c r="H64" s="320">
        <v>-1970.91</v>
      </c>
      <c r="I64" s="320">
        <v>-6335.37</v>
      </c>
      <c r="J64" s="320">
        <v>-4381.38</v>
      </c>
      <c r="K64" s="320">
        <v>-4877.08</v>
      </c>
      <c r="L64" s="320">
        <v>-2951.5</v>
      </c>
      <c r="M64" s="320">
        <v>-5627.57</v>
      </c>
      <c r="N64" s="320">
        <v>-4994.0200000000004</v>
      </c>
      <c r="O64" s="320">
        <v>-5145.9399999999996</v>
      </c>
      <c r="P64" s="321">
        <f t="shared" si="24"/>
        <v>-45526.41</v>
      </c>
      <c r="Q64" s="321">
        <f t="shared" si="25"/>
        <v>-3793.8675000000003</v>
      </c>
    </row>
    <row r="65" spans="1:17" x14ac:dyDescent="0.25">
      <c r="B65" s="319" t="s">
        <v>87</v>
      </c>
      <c r="C65" s="312" t="s">
        <v>116</v>
      </c>
      <c r="D65" s="320">
        <v>21.68</v>
      </c>
      <c r="E65" s="320">
        <v>-69.17</v>
      </c>
      <c r="F65" s="320">
        <v>-43.56</v>
      </c>
      <c r="G65" s="320">
        <v>-80.44</v>
      </c>
      <c r="H65" s="320">
        <v>-28.98</v>
      </c>
      <c r="I65" s="320">
        <v>-91.87</v>
      </c>
      <c r="J65" s="320">
        <v>-48.63</v>
      </c>
      <c r="K65" s="320">
        <v>-59.9</v>
      </c>
      <c r="L65" s="320">
        <v>-64.86</v>
      </c>
      <c r="M65" s="320">
        <v>-91.16</v>
      </c>
      <c r="N65" s="320">
        <v>-95.02</v>
      </c>
      <c r="O65" s="320">
        <v>-94.51</v>
      </c>
      <c r="P65" s="321">
        <f t="shared" si="24"/>
        <v>-746.42</v>
      </c>
      <c r="Q65" s="321">
        <f t="shared" si="25"/>
        <v>-62.201666666666661</v>
      </c>
    </row>
    <row r="66" spans="1:17" x14ac:dyDescent="0.25">
      <c r="B66" s="322" t="s">
        <v>34</v>
      </c>
      <c r="C66" s="323"/>
      <c r="D66" s="324">
        <f t="shared" ref="D66:O66" si="26">SUM(D59:D65)</f>
        <v>47664.18</v>
      </c>
      <c r="E66" s="324">
        <f t="shared" si="26"/>
        <v>-104514.98000000001</v>
      </c>
      <c r="F66" s="324">
        <f t="shared" si="26"/>
        <v>-57813.009999999995</v>
      </c>
      <c r="G66" s="324">
        <f t="shared" si="26"/>
        <v>-84285.61</v>
      </c>
      <c r="H66" s="324">
        <f t="shared" si="26"/>
        <v>-34757.170000000006</v>
      </c>
      <c r="I66" s="324">
        <f t="shared" si="26"/>
        <v>-123518.12</v>
      </c>
      <c r="J66" s="324">
        <f t="shared" si="26"/>
        <v>-75317.604999999996</v>
      </c>
      <c r="K66" s="324">
        <f t="shared" si="26"/>
        <v>-87246.51</v>
      </c>
      <c r="L66" s="324">
        <f t="shared" si="26"/>
        <v>-80021.75</v>
      </c>
      <c r="M66" s="324">
        <f t="shared" si="26"/>
        <v>-122270.51000000001</v>
      </c>
      <c r="N66" s="324">
        <f t="shared" si="26"/>
        <v>-160536.15</v>
      </c>
      <c r="O66" s="324">
        <f t="shared" si="26"/>
        <v>-165251.13</v>
      </c>
      <c r="P66" s="324">
        <f t="shared" si="24"/>
        <v>-1047868.365</v>
      </c>
      <c r="Q66" s="324">
        <f t="shared" si="25"/>
        <v>-87322.363750000004</v>
      </c>
    </row>
    <row r="67" spans="1:17" x14ac:dyDescent="0.25">
      <c r="B67" s="319" t="s">
        <v>135</v>
      </c>
      <c r="D67" s="326">
        <v>1.7799999999999999E-3</v>
      </c>
      <c r="E67" s="326">
        <v>-4.8199999999999996E-3</v>
      </c>
      <c r="F67" s="326">
        <v>-3.0599999999999998E-3</v>
      </c>
      <c r="G67" s="326">
        <v>-5.7099999999999998E-3</v>
      </c>
      <c r="H67" s="326">
        <v>-2.0600000000000002E-3</v>
      </c>
      <c r="I67" s="326">
        <v>-6.5500000000000003E-3</v>
      </c>
      <c r="J67" s="326">
        <v>-3.5300000000000002E-3</v>
      </c>
      <c r="K67" s="326">
        <v>-4.3800000000000002E-3</v>
      </c>
      <c r="L67" s="326">
        <v>-4.7600000000000003E-3</v>
      </c>
      <c r="M67" s="326">
        <v>-6.8100000000000001E-3</v>
      </c>
      <c r="N67" s="326">
        <v>-7.0600000000000003E-3</v>
      </c>
      <c r="O67" s="326">
        <v>-7.1199999999999996E-3</v>
      </c>
      <c r="P67" s="327"/>
      <c r="Q67" s="326">
        <f t="shared" si="25"/>
        <v>-4.5066666666666666E-3</v>
      </c>
    </row>
    <row r="68" spans="1:17" x14ac:dyDescent="0.25">
      <c r="B68" s="319" t="s">
        <v>136</v>
      </c>
      <c r="D68" s="328">
        <f>ROUND(D66/D27,5)</f>
        <v>1.7799999999999999E-3</v>
      </c>
      <c r="E68" s="328">
        <f t="shared" ref="E68:O68" si="27">ROUND(E66/E27,5)</f>
        <v>-4.8199999999999996E-3</v>
      </c>
      <c r="F68" s="328">
        <f t="shared" si="27"/>
        <v>-3.0599999999999998E-3</v>
      </c>
      <c r="G68" s="328">
        <f t="shared" si="27"/>
        <v>-5.7099999999999998E-3</v>
      </c>
      <c r="H68" s="328">
        <f t="shared" si="27"/>
        <v>-2.0600000000000002E-3</v>
      </c>
      <c r="I68" s="328">
        <f t="shared" si="27"/>
        <v>-6.5500000000000003E-3</v>
      </c>
      <c r="J68" s="328">
        <f t="shared" si="27"/>
        <v>-3.5300000000000002E-3</v>
      </c>
      <c r="K68" s="328">
        <f t="shared" si="27"/>
        <v>-4.3800000000000002E-3</v>
      </c>
      <c r="L68" s="328">
        <f t="shared" si="27"/>
        <v>-4.7600000000000003E-3</v>
      </c>
      <c r="M68" s="328">
        <f t="shared" si="27"/>
        <v>-6.8100000000000001E-3</v>
      </c>
      <c r="N68" s="328">
        <f t="shared" si="27"/>
        <v>-7.0600000000000003E-3</v>
      </c>
      <c r="O68" s="328">
        <f t="shared" si="27"/>
        <v>-7.1199999999999996E-3</v>
      </c>
      <c r="P68" s="329"/>
      <c r="Q68" s="328">
        <f t="shared" si="25"/>
        <v>-4.5066666666666666E-3</v>
      </c>
    </row>
    <row r="69" spans="1:17" x14ac:dyDescent="0.25">
      <c r="B69" s="319" t="s">
        <v>88</v>
      </c>
      <c r="D69" s="328">
        <f>D68-D67</f>
        <v>0</v>
      </c>
      <c r="E69" s="328">
        <f t="shared" ref="E69:O69" si="28">E68-E67</f>
        <v>0</v>
      </c>
      <c r="F69" s="328">
        <f t="shared" si="28"/>
        <v>0</v>
      </c>
      <c r="G69" s="328">
        <f t="shared" si="28"/>
        <v>0</v>
      </c>
      <c r="H69" s="328">
        <f t="shared" si="28"/>
        <v>0</v>
      </c>
      <c r="I69" s="328">
        <f t="shared" si="28"/>
        <v>0</v>
      </c>
      <c r="J69" s="328">
        <f t="shared" si="28"/>
        <v>0</v>
      </c>
      <c r="K69" s="328">
        <f t="shared" si="28"/>
        <v>0</v>
      </c>
      <c r="L69" s="328">
        <f t="shared" si="28"/>
        <v>0</v>
      </c>
      <c r="M69" s="328">
        <f t="shared" si="28"/>
        <v>0</v>
      </c>
      <c r="N69" s="328">
        <f t="shared" si="28"/>
        <v>0</v>
      </c>
      <c r="O69" s="328">
        <f t="shared" si="28"/>
        <v>0</v>
      </c>
      <c r="P69" s="328"/>
    </row>
    <row r="70" spans="1:17" x14ac:dyDescent="0.25"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</row>
    <row r="71" spans="1:17" x14ac:dyDescent="0.25">
      <c r="B71" s="311" t="s">
        <v>137</v>
      </c>
    </row>
    <row r="72" spans="1:17" x14ac:dyDescent="0.25">
      <c r="B72" s="311"/>
    </row>
    <row r="73" spans="1:17" x14ac:dyDescent="0.25">
      <c r="B73" s="315" t="s">
        <v>4</v>
      </c>
      <c r="C73" s="316" t="s">
        <v>30</v>
      </c>
      <c r="D73" s="317">
        <v>43466</v>
      </c>
      <c r="E73" s="317">
        <v>43497</v>
      </c>
      <c r="F73" s="317">
        <v>43525</v>
      </c>
      <c r="G73" s="317">
        <v>43556</v>
      </c>
      <c r="H73" s="317">
        <v>43586</v>
      </c>
      <c r="I73" s="317">
        <v>43617</v>
      </c>
      <c r="J73" s="317">
        <v>43647</v>
      </c>
      <c r="K73" s="317">
        <v>43678</v>
      </c>
      <c r="L73" s="317">
        <v>43709</v>
      </c>
      <c r="M73" s="317">
        <v>43739</v>
      </c>
      <c r="N73" s="317">
        <v>43770</v>
      </c>
      <c r="O73" s="317">
        <v>43800</v>
      </c>
      <c r="P73" s="318" t="s">
        <v>34</v>
      </c>
      <c r="Q73" s="318" t="s">
        <v>85</v>
      </c>
    </row>
    <row r="74" spans="1:17" x14ac:dyDescent="0.25">
      <c r="B74" s="319" t="s">
        <v>86</v>
      </c>
      <c r="C74" s="312" t="s">
        <v>112</v>
      </c>
      <c r="D74" s="320">
        <v>191631.76</v>
      </c>
      <c r="E74" s="320">
        <v>137924</v>
      </c>
      <c r="F74" s="320">
        <v>118247.55</v>
      </c>
      <c r="G74" s="320">
        <v>111899.35</v>
      </c>
      <c r="H74" s="320">
        <v>137248.41</v>
      </c>
      <c r="I74" s="320">
        <v>176275.65330200002</v>
      </c>
      <c r="J74" s="320">
        <v>195488.54</v>
      </c>
      <c r="K74" s="320">
        <v>175006.26</v>
      </c>
      <c r="L74" s="320">
        <v>128696.63</v>
      </c>
      <c r="M74" s="320">
        <v>140362.66</v>
      </c>
      <c r="N74" s="320">
        <v>193146.48</v>
      </c>
      <c r="O74" s="320">
        <v>221763.87</v>
      </c>
      <c r="P74" s="321">
        <f>SUM(D74:O74)</f>
        <v>1927691.1633019997</v>
      </c>
      <c r="Q74" s="321">
        <f>AVERAGE(D74:O74)</f>
        <v>160640.93027516664</v>
      </c>
    </row>
    <row r="75" spans="1:17" x14ac:dyDescent="0.25">
      <c r="B75" s="319" t="s">
        <v>119</v>
      </c>
      <c r="C75" s="312" t="s">
        <v>113</v>
      </c>
      <c r="D75" s="320">
        <v>8717.17</v>
      </c>
      <c r="E75" s="320">
        <v>6855</v>
      </c>
      <c r="F75" s="320">
        <v>6791.2</v>
      </c>
      <c r="G75" s="320">
        <v>7650.99</v>
      </c>
      <c r="H75" s="320">
        <v>8681.65</v>
      </c>
      <c r="I75" s="320">
        <v>10195.51</v>
      </c>
      <c r="J75" s="320">
        <v>10983.64</v>
      </c>
      <c r="K75" s="320">
        <v>10320.19</v>
      </c>
      <c r="L75" s="320">
        <v>8294.5300000000007</v>
      </c>
      <c r="M75" s="320">
        <v>7940.46</v>
      </c>
      <c r="N75" s="320">
        <v>9191.2000000000007</v>
      </c>
      <c r="O75" s="320">
        <v>10528.7</v>
      </c>
      <c r="P75" s="321">
        <f t="shared" ref="P75:P76" si="29">SUM(D75:O75)</f>
        <v>106150.24</v>
      </c>
      <c r="Q75" s="321">
        <f t="shared" ref="Q75:Q76" si="30">AVERAGE(D75:O75)</f>
        <v>8845.8533333333344</v>
      </c>
    </row>
    <row r="76" spans="1:17" x14ac:dyDescent="0.25">
      <c r="A76" s="314">
        <v>5</v>
      </c>
      <c r="B76" s="319" t="s">
        <v>124</v>
      </c>
      <c r="C76" s="312" t="s">
        <v>114</v>
      </c>
      <c r="D76" s="320">
        <v>22915.16</v>
      </c>
      <c r="E76" s="320">
        <v>18415</v>
      </c>
      <c r="F76" s="320">
        <v>19572.560000000001</v>
      </c>
      <c r="G76" s="320">
        <v>19777.84</v>
      </c>
      <c r="H76" s="320">
        <v>22405.84</v>
      </c>
      <c r="I76" s="320">
        <v>25959.54</v>
      </c>
      <c r="J76" s="320">
        <v>29006.959999999999</v>
      </c>
      <c r="K76" s="320">
        <v>27465.85</v>
      </c>
      <c r="L76" s="320">
        <v>21581.07</v>
      </c>
      <c r="M76" s="320">
        <v>21950.32</v>
      </c>
      <c r="N76" s="320">
        <v>25570.1</v>
      </c>
      <c r="O76" s="320">
        <v>28886.54</v>
      </c>
      <c r="P76" s="321">
        <f t="shared" si="29"/>
        <v>283506.78000000003</v>
      </c>
      <c r="Q76" s="321">
        <f t="shared" si="30"/>
        <v>23625.565000000002</v>
      </c>
    </row>
    <row r="77" spans="1:17" x14ac:dyDescent="0.25">
      <c r="A77" s="314">
        <v>2</v>
      </c>
      <c r="B77" s="319" t="s">
        <v>125</v>
      </c>
      <c r="C77" s="312" t="s">
        <v>115</v>
      </c>
      <c r="D77" s="320">
        <v>485.71</v>
      </c>
      <c r="E77" s="320">
        <v>361</v>
      </c>
      <c r="F77" s="320">
        <v>404.23</v>
      </c>
      <c r="G77" s="320">
        <v>494.48</v>
      </c>
      <c r="H77" s="320">
        <v>523.49</v>
      </c>
      <c r="I77" s="320">
        <v>613.02</v>
      </c>
      <c r="J77" s="320">
        <v>700.24</v>
      </c>
      <c r="K77" s="320">
        <v>655.97</v>
      </c>
      <c r="L77" s="320">
        <v>520.01</v>
      </c>
      <c r="M77" s="320">
        <v>457.51</v>
      </c>
      <c r="N77" s="320">
        <v>495.07</v>
      </c>
      <c r="O77" s="320">
        <v>503.81</v>
      </c>
      <c r="P77" s="321">
        <f>SUM(D77:O77)</f>
        <v>6214.5400000000009</v>
      </c>
      <c r="Q77" s="321">
        <f>AVERAGE(D77:O77)</f>
        <v>517.87833333333344</v>
      </c>
    </row>
    <row r="78" spans="1:17" x14ac:dyDescent="0.25">
      <c r="A78" s="314">
        <v>3</v>
      </c>
      <c r="B78" s="319" t="s">
        <v>126</v>
      </c>
      <c r="C78" s="312" t="s">
        <v>114</v>
      </c>
      <c r="D78" s="320">
        <v>2007.97</v>
      </c>
      <c r="E78" s="320">
        <v>1885</v>
      </c>
      <c r="F78" s="320">
        <v>2221.4699999999998</v>
      </c>
      <c r="G78" s="320">
        <v>2515.79</v>
      </c>
      <c r="H78" s="320">
        <v>2059.4899999999998</v>
      </c>
      <c r="I78" s="320">
        <v>1914.71</v>
      </c>
      <c r="J78" s="320">
        <v>2575.08</v>
      </c>
      <c r="K78" s="320">
        <v>2009.3</v>
      </c>
      <c r="L78" s="320">
        <v>1713.33</v>
      </c>
      <c r="M78" s="320">
        <v>1731.32</v>
      </c>
      <c r="N78" s="320">
        <v>1680.77</v>
      </c>
      <c r="O78" s="320">
        <v>1371.3</v>
      </c>
      <c r="P78" s="321">
        <f t="shared" ref="P78:P81" si="31">SUM(D78:O78)</f>
        <v>23685.53</v>
      </c>
      <c r="Q78" s="321">
        <f t="shared" ref="Q78:Q82" si="32">AVERAGE(D78:O78)</f>
        <v>1973.7941666666666</v>
      </c>
    </row>
    <row r="79" spans="1:17" x14ac:dyDescent="0.25">
      <c r="A79" s="314">
        <v>8</v>
      </c>
      <c r="B79" s="319" t="s">
        <v>127</v>
      </c>
      <c r="C79" s="312" t="s">
        <v>115</v>
      </c>
      <c r="D79" s="320">
        <v>4440.04</v>
      </c>
      <c r="E79" s="320">
        <v>3438</v>
      </c>
      <c r="F79" s="320">
        <v>3959.64</v>
      </c>
      <c r="G79" s="320">
        <v>5133.49</v>
      </c>
      <c r="H79" s="320">
        <v>6179.92</v>
      </c>
      <c r="I79" s="320">
        <v>7017.06</v>
      </c>
      <c r="J79" s="320">
        <v>8851.86</v>
      </c>
      <c r="K79" s="320">
        <v>7639.96</v>
      </c>
      <c r="L79" s="320">
        <v>4062.6</v>
      </c>
      <c r="M79" s="320">
        <v>5061</v>
      </c>
      <c r="N79" s="320">
        <v>4850.0200000000004</v>
      </c>
      <c r="O79" s="320">
        <v>5243.69</v>
      </c>
      <c r="P79" s="321">
        <f t="shared" si="31"/>
        <v>65877.279999999999</v>
      </c>
      <c r="Q79" s="321">
        <f t="shared" si="32"/>
        <v>5489.7733333333335</v>
      </c>
    </row>
    <row r="80" spans="1:17" x14ac:dyDescent="0.25">
      <c r="B80" s="319" t="s">
        <v>87</v>
      </c>
      <c r="C80" s="312" t="s">
        <v>116</v>
      </c>
      <c r="D80" s="320">
        <v>174.73</v>
      </c>
      <c r="E80" s="320">
        <v>185</v>
      </c>
      <c r="F80" s="320">
        <v>184.86</v>
      </c>
      <c r="G80" s="320">
        <v>223.06</v>
      </c>
      <c r="H80" s="320">
        <v>238.58</v>
      </c>
      <c r="I80" s="320">
        <v>278.20999999999998</v>
      </c>
      <c r="J80" s="320">
        <v>275</v>
      </c>
      <c r="K80" s="320">
        <v>262.16000000000003</v>
      </c>
      <c r="L80" s="320">
        <v>220.93</v>
      </c>
      <c r="M80" s="320">
        <v>218.81</v>
      </c>
      <c r="N80" s="320">
        <v>243.27</v>
      </c>
      <c r="O80" s="320">
        <v>282.08999999999997</v>
      </c>
      <c r="P80" s="321">
        <f t="shared" si="31"/>
        <v>2786.7000000000003</v>
      </c>
      <c r="Q80" s="321">
        <f t="shared" si="32"/>
        <v>232.22500000000002</v>
      </c>
    </row>
    <row r="81" spans="2:17" x14ac:dyDescent="0.25">
      <c r="B81" s="322" t="s">
        <v>34</v>
      </c>
      <c r="C81" s="323"/>
      <c r="D81" s="324">
        <f t="shared" ref="D81:O81" si="33">SUM(D74:D80)</f>
        <v>230372.54000000004</v>
      </c>
      <c r="E81" s="324">
        <f t="shared" si="33"/>
        <v>169063</v>
      </c>
      <c r="F81" s="324">
        <f t="shared" si="33"/>
        <v>151381.51</v>
      </c>
      <c r="G81" s="324">
        <f t="shared" si="33"/>
        <v>147695.00000000003</v>
      </c>
      <c r="H81" s="324">
        <f t="shared" si="33"/>
        <v>177337.37999999998</v>
      </c>
      <c r="I81" s="324">
        <f t="shared" si="33"/>
        <v>222253.70330200001</v>
      </c>
      <c r="J81" s="324">
        <f t="shared" si="33"/>
        <v>247881.31999999995</v>
      </c>
      <c r="K81" s="324">
        <f t="shared" si="33"/>
        <v>223359.69</v>
      </c>
      <c r="L81" s="324">
        <f t="shared" si="33"/>
        <v>165089.1</v>
      </c>
      <c r="M81" s="324">
        <f t="shared" si="33"/>
        <v>177722.08000000002</v>
      </c>
      <c r="N81" s="324">
        <f t="shared" si="33"/>
        <v>235176.91</v>
      </c>
      <c r="O81" s="324">
        <f t="shared" si="33"/>
        <v>268580.00000000006</v>
      </c>
      <c r="P81" s="324">
        <f t="shared" si="31"/>
        <v>2415912.2333020004</v>
      </c>
      <c r="Q81" s="324">
        <f t="shared" si="32"/>
        <v>201326.01944183337</v>
      </c>
    </row>
    <row r="82" spans="2:17" x14ac:dyDescent="0.25">
      <c r="B82" s="319" t="s">
        <v>138</v>
      </c>
      <c r="D82" s="330">
        <v>8.2400000000000001E-2</v>
      </c>
      <c r="E82" s="330">
        <v>7.7200000000000005E-2</v>
      </c>
      <c r="F82" s="330">
        <v>7.6300000000000007E-2</v>
      </c>
      <c r="G82" s="330">
        <v>9.4299999999999995E-2</v>
      </c>
      <c r="H82" s="330">
        <v>9.8400000000000001E-2</v>
      </c>
      <c r="I82" s="330">
        <v>0.1177</v>
      </c>
      <c r="J82" s="330">
        <v>0.1152</v>
      </c>
      <c r="K82" s="330">
        <v>0.1105</v>
      </c>
      <c r="L82" s="330">
        <v>9.3399999999999997E-2</v>
      </c>
      <c r="M82" s="330">
        <v>9.7199999999999995E-2</v>
      </c>
      <c r="N82" s="330">
        <v>0.1055</v>
      </c>
      <c r="O82" s="330">
        <v>0.1187</v>
      </c>
      <c r="P82" s="331"/>
      <c r="Q82" s="332">
        <f t="shared" si="32"/>
        <v>9.8900000000000002E-2</v>
      </c>
    </row>
    <row r="83" spans="2:17" x14ac:dyDescent="0.25"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2"/>
    </row>
    <row r="84" spans="2:17" s="336" customFormat="1" x14ac:dyDescent="0.25">
      <c r="B84" s="333"/>
      <c r="C84" s="334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</row>
    <row r="86" spans="2:17" x14ac:dyDescent="0.25">
      <c r="B86" s="315" t="s">
        <v>4</v>
      </c>
      <c r="C86" s="316" t="s">
        <v>30</v>
      </c>
      <c r="D86" s="317">
        <v>43466</v>
      </c>
      <c r="E86" s="317">
        <v>43497</v>
      </c>
      <c r="F86" s="317">
        <v>43525</v>
      </c>
      <c r="G86" s="317">
        <v>43556</v>
      </c>
      <c r="H86" s="317">
        <v>43586</v>
      </c>
      <c r="I86" s="317">
        <v>43617</v>
      </c>
      <c r="J86" s="317">
        <v>43647</v>
      </c>
      <c r="K86" s="317">
        <v>43678</v>
      </c>
      <c r="L86" s="317">
        <v>43709</v>
      </c>
      <c r="M86" s="317">
        <v>43739</v>
      </c>
      <c r="N86" s="317">
        <v>43770</v>
      </c>
      <c r="O86" s="317">
        <v>43800</v>
      </c>
      <c r="P86" s="318" t="s">
        <v>34</v>
      </c>
      <c r="Q86" s="318" t="s">
        <v>85</v>
      </c>
    </row>
    <row r="88" spans="2:17" x14ac:dyDescent="0.25">
      <c r="B88" s="311" t="s">
        <v>123</v>
      </c>
    </row>
    <row r="89" spans="2:17" x14ac:dyDescent="0.25">
      <c r="B89" s="337" t="s">
        <v>86</v>
      </c>
      <c r="C89" s="338" t="s">
        <v>112</v>
      </c>
      <c r="D89" s="325">
        <f t="shared" ref="D89:O89" si="34">D6</f>
        <v>16063</v>
      </c>
      <c r="E89" s="325">
        <f t="shared" si="34"/>
        <v>16049</v>
      </c>
      <c r="F89" s="325">
        <f t="shared" si="34"/>
        <v>16065</v>
      </c>
      <c r="G89" s="325">
        <f t="shared" si="34"/>
        <v>16059</v>
      </c>
      <c r="H89" s="325">
        <f t="shared" si="34"/>
        <v>16050</v>
      </c>
      <c r="I89" s="325">
        <f t="shared" si="34"/>
        <v>16021</v>
      </c>
      <c r="J89" s="325">
        <f t="shared" si="34"/>
        <v>16069</v>
      </c>
      <c r="K89" s="325">
        <f t="shared" si="34"/>
        <v>16045</v>
      </c>
      <c r="L89" s="325">
        <f t="shared" si="34"/>
        <v>16061</v>
      </c>
      <c r="M89" s="325">
        <f t="shared" si="34"/>
        <v>16091</v>
      </c>
      <c r="N89" s="325">
        <f t="shared" si="34"/>
        <v>16089</v>
      </c>
      <c r="O89" s="325">
        <f t="shared" si="34"/>
        <v>16076</v>
      </c>
      <c r="P89" s="325">
        <f>SUM(D89:O89)</f>
        <v>192738</v>
      </c>
      <c r="Q89" s="325">
        <f>AVERAGE(D89:O89)</f>
        <v>16061.5</v>
      </c>
    </row>
    <row r="90" spans="2:17" x14ac:dyDescent="0.25">
      <c r="B90" s="337" t="s">
        <v>119</v>
      </c>
      <c r="C90" s="338" t="s">
        <v>113</v>
      </c>
      <c r="D90" s="325">
        <f t="shared" ref="D90:O90" si="35">D7</f>
        <v>875</v>
      </c>
      <c r="E90" s="325">
        <f t="shared" si="35"/>
        <v>870</v>
      </c>
      <c r="F90" s="325">
        <f t="shared" si="35"/>
        <v>866</v>
      </c>
      <c r="G90" s="325">
        <f t="shared" si="35"/>
        <v>866</v>
      </c>
      <c r="H90" s="325">
        <f t="shared" si="35"/>
        <v>867</v>
      </c>
      <c r="I90" s="325">
        <f t="shared" si="35"/>
        <v>854</v>
      </c>
      <c r="J90" s="325">
        <f t="shared" si="35"/>
        <v>861</v>
      </c>
      <c r="K90" s="325">
        <f t="shared" si="35"/>
        <v>863</v>
      </c>
      <c r="L90" s="325">
        <f t="shared" si="35"/>
        <v>856</v>
      </c>
      <c r="M90" s="325">
        <f t="shared" si="35"/>
        <v>858</v>
      </c>
      <c r="N90" s="325">
        <f t="shared" si="35"/>
        <v>863</v>
      </c>
      <c r="O90" s="325">
        <f t="shared" si="35"/>
        <v>861</v>
      </c>
      <c r="P90" s="325">
        <f t="shared" ref="P90:P93" si="36">SUM(D90:O90)</f>
        <v>10360</v>
      </c>
      <c r="Q90" s="325">
        <f t="shared" ref="Q90:Q134" si="37">AVERAGE(D90:O90)</f>
        <v>863.33333333333337</v>
      </c>
    </row>
    <row r="91" spans="2:17" x14ac:dyDescent="0.25">
      <c r="B91" s="337" t="s">
        <v>120</v>
      </c>
      <c r="C91" s="338" t="s">
        <v>114</v>
      </c>
      <c r="D91" s="325">
        <f t="shared" ref="D91:O91" si="38">D8+D10</f>
        <v>221</v>
      </c>
      <c r="E91" s="325">
        <f t="shared" si="38"/>
        <v>220</v>
      </c>
      <c r="F91" s="325">
        <f t="shared" si="38"/>
        <v>221</v>
      </c>
      <c r="G91" s="325">
        <f t="shared" si="38"/>
        <v>222</v>
      </c>
      <c r="H91" s="325">
        <f t="shared" si="38"/>
        <v>225</v>
      </c>
      <c r="I91" s="325">
        <f t="shared" si="38"/>
        <v>223</v>
      </c>
      <c r="J91" s="325">
        <f t="shared" si="38"/>
        <v>221</v>
      </c>
      <c r="K91" s="325">
        <f t="shared" si="38"/>
        <v>221</v>
      </c>
      <c r="L91" s="325">
        <f t="shared" si="38"/>
        <v>223</v>
      </c>
      <c r="M91" s="325">
        <f t="shared" si="38"/>
        <v>221</v>
      </c>
      <c r="N91" s="325">
        <f t="shared" si="38"/>
        <v>221</v>
      </c>
      <c r="O91" s="325">
        <f t="shared" si="38"/>
        <v>220</v>
      </c>
      <c r="P91" s="325">
        <f t="shared" si="36"/>
        <v>2659</v>
      </c>
      <c r="Q91" s="325">
        <f t="shared" si="37"/>
        <v>221.58333333333334</v>
      </c>
    </row>
    <row r="92" spans="2:17" x14ac:dyDescent="0.25">
      <c r="B92" s="337" t="s">
        <v>121</v>
      </c>
      <c r="C92" s="338" t="s">
        <v>115</v>
      </c>
      <c r="D92" s="325">
        <f t="shared" ref="D92:O92" si="39">D9+D11</f>
        <v>5</v>
      </c>
      <c r="E92" s="325">
        <f t="shared" si="39"/>
        <v>4</v>
      </c>
      <c r="F92" s="325">
        <f t="shared" si="39"/>
        <v>4</v>
      </c>
      <c r="G92" s="325">
        <f t="shared" si="39"/>
        <v>4</v>
      </c>
      <c r="H92" s="325">
        <f t="shared" si="39"/>
        <v>4</v>
      </c>
      <c r="I92" s="325">
        <f t="shared" si="39"/>
        <v>4</v>
      </c>
      <c r="J92" s="325">
        <f t="shared" si="39"/>
        <v>4</v>
      </c>
      <c r="K92" s="325">
        <f t="shared" si="39"/>
        <v>4</v>
      </c>
      <c r="L92" s="325">
        <f t="shared" si="39"/>
        <v>4</v>
      </c>
      <c r="M92" s="325">
        <f t="shared" si="39"/>
        <v>4</v>
      </c>
      <c r="N92" s="325">
        <f t="shared" si="39"/>
        <v>4</v>
      </c>
      <c r="O92" s="325">
        <f t="shared" si="39"/>
        <v>4</v>
      </c>
      <c r="P92" s="325">
        <f t="shared" si="36"/>
        <v>49</v>
      </c>
      <c r="Q92" s="325">
        <f t="shared" si="37"/>
        <v>4.083333333333333</v>
      </c>
    </row>
    <row r="93" spans="2:17" x14ac:dyDescent="0.25">
      <c r="B93" s="337" t="s">
        <v>87</v>
      </c>
      <c r="C93" s="338" t="s">
        <v>116</v>
      </c>
      <c r="D93" s="325">
        <f t="shared" ref="D93:O93" si="40">D12</f>
        <v>118</v>
      </c>
      <c r="E93" s="325">
        <f t="shared" si="40"/>
        <v>117</v>
      </c>
      <c r="F93" s="325">
        <f t="shared" si="40"/>
        <v>117</v>
      </c>
      <c r="G93" s="325">
        <f t="shared" si="40"/>
        <v>116</v>
      </c>
      <c r="H93" s="325">
        <f t="shared" si="40"/>
        <v>116</v>
      </c>
      <c r="I93" s="325">
        <f t="shared" si="40"/>
        <v>117</v>
      </c>
      <c r="J93" s="325">
        <f t="shared" si="40"/>
        <v>116</v>
      </c>
      <c r="K93" s="325">
        <f t="shared" si="40"/>
        <v>115</v>
      </c>
      <c r="L93" s="325">
        <f t="shared" si="40"/>
        <v>114</v>
      </c>
      <c r="M93" s="325">
        <f t="shared" si="40"/>
        <v>112</v>
      </c>
      <c r="N93" s="325">
        <f t="shared" si="40"/>
        <v>112</v>
      </c>
      <c r="O93" s="325">
        <f t="shared" si="40"/>
        <v>111</v>
      </c>
      <c r="P93" s="325">
        <f t="shared" si="36"/>
        <v>1381</v>
      </c>
      <c r="Q93" s="325">
        <f t="shared" si="37"/>
        <v>115.08333333333333</v>
      </c>
    </row>
    <row r="94" spans="2:17" x14ac:dyDescent="0.25">
      <c r="B94" s="319" t="s">
        <v>34</v>
      </c>
      <c r="D94" s="339">
        <f t="shared" ref="D94:O94" si="41">D13</f>
        <v>17282</v>
      </c>
      <c r="E94" s="339">
        <f t="shared" si="41"/>
        <v>17260</v>
      </c>
      <c r="F94" s="339">
        <f t="shared" si="41"/>
        <v>17273</v>
      </c>
      <c r="G94" s="339">
        <f t="shared" si="41"/>
        <v>17267</v>
      </c>
      <c r="H94" s="339">
        <f t="shared" si="41"/>
        <v>17262</v>
      </c>
      <c r="I94" s="339">
        <f t="shared" si="41"/>
        <v>17219</v>
      </c>
      <c r="J94" s="339">
        <f t="shared" si="41"/>
        <v>17271</v>
      </c>
      <c r="K94" s="339">
        <f t="shared" si="41"/>
        <v>17248</v>
      </c>
      <c r="L94" s="339">
        <f t="shared" si="41"/>
        <v>17258</v>
      </c>
      <c r="M94" s="339">
        <f t="shared" si="41"/>
        <v>17286</v>
      </c>
      <c r="N94" s="339">
        <f t="shared" si="41"/>
        <v>17289</v>
      </c>
      <c r="O94" s="339">
        <f t="shared" si="41"/>
        <v>17272</v>
      </c>
      <c r="P94" s="339">
        <f>SUM(P89:P93)</f>
        <v>207187</v>
      </c>
      <c r="Q94" s="339">
        <f t="shared" si="37"/>
        <v>17265.583333333332</v>
      </c>
    </row>
    <row r="96" spans="2:17" x14ac:dyDescent="0.25">
      <c r="B96" s="311" t="s">
        <v>128</v>
      </c>
    </row>
    <row r="97" spans="2:17" x14ac:dyDescent="0.25">
      <c r="B97" s="337" t="s">
        <v>86</v>
      </c>
      <c r="C97" s="338" t="s">
        <v>112</v>
      </c>
      <c r="D97" s="325">
        <f t="shared" ref="D97:O97" si="42">D18</f>
        <v>21983064</v>
      </c>
      <c r="E97" s="325">
        <f t="shared" si="42"/>
        <v>17466664</v>
      </c>
      <c r="F97" s="325">
        <f t="shared" si="42"/>
        <v>14447187</v>
      </c>
      <c r="G97" s="325">
        <f t="shared" si="42"/>
        <v>10685869</v>
      </c>
      <c r="H97" s="325">
        <f t="shared" si="42"/>
        <v>12557765</v>
      </c>
      <c r="I97" s="325">
        <f t="shared" si="42"/>
        <v>14430917</v>
      </c>
      <c r="J97" s="325">
        <f t="shared" si="42"/>
        <v>16185405</v>
      </c>
      <c r="K97" s="325">
        <f t="shared" si="42"/>
        <v>15047614</v>
      </c>
      <c r="L97" s="325">
        <f t="shared" si="42"/>
        <v>12751359</v>
      </c>
      <c r="M97" s="325">
        <f t="shared" si="42"/>
        <v>13832119</v>
      </c>
      <c r="N97" s="325">
        <f t="shared" si="42"/>
        <v>18414869</v>
      </c>
      <c r="O97" s="325">
        <f t="shared" si="42"/>
        <v>18881736</v>
      </c>
      <c r="P97" s="325">
        <f>SUM(D97:O97)</f>
        <v>186684568</v>
      </c>
      <c r="Q97" s="325">
        <f t="shared" si="37"/>
        <v>15557047.333333334</v>
      </c>
    </row>
    <row r="98" spans="2:17" x14ac:dyDescent="0.25">
      <c r="B98" s="337" t="s">
        <v>119</v>
      </c>
      <c r="C98" s="338" t="s">
        <v>113</v>
      </c>
      <c r="D98" s="325">
        <f t="shared" ref="D98:O98" si="43">D19</f>
        <v>962701</v>
      </c>
      <c r="E98" s="325">
        <f t="shared" si="43"/>
        <v>823312</v>
      </c>
      <c r="F98" s="325">
        <f t="shared" si="43"/>
        <v>807514</v>
      </c>
      <c r="G98" s="325">
        <f t="shared" si="43"/>
        <v>732315</v>
      </c>
      <c r="H98" s="325">
        <f t="shared" si="43"/>
        <v>789060</v>
      </c>
      <c r="I98" s="325">
        <f t="shared" si="43"/>
        <v>816640</v>
      </c>
      <c r="J98" s="325">
        <f t="shared" si="43"/>
        <v>899048</v>
      </c>
      <c r="K98" s="325">
        <f t="shared" si="43"/>
        <v>881699</v>
      </c>
      <c r="L98" s="325">
        <f t="shared" si="43"/>
        <v>827449</v>
      </c>
      <c r="M98" s="325">
        <f t="shared" si="43"/>
        <v>739159</v>
      </c>
      <c r="N98" s="325">
        <f t="shared" si="43"/>
        <v>842824</v>
      </c>
      <c r="O98" s="325">
        <f t="shared" si="43"/>
        <v>830479</v>
      </c>
      <c r="P98" s="325">
        <f t="shared" ref="P98:P101" si="44">SUM(D98:O98)</f>
        <v>9952200</v>
      </c>
      <c r="Q98" s="325">
        <f t="shared" si="37"/>
        <v>829350</v>
      </c>
    </row>
    <row r="99" spans="2:17" x14ac:dyDescent="0.25">
      <c r="B99" s="337" t="s">
        <v>120</v>
      </c>
      <c r="C99" s="338" t="s">
        <v>114</v>
      </c>
      <c r="D99" s="325">
        <f t="shared" ref="D99:O99" si="45">D20+D22</f>
        <v>2988373</v>
      </c>
      <c r="E99" s="325">
        <f t="shared" si="45"/>
        <v>2635600</v>
      </c>
      <c r="F99" s="325">
        <f t="shared" si="45"/>
        <v>2780333</v>
      </c>
      <c r="G99" s="325">
        <f t="shared" si="45"/>
        <v>2392461</v>
      </c>
      <c r="H99" s="325">
        <f t="shared" si="45"/>
        <v>2480896</v>
      </c>
      <c r="I99" s="325">
        <f t="shared" si="45"/>
        <v>2556001</v>
      </c>
      <c r="J99" s="325">
        <f t="shared" si="45"/>
        <v>2912203</v>
      </c>
      <c r="K99" s="325">
        <f t="shared" si="45"/>
        <v>2780498</v>
      </c>
      <c r="L99" s="325">
        <f t="shared" si="45"/>
        <v>2523002</v>
      </c>
      <c r="M99" s="325">
        <f t="shared" si="45"/>
        <v>2476560</v>
      </c>
      <c r="N99" s="325">
        <f t="shared" si="45"/>
        <v>2695462</v>
      </c>
      <c r="O99" s="325">
        <f t="shared" si="45"/>
        <v>2704411</v>
      </c>
      <c r="P99" s="325">
        <f t="shared" si="44"/>
        <v>31925800</v>
      </c>
      <c r="Q99" s="325">
        <f t="shared" si="37"/>
        <v>2660483.3333333335</v>
      </c>
    </row>
    <row r="100" spans="2:17" x14ac:dyDescent="0.25">
      <c r="B100" s="337" t="s">
        <v>121</v>
      </c>
      <c r="C100" s="338" t="s">
        <v>115</v>
      </c>
      <c r="D100" s="325">
        <f t="shared" ref="D100:O100" si="46">D21+D23</f>
        <v>831312</v>
      </c>
      <c r="E100" s="325">
        <f t="shared" si="46"/>
        <v>743680</v>
      </c>
      <c r="F100" s="325">
        <f t="shared" si="46"/>
        <v>843872</v>
      </c>
      <c r="G100" s="325">
        <f t="shared" si="46"/>
        <v>936320</v>
      </c>
      <c r="H100" s="325">
        <f t="shared" si="46"/>
        <v>1030624</v>
      </c>
      <c r="I100" s="325">
        <f t="shared" si="46"/>
        <v>1040144</v>
      </c>
      <c r="J100" s="325">
        <f t="shared" si="46"/>
        <v>1326000</v>
      </c>
      <c r="K100" s="325">
        <f t="shared" si="46"/>
        <v>1195808</v>
      </c>
      <c r="L100" s="325">
        <f t="shared" si="46"/>
        <v>695856</v>
      </c>
      <c r="M100" s="325">
        <f t="shared" si="46"/>
        <v>893328</v>
      </c>
      <c r="N100" s="325">
        <f t="shared" si="46"/>
        <v>772216</v>
      </c>
      <c r="O100" s="325">
        <f t="shared" si="46"/>
        <v>779528</v>
      </c>
      <c r="P100" s="325">
        <f t="shared" si="44"/>
        <v>11088688</v>
      </c>
      <c r="Q100" s="325">
        <f t="shared" si="37"/>
        <v>924057.33333333337</v>
      </c>
    </row>
    <row r="101" spans="2:17" x14ac:dyDescent="0.25">
      <c r="B101" s="337" t="s">
        <v>87</v>
      </c>
      <c r="C101" s="338" t="s">
        <v>116</v>
      </c>
      <c r="D101" s="325">
        <f t="shared" ref="D101:O101" si="47">D24</f>
        <v>12182</v>
      </c>
      <c r="E101" s="325">
        <f t="shared" si="47"/>
        <v>14350</v>
      </c>
      <c r="F101" s="325">
        <f t="shared" si="47"/>
        <v>14235</v>
      </c>
      <c r="G101" s="325">
        <f t="shared" si="47"/>
        <v>14087</v>
      </c>
      <c r="H101" s="325">
        <f t="shared" si="47"/>
        <v>14066</v>
      </c>
      <c r="I101" s="325">
        <f t="shared" si="47"/>
        <v>14026</v>
      </c>
      <c r="J101" s="325">
        <f t="shared" si="47"/>
        <v>13775</v>
      </c>
      <c r="K101" s="325">
        <f t="shared" si="47"/>
        <v>13675</v>
      </c>
      <c r="L101" s="325">
        <f t="shared" si="47"/>
        <v>13626</v>
      </c>
      <c r="M101" s="325">
        <f t="shared" si="47"/>
        <v>13386</v>
      </c>
      <c r="N101" s="325">
        <f t="shared" si="47"/>
        <v>13459</v>
      </c>
      <c r="O101" s="325">
        <f t="shared" si="47"/>
        <v>13274</v>
      </c>
      <c r="P101" s="325">
        <f t="shared" si="44"/>
        <v>164141</v>
      </c>
      <c r="Q101" s="325">
        <f t="shared" si="37"/>
        <v>13678.416666666666</v>
      </c>
    </row>
    <row r="102" spans="2:17" x14ac:dyDescent="0.25">
      <c r="B102" s="319" t="s">
        <v>34</v>
      </c>
      <c r="D102" s="339">
        <f t="shared" ref="D102:O102" si="48">D27</f>
        <v>26777632</v>
      </c>
      <c r="E102" s="339">
        <f t="shared" si="48"/>
        <v>21683606</v>
      </c>
      <c r="F102" s="339">
        <f t="shared" si="48"/>
        <v>18893141</v>
      </c>
      <c r="G102" s="339">
        <f t="shared" si="48"/>
        <v>14761052</v>
      </c>
      <c r="H102" s="339">
        <f t="shared" si="48"/>
        <v>16872411</v>
      </c>
      <c r="I102" s="339">
        <f t="shared" si="48"/>
        <v>18857728</v>
      </c>
      <c r="J102" s="339">
        <f t="shared" si="48"/>
        <v>21336431</v>
      </c>
      <c r="K102" s="339">
        <f t="shared" si="48"/>
        <v>19919294</v>
      </c>
      <c r="L102" s="339">
        <f t="shared" si="48"/>
        <v>16811292</v>
      </c>
      <c r="M102" s="339">
        <f t="shared" si="48"/>
        <v>17954552</v>
      </c>
      <c r="N102" s="339">
        <f t="shared" si="48"/>
        <v>22738830</v>
      </c>
      <c r="O102" s="339">
        <f t="shared" si="48"/>
        <v>23209428</v>
      </c>
      <c r="P102" s="339">
        <f>SUM(P97:P101)</f>
        <v>239815397</v>
      </c>
      <c r="Q102" s="339">
        <f t="shared" si="37"/>
        <v>19984616.416666668</v>
      </c>
    </row>
    <row r="104" spans="2:17" x14ac:dyDescent="0.25">
      <c r="B104" s="311" t="s">
        <v>139</v>
      </c>
    </row>
    <row r="105" spans="2:17" x14ac:dyDescent="0.25">
      <c r="B105" s="337" t="s">
        <v>86</v>
      </c>
      <c r="C105" s="338" t="s">
        <v>112</v>
      </c>
      <c r="D105" s="325">
        <f t="shared" ref="D105:O105" si="49">D32</f>
        <v>0</v>
      </c>
      <c r="E105" s="325">
        <f t="shared" si="49"/>
        <v>0</v>
      </c>
      <c r="F105" s="325">
        <f t="shared" si="49"/>
        <v>0</v>
      </c>
      <c r="G105" s="325">
        <f t="shared" si="49"/>
        <v>0</v>
      </c>
      <c r="H105" s="325">
        <f t="shared" si="49"/>
        <v>0</v>
      </c>
      <c r="I105" s="325">
        <f t="shared" si="49"/>
        <v>0</v>
      </c>
      <c r="J105" s="325">
        <f t="shared" si="49"/>
        <v>0</v>
      </c>
      <c r="K105" s="325">
        <f t="shared" si="49"/>
        <v>0</v>
      </c>
      <c r="L105" s="325">
        <f t="shared" si="49"/>
        <v>0</v>
      </c>
      <c r="M105" s="325">
        <f t="shared" si="49"/>
        <v>0</v>
      </c>
      <c r="N105" s="325">
        <f t="shared" si="49"/>
        <v>0</v>
      </c>
      <c r="O105" s="325">
        <f t="shared" si="49"/>
        <v>0</v>
      </c>
      <c r="P105" s="325">
        <f>SUM(D105:O105)</f>
        <v>0</v>
      </c>
      <c r="Q105" s="325">
        <f t="shared" si="37"/>
        <v>0</v>
      </c>
    </row>
    <row r="106" spans="2:17" x14ac:dyDescent="0.25">
      <c r="B106" s="337" t="s">
        <v>119</v>
      </c>
      <c r="C106" s="338" t="s">
        <v>113</v>
      </c>
      <c r="D106" s="325">
        <f t="shared" ref="D106:O106" si="50">D33</f>
        <v>0</v>
      </c>
      <c r="E106" s="325">
        <f t="shared" si="50"/>
        <v>0</v>
      </c>
      <c r="F106" s="325">
        <f t="shared" si="50"/>
        <v>0</v>
      </c>
      <c r="G106" s="325">
        <f t="shared" si="50"/>
        <v>0</v>
      </c>
      <c r="H106" s="325">
        <f t="shared" si="50"/>
        <v>0</v>
      </c>
      <c r="I106" s="325">
        <f t="shared" si="50"/>
        <v>0</v>
      </c>
      <c r="J106" s="325">
        <f t="shared" si="50"/>
        <v>0</v>
      </c>
      <c r="K106" s="325">
        <f t="shared" si="50"/>
        <v>0</v>
      </c>
      <c r="L106" s="325">
        <f t="shared" si="50"/>
        <v>0</v>
      </c>
      <c r="M106" s="325">
        <f t="shared" si="50"/>
        <v>0</v>
      </c>
      <c r="N106" s="325">
        <f t="shared" si="50"/>
        <v>0</v>
      </c>
      <c r="O106" s="325">
        <f t="shared" si="50"/>
        <v>0</v>
      </c>
      <c r="P106" s="325">
        <f t="shared" ref="P106:P109" si="51">SUM(D106:O106)</f>
        <v>0</v>
      </c>
      <c r="Q106" s="325">
        <f t="shared" si="37"/>
        <v>0</v>
      </c>
    </row>
    <row r="107" spans="2:17" x14ac:dyDescent="0.25">
      <c r="B107" s="337" t="s">
        <v>120</v>
      </c>
      <c r="C107" s="338" t="s">
        <v>114</v>
      </c>
      <c r="D107" s="325">
        <f>D36+D34</f>
        <v>11010.5</v>
      </c>
      <c r="E107" s="325">
        <f t="shared" ref="E107:O107" si="52">E36</f>
        <v>11331.5</v>
      </c>
      <c r="F107" s="325">
        <f t="shared" si="52"/>
        <v>12531.51</v>
      </c>
      <c r="G107" s="325">
        <f t="shared" si="52"/>
        <v>10855.78</v>
      </c>
      <c r="H107" s="325">
        <f t="shared" si="52"/>
        <v>9703.84</v>
      </c>
      <c r="I107" s="325">
        <f t="shared" si="52"/>
        <v>9002.52</v>
      </c>
      <c r="J107" s="325">
        <f t="shared" si="52"/>
        <v>10015.370000000001</v>
      </c>
      <c r="K107" s="325">
        <f t="shared" si="52"/>
        <v>10443.42</v>
      </c>
      <c r="L107" s="325">
        <f t="shared" si="52"/>
        <v>10369.41</v>
      </c>
      <c r="M107" s="325">
        <f t="shared" si="52"/>
        <v>10671.84</v>
      </c>
      <c r="N107" s="325">
        <f t="shared" si="52"/>
        <v>10995.02</v>
      </c>
      <c r="O107" s="325">
        <f t="shared" si="52"/>
        <v>10414.64</v>
      </c>
      <c r="P107" s="325">
        <f t="shared" si="51"/>
        <v>127345.35</v>
      </c>
      <c r="Q107" s="325">
        <f t="shared" si="37"/>
        <v>10612.112500000001</v>
      </c>
    </row>
    <row r="108" spans="2:17" x14ac:dyDescent="0.25">
      <c r="B108" s="337" t="s">
        <v>121</v>
      </c>
      <c r="C108" s="338" t="s">
        <v>115</v>
      </c>
      <c r="D108" s="325">
        <f>D37+D35</f>
        <v>1694</v>
      </c>
      <c r="E108" s="325">
        <f t="shared" ref="E108:O108" si="53">E37</f>
        <v>1626.74</v>
      </c>
      <c r="F108" s="325">
        <f t="shared" si="53"/>
        <v>1838.71</v>
      </c>
      <c r="G108" s="325">
        <f t="shared" si="53"/>
        <v>1867.25</v>
      </c>
      <c r="H108" s="325">
        <f t="shared" si="53"/>
        <v>1876.76</v>
      </c>
      <c r="I108" s="325">
        <f t="shared" si="53"/>
        <v>2003.57</v>
      </c>
      <c r="J108" s="325">
        <f t="shared" si="53"/>
        <v>2025.93</v>
      </c>
      <c r="K108" s="325">
        <f t="shared" si="53"/>
        <v>2010.05</v>
      </c>
      <c r="L108" s="325">
        <f t="shared" si="53"/>
        <v>1953.93</v>
      </c>
      <c r="M108" s="325">
        <f t="shared" si="53"/>
        <v>1904.11</v>
      </c>
      <c r="N108" s="325">
        <f t="shared" si="53"/>
        <v>1896.14</v>
      </c>
      <c r="O108" s="325">
        <f t="shared" si="53"/>
        <v>1509.42</v>
      </c>
      <c r="P108" s="325">
        <f t="shared" si="51"/>
        <v>22206.61</v>
      </c>
      <c r="Q108" s="325">
        <f t="shared" si="37"/>
        <v>1850.5508333333335</v>
      </c>
    </row>
    <row r="109" spans="2:17" x14ac:dyDescent="0.25">
      <c r="B109" s="337" t="s">
        <v>87</v>
      </c>
      <c r="C109" s="338" t="s">
        <v>116</v>
      </c>
      <c r="D109" s="325">
        <f t="shared" ref="D109:O109" si="54">D38</f>
        <v>0</v>
      </c>
      <c r="E109" s="325">
        <f t="shared" si="54"/>
        <v>0</v>
      </c>
      <c r="F109" s="325">
        <f t="shared" si="54"/>
        <v>0</v>
      </c>
      <c r="G109" s="325">
        <f t="shared" si="54"/>
        <v>0</v>
      </c>
      <c r="H109" s="325">
        <f t="shared" si="54"/>
        <v>0</v>
      </c>
      <c r="I109" s="325">
        <f t="shared" si="54"/>
        <v>0</v>
      </c>
      <c r="J109" s="325">
        <f t="shared" si="54"/>
        <v>0</v>
      </c>
      <c r="K109" s="325">
        <f t="shared" si="54"/>
        <v>0</v>
      </c>
      <c r="L109" s="325">
        <f t="shared" si="54"/>
        <v>0</v>
      </c>
      <c r="M109" s="325">
        <f t="shared" si="54"/>
        <v>0</v>
      </c>
      <c r="N109" s="325">
        <f t="shared" si="54"/>
        <v>0</v>
      </c>
      <c r="O109" s="325">
        <f t="shared" si="54"/>
        <v>0</v>
      </c>
      <c r="P109" s="325">
        <f t="shared" si="51"/>
        <v>0</v>
      </c>
      <c r="Q109" s="325">
        <f t="shared" si="37"/>
        <v>0</v>
      </c>
    </row>
    <row r="110" spans="2:17" x14ac:dyDescent="0.25">
      <c r="B110" s="319" t="s">
        <v>34</v>
      </c>
      <c r="D110" s="339">
        <f t="shared" ref="D110:O110" si="55">D39</f>
        <v>12704.5</v>
      </c>
      <c r="E110" s="339">
        <f t="shared" si="55"/>
        <v>12958.24</v>
      </c>
      <c r="F110" s="339">
        <f t="shared" si="55"/>
        <v>14370.220000000001</v>
      </c>
      <c r="G110" s="339">
        <f t="shared" si="55"/>
        <v>12723.03</v>
      </c>
      <c r="H110" s="339">
        <f t="shared" si="55"/>
        <v>11580.6</v>
      </c>
      <c r="I110" s="339">
        <f t="shared" si="55"/>
        <v>11006.09</v>
      </c>
      <c r="J110" s="339">
        <f t="shared" si="55"/>
        <v>12041.300000000001</v>
      </c>
      <c r="K110" s="339">
        <f t="shared" si="55"/>
        <v>12453.47</v>
      </c>
      <c r="L110" s="339">
        <f t="shared" si="55"/>
        <v>12323.34</v>
      </c>
      <c r="M110" s="339">
        <f t="shared" si="55"/>
        <v>12575.95</v>
      </c>
      <c r="N110" s="339">
        <f t="shared" si="55"/>
        <v>12891.16</v>
      </c>
      <c r="O110" s="339">
        <f t="shared" si="55"/>
        <v>11924.06</v>
      </c>
      <c r="P110" s="339">
        <f>SUM(P105:P109)</f>
        <v>149551.96000000002</v>
      </c>
      <c r="Q110" s="339">
        <f t="shared" si="37"/>
        <v>12462.663333333332</v>
      </c>
    </row>
    <row r="112" spans="2:17" x14ac:dyDescent="0.25">
      <c r="B112" s="311" t="s">
        <v>171</v>
      </c>
    </row>
    <row r="113" spans="2:17" x14ac:dyDescent="0.25">
      <c r="B113" s="337" t="s">
        <v>86</v>
      </c>
      <c r="C113" s="338" t="s">
        <v>112</v>
      </c>
      <c r="D113" s="325">
        <f t="shared" ref="D113:O113" si="56">D45-D205</f>
        <v>2439334.5300000003</v>
      </c>
      <c r="E113" s="325">
        <f t="shared" si="56"/>
        <v>1846481.54</v>
      </c>
      <c r="F113" s="325">
        <f t="shared" si="56"/>
        <v>1590090.27</v>
      </c>
      <c r="G113" s="325">
        <f t="shared" si="56"/>
        <v>1220521.67</v>
      </c>
      <c r="H113" s="325">
        <f t="shared" si="56"/>
        <v>1453458.5999999999</v>
      </c>
      <c r="I113" s="325">
        <f t="shared" si="56"/>
        <v>1596133.07</v>
      </c>
      <c r="J113" s="325">
        <f t="shared" si="56"/>
        <v>1814658.03</v>
      </c>
      <c r="K113" s="325">
        <f t="shared" si="56"/>
        <v>1680904.06</v>
      </c>
      <c r="L113" s="325">
        <f t="shared" si="56"/>
        <v>1428899.1400000001</v>
      </c>
      <c r="M113" s="325">
        <f t="shared" si="56"/>
        <v>1506597.26</v>
      </c>
      <c r="N113" s="325">
        <f t="shared" si="56"/>
        <v>1946002.3599999999</v>
      </c>
      <c r="O113" s="325">
        <f t="shared" si="56"/>
        <v>2009701.05</v>
      </c>
      <c r="P113" s="325">
        <f>SUM(D113:O113)</f>
        <v>20532781.580000002</v>
      </c>
      <c r="Q113" s="325">
        <f t="shared" si="37"/>
        <v>1711065.1316666668</v>
      </c>
    </row>
    <row r="114" spans="2:17" x14ac:dyDescent="0.25">
      <c r="B114" s="337" t="s">
        <v>119</v>
      </c>
      <c r="C114" s="338" t="s">
        <v>113</v>
      </c>
      <c r="D114" s="325">
        <f t="shared" ref="D114:O114" si="57">D46-D206</f>
        <v>111585.26</v>
      </c>
      <c r="E114" s="325">
        <f t="shared" si="57"/>
        <v>92723.51</v>
      </c>
      <c r="F114" s="325">
        <f t="shared" si="57"/>
        <v>92836.37999999999</v>
      </c>
      <c r="G114" s="325">
        <f t="shared" si="57"/>
        <v>85824.39</v>
      </c>
      <c r="H114" s="325">
        <f t="shared" si="57"/>
        <v>93969.53</v>
      </c>
      <c r="I114" s="325">
        <f t="shared" si="57"/>
        <v>93909.68</v>
      </c>
      <c r="J114" s="325">
        <f t="shared" si="57"/>
        <v>103394.92</v>
      </c>
      <c r="K114" s="325">
        <f t="shared" si="57"/>
        <v>100785.74</v>
      </c>
      <c r="L114" s="325">
        <f t="shared" si="57"/>
        <v>94212.22</v>
      </c>
      <c r="M114" s="325">
        <f t="shared" si="57"/>
        <v>86690.680000000008</v>
      </c>
      <c r="N114" s="325">
        <f t="shared" si="57"/>
        <v>93363.310000000012</v>
      </c>
      <c r="O114" s="325">
        <f t="shared" si="57"/>
        <v>98790.280000000013</v>
      </c>
      <c r="P114" s="325">
        <f t="shared" ref="P114:P117" si="58">SUM(D114:O114)</f>
        <v>1148085.9000000001</v>
      </c>
      <c r="Q114" s="325">
        <f t="shared" si="37"/>
        <v>95673.825000000012</v>
      </c>
    </row>
    <row r="115" spans="2:17" x14ac:dyDescent="0.25">
      <c r="B115" s="337" t="s">
        <v>120</v>
      </c>
      <c r="C115" s="338" t="s">
        <v>114</v>
      </c>
      <c r="D115" s="325">
        <f t="shared" ref="D115:O115" si="59">D47+D49-D207</f>
        <v>325272.46000000002</v>
      </c>
      <c r="E115" s="325">
        <f t="shared" si="59"/>
        <v>281146.05000000005</v>
      </c>
      <c r="F115" s="325">
        <f t="shared" si="59"/>
        <v>305344.23</v>
      </c>
      <c r="G115" s="325">
        <f t="shared" si="59"/>
        <v>255170.65000000002</v>
      </c>
      <c r="H115" s="325">
        <f t="shared" si="59"/>
        <v>271008.21999999997</v>
      </c>
      <c r="I115" s="325">
        <f t="shared" si="59"/>
        <v>262610.25</v>
      </c>
      <c r="J115" s="325">
        <f t="shared" si="59"/>
        <v>303645.24</v>
      </c>
      <c r="K115" s="325">
        <f t="shared" si="59"/>
        <v>294115.51999999996</v>
      </c>
      <c r="L115" s="325">
        <f t="shared" si="59"/>
        <v>270557.38</v>
      </c>
      <c r="M115" s="325">
        <f t="shared" si="59"/>
        <v>265179.58</v>
      </c>
      <c r="N115" s="325">
        <f t="shared" si="59"/>
        <v>283413.27</v>
      </c>
      <c r="O115" s="325">
        <f t="shared" si="59"/>
        <v>284083.90000000002</v>
      </c>
      <c r="P115" s="325">
        <f t="shared" si="58"/>
        <v>3401546.75</v>
      </c>
      <c r="Q115" s="325">
        <f t="shared" si="37"/>
        <v>283462.22916666669</v>
      </c>
    </row>
    <row r="116" spans="2:17" x14ac:dyDescent="0.25">
      <c r="B116" s="337" t="s">
        <v>121</v>
      </c>
      <c r="C116" s="338" t="s">
        <v>115</v>
      </c>
      <c r="D116" s="325">
        <f t="shared" ref="D116:O116" si="60">D48+D50-D208</f>
        <v>64576.52</v>
      </c>
      <c r="E116" s="325">
        <f t="shared" si="60"/>
        <v>52888.11</v>
      </c>
      <c r="F116" s="325">
        <f t="shared" si="60"/>
        <v>61429.689999999995</v>
      </c>
      <c r="G116" s="325">
        <f t="shared" si="60"/>
        <v>65181.8</v>
      </c>
      <c r="H116" s="325">
        <f t="shared" si="60"/>
        <v>74699.75</v>
      </c>
      <c r="I116" s="325">
        <f t="shared" si="60"/>
        <v>72328.91</v>
      </c>
      <c r="J116" s="325">
        <f t="shared" si="60"/>
        <v>92341.88</v>
      </c>
      <c r="K116" s="325">
        <f t="shared" si="60"/>
        <v>83244.509999999995</v>
      </c>
      <c r="L116" s="325">
        <f t="shared" si="60"/>
        <v>53519.259999999995</v>
      </c>
      <c r="M116" s="325">
        <f t="shared" si="60"/>
        <v>62176.53</v>
      </c>
      <c r="N116" s="325">
        <f t="shared" si="60"/>
        <v>55882.720000000001</v>
      </c>
      <c r="O116" s="325">
        <f t="shared" si="60"/>
        <v>54040.07</v>
      </c>
      <c r="P116" s="325">
        <f t="shared" si="58"/>
        <v>792309.75</v>
      </c>
      <c r="Q116" s="325">
        <f t="shared" si="37"/>
        <v>66025.8125</v>
      </c>
    </row>
    <row r="117" spans="2:17" x14ac:dyDescent="0.25">
      <c r="B117" s="337" t="s">
        <v>87</v>
      </c>
      <c r="C117" s="338" t="s">
        <v>116</v>
      </c>
      <c r="D117" s="325">
        <f t="shared" ref="D117:O117" si="61">D51+D210</f>
        <v>88048.76</v>
      </c>
      <c r="E117" s="325">
        <f t="shared" si="61"/>
        <v>88323.650000000009</v>
      </c>
      <c r="F117" s="325">
        <f t="shared" si="61"/>
        <v>88202.44</v>
      </c>
      <c r="G117" s="325">
        <f t="shared" si="61"/>
        <v>88095.049999999988</v>
      </c>
      <c r="H117" s="325">
        <f t="shared" si="61"/>
        <v>88134.800000000017</v>
      </c>
      <c r="I117" s="325">
        <f t="shared" si="61"/>
        <v>87967.099999999991</v>
      </c>
      <c r="J117" s="325">
        <f t="shared" si="61"/>
        <v>88072.11</v>
      </c>
      <c r="K117" s="325">
        <f t="shared" si="61"/>
        <v>88017.709999999992</v>
      </c>
      <c r="L117" s="325">
        <f t="shared" si="61"/>
        <v>87901.98000000001</v>
      </c>
      <c r="M117" s="325">
        <f t="shared" si="61"/>
        <v>87887.679999999993</v>
      </c>
      <c r="N117" s="325">
        <f t="shared" si="61"/>
        <v>87991.969999999987</v>
      </c>
      <c r="O117" s="325">
        <f t="shared" si="61"/>
        <v>85944.369999999981</v>
      </c>
      <c r="P117" s="325">
        <f t="shared" si="58"/>
        <v>1054587.6199999996</v>
      </c>
      <c r="Q117" s="325">
        <f t="shared" si="37"/>
        <v>87882.301666666637</v>
      </c>
    </row>
    <row r="118" spans="2:17" x14ac:dyDescent="0.25">
      <c r="B118" s="319" t="s">
        <v>34</v>
      </c>
      <c r="D118" s="339">
        <f>SUM(D113:D117)</f>
        <v>3028817.53</v>
      </c>
      <c r="E118" s="339">
        <f t="shared" ref="E118:O118" si="62">SUM(E113:E117)</f>
        <v>2361562.86</v>
      </c>
      <c r="F118" s="339">
        <f t="shared" si="62"/>
        <v>2137903.0099999998</v>
      </c>
      <c r="G118" s="339">
        <f t="shared" si="62"/>
        <v>1714793.56</v>
      </c>
      <c r="H118" s="339">
        <f t="shared" si="62"/>
        <v>1981270.9</v>
      </c>
      <c r="I118" s="339">
        <f t="shared" si="62"/>
        <v>2112949.0099999998</v>
      </c>
      <c r="J118" s="339">
        <f t="shared" si="62"/>
        <v>2402112.1799999997</v>
      </c>
      <c r="K118" s="339">
        <f t="shared" si="62"/>
        <v>2247067.54</v>
      </c>
      <c r="L118" s="339">
        <f t="shared" si="62"/>
        <v>1935089.9800000002</v>
      </c>
      <c r="M118" s="339">
        <f t="shared" si="62"/>
        <v>2008531.73</v>
      </c>
      <c r="N118" s="339">
        <f t="shared" si="62"/>
        <v>2466653.6300000004</v>
      </c>
      <c r="O118" s="339">
        <f t="shared" si="62"/>
        <v>2532559.67</v>
      </c>
      <c r="P118" s="339">
        <f>SUM(P113:P117)</f>
        <v>26929311.600000001</v>
      </c>
      <c r="Q118" s="339">
        <f t="shared" si="37"/>
        <v>2244109.3000000003</v>
      </c>
    </row>
    <row r="120" spans="2:17" x14ac:dyDescent="0.25">
      <c r="B120" s="311" t="s">
        <v>134</v>
      </c>
    </row>
    <row r="121" spans="2:17" x14ac:dyDescent="0.25">
      <c r="B121" s="337" t="s">
        <v>86</v>
      </c>
      <c r="C121" s="338" t="s">
        <v>112</v>
      </c>
      <c r="D121" s="325">
        <f t="shared" ref="D121:O121" si="63">D59</f>
        <v>39129.85</v>
      </c>
      <c r="E121" s="325">
        <f t="shared" si="63"/>
        <v>-84189.32</v>
      </c>
      <c r="F121" s="325">
        <f t="shared" si="63"/>
        <v>-44208.39</v>
      </c>
      <c r="G121" s="325">
        <f t="shared" si="63"/>
        <v>-61016.31</v>
      </c>
      <c r="H121" s="325">
        <f t="shared" si="63"/>
        <v>-25869</v>
      </c>
      <c r="I121" s="325">
        <f t="shared" si="63"/>
        <v>-94522.51</v>
      </c>
      <c r="J121" s="325">
        <f t="shared" si="63"/>
        <v>-57134.48</v>
      </c>
      <c r="K121" s="325">
        <f t="shared" si="63"/>
        <v>-65908.55</v>
      </c>
      <c r="L121" s="325">
        <f t="shared" si="63"/>
        <v>-60696.47</v>
      </c>
      <c r="M121" s="325">
        <f t="shared" si="63"/>
        <v>-94196.73</v>
      </c>
      <c r="N121" s="325">
        <f t="shared" si="63"/>
        <v>-130008.98</v>
      </c>
      <c r="O121" s="325">
        <f t="shared" si="63"/>
        <v>-134437.96</v>
      </c>
      <c r="P121" s="325">
        <f>SUM(D121:O121)</f>
        <v>-813058.84999999986</v>
      </c>
      <c r="Q121" s="325">
        <f t="shared" si="37"/>
        <v>-67754.90416666666</v>
      </c>
    </row>
    <row r="122" spans="2:17" x14ac:dyDescent="0.25">
      <c r="B122" s="337" t="s">
        <v>119</v>
      </c>
      <c r="C122" s="338" t="s">
        <v>113</v>
      </c>
      <c r="D122" s="325">
        <f t="shared" ref="D122:O122" si="64">D60</f>
        <v>1713.61</v>
      </c>
      <c r="E122" s="325">
        <f t="shared" si="64"/>
        <v>-3968.36</v>
      </c>
      <c r="F122" s="325">
        <f t="shared" si="64"/>
        <v>-2470.9899999999998</v>
      </c>
      <c r="G122" s="325">
        <f t="shared" si="64"/>
        <v>-4181.5200000000004</v>
      </c>
      <c r="H122" s="325">
        <f t="shared" si="64"/>
        <v>-1625.46</v>
      </c>
      <c r="I122" s="325">
        <f t="shared" si="64"/>
        <v>-5348.99</v>
      </c>
      <c r="J122" s="325">
        <f t="shared" si="64"/>
        <v>-3173.645</v>
      </c>
      <c r="K122" s="325">
        <f t="shared" si="64"/>
        <v>-3861.84</v>
      </c>
      <c r="L122" s="325">
        <f t="shared" si="64"/>
        <v>-3938.66</v>
      </c>
      <c r="M122" s="325">
        <f t="shared" si="64"/>
        <v>-5033.67</v>
      </c>
      <c r="N122" s="325">
        <f t="shared" si="64"/>
        <v>-5950.34</v>
      </c>
      <c r="O122" s="325">
        <f t="shared" si="64"/>
        <v>-5913.01</v>
      </c>
      <c r="P122" s="325">
        <f t="shared" ref="P122:P125" si="65">SUM(D122:O122)</f>
        <v>-43752.875000000007</v>
      </c>
      <c r="Q122" s="325">
        <f t="shared" si="37"/>
        <v>-3646.0729166666674</v>
      </c>
    </row>
    <row r="123" spans="2:17" x14ac:dyDescent="0.25">
      <c r="B123" s="337" t="s">
        <v>120</v>
      </c>
      <c r="C123" s="338" t="s">
        <v>114</v>
      </c>
      <c r="D123" s="325">
        <f t="shared" ref="D123:O123" si="66">D61+D63</f>
        <v>5319.3099999999995</v>
      </c>
      <c r="E123" s="325">
        <f t="shared" si="66"/>
        <v>-12703.59</v>
      </c>
      <c r="F123" s="325">
        <f t="shared" si="66"/>
        <v>-8507.82</v>
      </c>
      <c r="G123" s="325">
        <f t="shared" si="66"/>
        <v>-13660.949999999999</v>
      </c>
      <c r="H123" s="325">
        <f t="shared" si="66"/>
        <v>-5110.6400000000003</v>
      </c>
      <c r="I123" s="325">
        <f t="shared" si="66"/>
        <v>-16741.810000000001</v>
      </c>
      <c r="J123" s="325">
        <f t="shared" si="66"/>
        <v>-10280.070000000002</v>
      </c>
      <c r="K123" s="325">
        <f t="shared" si="66"/>
        <v>-12178.58</v>
      </c>
      <c r="L123" s="325">
        <f t="shared" si="66"/>
        <v>-12009.49</v>
      </c>
      <c r="M123" s="325">
        <f t="shared" si="66"/>
        <v>-16865.379999999997</v>
      </c>
      <c r="N123" s="325">
        <f t="shared" si="66"/>
        <v>-19029.96</v>
      </c>
      <c r="O123" s="325">
        <f t="shared" si="66"/>
        <v>-19255.41</v>
      </c>
      <c r="P123" s="325">
        <f t="shared" si="65"/>
        <v>-141024.38999999998</v>
      </c>
      <c r="Q123" s="325">
        <f t="shared" si="37"/>
        <v>-11752.032499999999</v>
      </c>
    </row>
    <row r="124" spans="2:17" x14ac:dyDescent="0.25">
      <c r="B124" s="337" t="s">
        <v>121</v>
      </c>
      <c r="C124" s="338" t="s">
        <v>115</v>
      </c>
      <c r="D124" s="325">
        <f t="shared" ref="D124:O124" si="67">D62+D64</f>
        <v>1479.73</v>
      </c>
      <c r="E124" s="325">
        <f t="shared" si="67"/>
        <v>-3584.54</v>
      </c>
      <c r="F124" s="325">
        <f t="shared" si="67"/>
        <v>-2582.25</v>
      </c>
      <c r="G124" s="325">
        <f t="shared" si="67"/>
        <v>-5346.3899999999994</v>
      </c>
      <c r="H124" s="325">
        <f t="shared" si="67"/>
        <v>-2123.09</v>
      </c>
      <c r="I124" s="325">
        <f t="shared" si="67"/>
        <v>-6812.94</v>
      </c>
      <c r="J124" s="325">
        <f t="shared" si="67"/>
        <v>-4680.78</v>
      </c>
      <c r="K124" s="325">
        <f t="shared" si="67"/>
        <v>-5237.6400000000003</v>
      </c>
      <c r="L124" s="325">
        <f t="shared" si="67"/>
        <v>-3312.27</v>
      </c>
      <c r="M124" s="325">
        <f t="shared" si="67"/>
        <v>-6083.57</v>
      </c>
      <c r="N124" s="325">
        <f t="shared" si="67"/>
        <v>-5451.85</v>
      </c>
      <c r="O124" s="325">
        <f t="shared" si="67"/>
        <v>-5550.24</v>
      </c>
      <c r="P124" s="325">
        <f t="shared" si="65"/>
        <v>-49285.829999999994</v>
      </c>
      <c r="Q124" s="325">
        <f t="shared" si="37"/>
        <v>-4107.1524999999992</v>
      </c>
    </row>
    <row r="125" spans="2:17" x14ac:dyDescent="0.25">
      <c r="B125" s="337" t="s">
        <v>87</v>
      </c>
      <c r="C125" s="338" t="s">
        <v>116</v>
      </c>
      <c r="D125" s="325">
        <f t="shared" ref="D125:O125" si="68">D65</f>
        <v>21.68</v>
      </c>
      <c r="E125" s="325">
        <f t="shared" si="68"/>
        <v>-69.17</v>
      </c>
      <c r="F125" s="325">
        <f t="shared" si="68"/>
        <v>-43.56</v>
      </c>
      <c r="G125" s="325">
        <f t="shared" si="68"/>
        <v>-80.44</v>
      </c>
      <c r="H125" s="325">
        <f t="shared" si="68"/>
        <v>-28.98</v>
      </c>
      <c r="I125" s="325">
        <f t="shared" si="68"/>
        <v>-91.87</v>
      </c>
      <c r="J125" s="325">
        <f t="shared" si="68"/>
        <v>-48.63</v>
      </c>
      <c r="K125" s="325">
        <f t="shared" si="68"/>
        <v>-59.9</v>
      </c>
      <c r="L125" s="325">
        <f t="shared" si="68"/>
        <v>-64.86</v>
      </c>
      <c r="M125" s="325">
        <f t="shared" si="68"/>
        <v>-91.16</v>
      </c>
      <c r="N125" s="325">
        <f t="shared" si="68"/>
        <v>-95.02</v>
      </c>
      <c r="O125" s="325">
        <f t="shared" si="68"/>
        <v>-94.51</v>
      </c>
      <c r="P125" s="325">
        <f t="shared" si="65"/>
        <v>-746.42</v>
      </c>
      <c r="Q125" s="325">
        <f t="shared" si="37"/>
        <v>-62.201666666666661</v>
      </c>
    </row>
    <row r="126" spans="2:17" x14ac:dyDescent="0.25">
      <c r="B126" s="319" t="s">
        <v>34</v>
      </c>
      <c r="D126" s="339">
        <f t="shared" ref="D126:O126" si="69">D66</f>
        <v>47664.18</v>
      </c>
      <c r="E126" s="339">
        <f t="shared" si="69"/>
        <v>-104514.98000000001</v>
      </c>
      <c r="F126" s="339">
        <f t="shared" si="69"/>
        <v>-57813.009999999995</v>
      </c>
      <c r="G126" s="339">
        <f t="shared" si="69"/>
        <v>-84285.61</v>
      </c>
      <c r="H126" s="339">
        <f t="shared" si="69"/>
        <v>-34757.170000000006</v>
      </c>
      <c r="I126" s="339">
        <f t="shared" si="69"/>
        <v>-123518.12</v>
      </c>
      <c r="J126" s="339">
        <f t="shared" si="69"/>
        <v>-75317.604999999996</v>
      </c>
      <c r="K126" s="339">
        <f t="shared" si="69"/>
        <v>-87246.51</v>
      </c>
      <c r="L126" s="339">
        <f t="shared" si="69"/>
        <v>-80021.75</v>
      </c>
      <c r="M126" s="339">
        <f t="shared" si="69"/>
        <v>-122270.51000000001</v>
      </c>
      <c r="N126" s="339">
        <f t="shared" si="69"/>
        <v>-160536.15</v>
      </c>
      <c r="O126" s="339">
        <f t="shared" si="69"/>
        <v>-165251.13</v>
      </c>
      <c r="P126" s="339">
        <f>SUM(P121:P125)</f>
        <v>-1047868.3649999999</v>
      </c>
      <c r="Q126" s="339">
        <f t="shared" si="37"/>
        <v>-87322.363750000004</v>
      </c>
    </row>
    <row r="128" spans="2:17" x14ac:dyDescent="0.25">
      <c r="B128" s="311" t="s">
        <v>137</v>
      </c>
    </row>
    <row r="129" spans="2:17" x14ac:dyDescent="0.25">
      <c r="B129" s="337" t="s">
        <v>86</v>
      </c>
      <c r="C129" s="338" t="s">
        <v>112</v>
      </c>
      <c r="D129" s="325">
        <f t="shared" ref="D129:O129" si="70">D74</f>
        <v>191631.76</v>
      </c>
      <c r="E129" s="325">
        <f t="shared" si="70"/>
        <v>137924</v>
      </c>
      <c r="F129" s="325">
        <f t="shared" si="70"/>
        <v>118247.55</v>
      </c>
      <c r="G129" s="325">
        <f t="shared" si="70"/>
        <v>111899.35</v>
      </c>
      <c r="H129" s="325">
        <f t="shared" si="70"/>
        <v>137248.41</v>
      </c>
      <c r="I129" s="325">
        <f t="shared" si="70"/>
        <v>176275.65330200002</v>
      </c>
      <c r="J129" s="325">
        <f t="shared" si="70"/>
        <v>195488.54</v>
      </c>
      <c r="K129" s="325">
        <f t="shared" si="70"/>
        <v>175006.26</v>
      </c>
      <c r="L129" s="325">
        <f t="shared" si="70"/>
        <v>128696.63</v>
      </c>
      <c r="M129" s="325">
        <f t="shared" si="70"/>
        <v>140362.66</v>
      </c>
      <c r="N129" s="325">
        <f t="shared" si="70"/>
        <v>193146.48</v>
      </c>
      <c r="O129" s="325">
        <f t="shared" si="70"/>
        <v>221763.87</v>
      </c>
      <c r="P129" s="325">
        <f>SUM(D129:O129)</f>
        <v>1927691.1633019997</v>
      </c>
      <c r="Q129" s="325">
        <f t="shared" si="37"/>
        <v>160640.93027516664</v>
      </c>
    </row>
    <row r="130" spans="2:17" x14ac:dyDescent="0.25">
      <c r="B130" s="337" t="s">
        <v>119</v>
      </c>
      <c r="C130" s="338" t="s">
        <v>113</v>
      </c>
      <c r="D130" s="325">
        <f t="shared" ref="D130:O130" si="71">D75</f>
        <v>8717.17</v>
      </c>
      <c r="E130" s="325">
        <f t="shared" si="71"/>
        <v>6855</v>
      </c>
      <c r="F130" s="325">
        <f t="shared" si="71"/>
        <v>6791.2</v>
      </c>
      <c r="G130" s="325">
        <f t="shared" si="71"/>
        <v>7650.99</v>
      </c>
      <c r="H130" s="325">
        <f t="shared" si="71"/>
        <v>8681.65</v>
      </c>
      <c r="I130" s="325">
        <f t="shared" si="71"/>
        <v>10195.51</v>
      </c>
      <c r="J130" s="325">
        <f t="shared" si="71"/>
        <v>10983.64</v>
      </c>
      <c r="K130" s="325">
        <f t="shared" si="71"/>
        <v>10320.19</v>
      </c>
      <c r="L130" s="325">
        <f t="shared" si="71"/>
        <v>8294.5300000000007</v>
      </c>
      <c r="M130" s="325">
        <f t="shared" si="71"/>
        <v>7940.46</v>
      </c>
      <c r="N130" s="325">
        <f t="shared" si="71"/>
        <v>9191.2000000000007</v>
      </c>
      <c r="O130" s="325">
        <f t="shared" si="71"/>
        <v>10528.7</v>
      </c>
      <c r="P130" s="325">
        <f t="shared" ref="P130:P133" si="72">SUM(D130:O130)</f>
        <v>106150.24</v>
      </c>
      <c r="Q130" s="325">
        <f t="shared" si="37"/>
        <v>8845.8533333333344</v>
      </c>
    </row>
    <row r="131" spans="2:17" x14ac:dyDescent="0.25">
      <c r="B131" s="337" t="s">
        <v>120</v>
      </c>
      <c r="C131" s="338" t="s">
        <v>114</v>
      </c>
      <c r="D131" s="325">
        <f t="shared" ref="D131:O131" si="73">D76+D78</f>
        <v>24923.13</v>
      </c>
      <c r="E131" s="325">
        <f t="shared" si="73"/>
        <v>20300</v>
      </c>
      <c r="F131" s="325">
        <f t="shared" si="73"/>
        <v>21794.030000000002</v>
      </c>
      <c r="G131" s="325">
        <f t="shared" si="73"/>
        <v>22293.63</v>
      </c>
      <c r="H131" s="325">
        <f t="shared" si="73"/>
        <v>24465.33</v>
      </c>
      <c r="I131" s="325">
        <f t="shared" si="73"/>
        <v>27874.25</v>
      </c>
      <c r="J131" s="325">
        <f t="shared" si="73"/>
        <v>31582.04</v>
      </c>
      <c r="K131" s="325">
        <f t="shared" si="73"/>
        <v>29475.149999999998</v>
      </c>
      <c r="L131" s="325">
        <f t="shared" si="73"/>
        <v>23294.400000000001</v>
      </c>
      <c r="M131" s="325">
        <f t="shared" si="73"/>
        <v>23681.64</v>
      </c>
      <c r="N131" s="325">
        <f t="shared" si="73"/>
        <v>27250.87</v>
      </c>
      <c r="O131" s="325">
        <f t="shared" si="73"/>
        <v>30257.84</v>
      </c>
      <c r="P131" s="325">
        <f t="shared" si="72"/>
        <v>307192.31</v>
      </c>
      <c r="Q131" s="325">
        <f t="shared" si="37"/>
        <v>25599.359166666665</v>
      </c>
    </row>
    <row r="132" spans="2:17" x14ac:dyDescent="0.25">
      <c r="B132" s="337" t="s">
        <v>121</v>
      </c>
      <c r="C132" s="338" t="s">
        <v>115</v>
      </c>
      <c r="D132" s="325">
        <f t="shared" ref="D132:O132" si="74">D77+D79</f>
        <v>4925.75</v>
      </c>
      <c r="E132" s="325">
        <f t="shared" si="74"/>
        <v>3799</v>
      </c>
      <c r="F132" s="325">
        <f t="shared" si="74"/>
        <v>4363.87</v>
      </c>
      <c r="G132" s="325">
        <f t="shared" si="74"/>
        <v>5627.9699999999993</v>
      </c>
      <c r="H132" s="325">
        <f t="shared" si="74"/>
        <v>6703.41</v>
      </c>
      <c r="I132" s="325">
        <f t="shared" si="74"/>
        <v>7630.08</v>
      </c>
      <c r="J132" s="325">
        <f t="shared" si="74"/>
        <v>9552.1</v>
      </c>
      <c r="K132" s="325">
        <f t="shared" si="74"/>
        <v>8295.93</v>
      </c>
      <c r="L132" s="325">
        <f t="shared" si="74"/>
        <v>4582.6099999999997</v>
      </c>
      <c r="M132" s="325">
        <f t="shared" si="74"/>
        <v>5518.51</v>
      </c>
      <c r="N132" s="325">
        <f t="shared" si="74"/>
        <v>5345.09</v>
      </c>
      <c r="O132" s="325">
        <f t="shared" si="74"/>
        <v>5747.5</v>
      </c>
      <c r="P132" s="325">
        <f t="shared" si="72"/>
        <v>72091.819999999992</v>
      </c>
      <c r="Q132" s="325">
        <f t="shared" si="37"/>
        <v>6007.6516666666657</v>
      </c>
    </row>
    <row r="133" spans="2:17" x14ac:dyDescent="0.25">
      <c r="B133" s="337" t="s">
        <v>87</v>
      </c>
      <c r="C133" s="338" t="s">
        <v>116</v>
      </c>
      <c r="D133" s="325">
        <f t="shared" ref="D133:O133" si="75">D80</f>
        <v>174.73</v>
      </c>
      <c r="E133" s="325">
        <f t="shared" si="75"/>
        <v>185</v>
      </c>
      <c r="F133" s="325">
        <f t="shared" si="75"/>
        <v>184.86</v>
      </c>
      <c r="G133" s="325">
        <f t="shared" si="75"/>
        <v>223.06</v>
      </c>
      <c r="H133" s="325">
        <f t="shared" si="75"/>
        <v>238.58</v>
      </c>
      <c r="I133" s="325">
        <f t="shared" si="75"/>
        <v>278.20999999999998</v>
      </c>
      <c r="J133" s="325">
        <f t="shared" si="75"/>
        <v>275</v>
      </c>
      <c r="K133" s="325">
        <f t="shared" si="75"/>
        <v>262.16000000000003</v>
      </c>
      <c r="L133" s="325">
        <f t="shared" si="75"/>
        <v>220.93</v>
      </c>
      <c r="M133" s="325">
        <f t="shared" si="75"/>
        <v>218.81</v>
      </c>
      <c r="N133" s="325">
        <f t="shared" si="75"/>
        <v>243.27</v>
      </c>
      <c r="O133" s="325">
        <f t="shared" si="75"/>
        <v>282.08999999999997</v>
      </c>
      <c r="P133" s="325">
        <f t="shared" si="72"/>
        <v>2786.7000000000003</v>
      </c>
      <c r="Q133" s="325">
        <f t="shared" si="37"/>
        <v>232.22500000000002</v>
      </c>
    </row>
    <row r="134" spans="2:17" x14ac:dyDescent="0.25">
      <c r="B134" s="319" t="s">
        <v>34</v>
      </c>
      <c r="D134" s="339">
        <f t="shared" ref="D134:O134" si="76">D81</f>
        <v>230372.54000000004</v>
      </c>
      <c r="E134" s="339">
        <f t="shared" si="76"/>
        <v>169063</v>
      </c>
      <c r="F134" s="339">
        <f t="shared" si="76"/>
        <v>151381.51</v>
      </c>
      <c r="G134" s="339">
        <f t="shared" si="76"/>
        <v>147695.00000000003</v>
      </c>
      <c r="H134" s="339">
        <f t="shared" si="76"/>
        <v>177337.37999999998</v>
      </c>
      <c r="I134" s="339">
        <f t="shared" si="76"/>
        <v>222253.70330200001</v>
      </c>
      <c r="J134" s="339">
        <f t="shared" si="76"/>
        <v>247881.31999999995</v>
      </c>
      <c r="K134" s="339">
        <f t="shared" si="76"/>
        <v>223359.69</v>
      </c>
      <c r="L134" s="339">
        <f t="shared" si="76"/>
        <v>165089.1</v>
      </c>
      <c r="M134" s="339">
        <f t="shared" si="76"/>
        <v>177722.08000000002</v>
      </c>
      <c r="N134" s="339">
        <f t="shared" si="76"/>
        <v>235176.91</v>
      </c>
      <c r="O134" s="339">
        <f t="shared" si="76"/>
        <v>268580.00000000006</v>
      </c>
      <c r="P134" s="339">
        <f>SUM(P129:P133)</f>
        <v>2415912.2333019995</v>
      </c>
      <c r="Q134" s="339">
        <f t="shared" si="37"/>
        <v>201326.01944183337</v>
      </c>
    </row>
    <row r="136" spans="2:17" s="347" customFormat="1" x14ac:dyDescent="0.25">
      <c r="B136" s="344"/>
      <c r="C136" s="345"/>
      <c r="D136" s="346"/>
      <c r="E136" s="346"/>
      <c r="F136" s="346"/>
      <c r="G136" s="346"/>
      <c r="H136" s="346"/>
      <c r="I136" s="346"/>
      <c r="J136" s="346"/>
      <c r="K136" s="346"/>
      <c r="L136" s="346"/>
      <c r="M136" s="346"/>
      <c r="N136" s="346"/>
      <c r="O136" s="346"/>
      <c r="P136" s="346"/>
      <c r="Q136" s="346"/>
    </row>
    <row r="138" spans="2:17" x14ac:dyDescent="0.25">
      <c r="B138" s="311" t="s">
        <v>152</v>
      </c>
    </row>
    <row r="139" spans="2:17" x14ac:dyDescent="0.25">
      <c r="B139" s="315" t="s">
        <v>4</v>
      </c>
      <c r="C139" s="316" t="s">
        <v>4</v>
      </c>
      <c r="D139" s="317">
        <v>43466</v>
      </c>
      <c r="E139" s="317">
        <v>43497</v>
      </c>
      <c r="F139" s="317">
        <v>43525</v>
      </c>
      <c r="G139" s="317">
        <v>43556</v>
      </c>
      <c r="H139" s="317">
        <v>43586</v>
      </c>
      <c r="I139" s="317">
        <v>43617</v>
      </c>
      <c r="J139" s="317">
        <v>43647</v>
      </c>
      <c r="K139" s="317">
        <v>43678</v>
      </c>
      <c r="L139" s="317">
        <v>43709</v>
      </c>
      <c r="M139" s="317">
        <v>43739</v>
      </c>
      <c r="N139" s="317">
        <v>43770</v>
      </c>
      <c r="O139" s="317">
        <v>43800</v>
      </c>
      <c r="P139" s="318" t="s">
        <v>34</v>
      </c>
      <c r="Q139" s="318" t="s">
        <v>168</v>
      </c>
    </row>
    <row r="141" spans="2:17" x14ac:dyDescent="0.25">
      <c r="B141" s="348" t="s">
        <v>153</v>
      </c>
    </row>
    <row r="142" spans="2:17" x14ac:dyDescent="0.25">
      <c r="B142" s="319" t="s">
        <v>164</v>
      </c>
      <c r="C142" s="312">
        <f>SL!G15</f>
        <v>10.34</v>
      </c>
      <c r="D142" s="320">
        <v>4401</v>
      </c>
      <c r="E142" s="320">
        <v>4357</v>
      </c>
      <c r="F142" s="320">
        <v>4311</v>
      </c>
      <c r="G142" s="320">
        <v>4255</v>
      </c>
      <c r="H142" s="320">
        <v>4203</v>
      </c>
      <c r="I142" s="320">
        <v>4161</v>
      </c>
      <c r="J142" s="320">
        <v>4110</v>
      </c>
      <c r="K142" s="320">
        <v>4053</v>
      </c>
      <c r="L142" s="320">
        <v>4011</v>
      </c>
      <c r="M142" s="320">
        <v>3967</v>
      </c>
      <c r="N142" s="320">
        <v>3909</v>
      </c>
      <c r="O142" s="320">
        <v>3860</v>
      </c>
      <c r="P142" s="349">
        <f>SUM(D142:O142)</f>
        <v>49598</v>
      </c>
      <c r="Q142" s="352">
        <f>P142*C142</f>
        <v>512843.32</v>
      </c>
    </row>
    <row r="143" spans="2:17" x14ac:dyDescent="0.25">
      <c r="B143" s="319" t="s">
        <v>157</v>
      </c>
      <c r="C143" s="312">
        <f>SL!G17</f>
        <v>15.99</v>
      </c>
      <c r="D143" s="320">
        <v>22</v>
      </c>
      <c r="E143" s="320">
        <v>22</v>
      </c>
      <c r="F143" s="320">
        <v>22</v>
      </c>
      <c r="G143" s="320">
        <v>22</v>
      </c>
      <c r="H143" s="320">
        <v>22</v>
      </c>
      <c r="I143" s="320">
        <v>22</v>
      </c>
      <c r="J143" s="320">
        <v>22</v>
      </c>
      <c r="K143" s="320">
        <v>22</v>
      </c>
      <c r="L143" s="320">
        <v>21</v>
      </c>
      <c r="M143" s="320">
        <v>21</v>
      </c>
      <c r="N143" s="320">
        <v>20</v>
      </c>
      <c r="O143" s="320">
        <v>20</v>
      </c>
      <c r="P143" s="349">
        <f t="shared" ref="P143:P149" si="77">SUM(D143:O143)</f>
        <v>258</v>
      </c>
      <c r="Q143" s="352">
        <f t="shared" ref="Q143:Q149" si="78">P143*C143</f>
        <v>4125.42</v>
      </c>
    </row>
    <row r="144" spans="2:17" x14ac:dyDescent="0.25">
      <c r="B144" s="319" t="s">
        <v>158</v>
      </c>
      <c r="C144" s="312">
        <f>SL!G18</f>
        <v>22.01</v>
      </c>
      <c r="D144" s="320">
        <v>13</v>
      </c>
      <c r="E144" s="320">
        <v>13</v>
      </c>
      <c r="F144" s="320">
        <v>13</v>
      </c>
      <c r="G144" s="320">
        <v>13</v>
      </c>
      <c r="H144" s="320">
        <v>13</v>
      </c>
      <c r="I144" s="320">
        <v>13</v>
      </c>
      <c r="J144" s="320">
        <v>13</v>
      </c>
      <c r="K144" s="320">
        <v>13</v>
      </c>
      <c r="L144" s="320">
        <v>13</v>
      </c>
      <c r="M144" s="320">
        <v>13</v>
      </c>
      <c r="N144" s="320">
        <v>13</v>
      </c>
      <c r="O144" s="320">
        <v>13</v>
      </c>
      <c r="P144" s="349">
        <f t="shared" si="77"/>
        <v>156</v>
      </c>
      <c r="Q144" s="352">
        <f t="shared" si="78"/>
        <v>3433.5600000000004</v>
      </c>
    </row>
    <row r="145" spans="2:17" x14ac:dyDescent="0.25">
      <c r="B145" s="319" t="s">
        <v>159</v>
      </c>
      <c r="C145" s="312">
        <f>SL!G16</f>
        <v>10.43</v>
      </c>
      <c r="D145" s="320">
        <v>828</v>
      </c>
      <c r="E145" s="320">
        <v>812</v>
      </c>
      <c r="F145" s="320">
        <v>798</v>
      </c>
      <c r="G145" s="320">
        <v>790</v>
      </c>
      <c r="H145" s="320">
        <v>782</v>
      </c>
      <c r="I145" s="320">
        <v>771</v>
      </c>
      <c r="J145" s="320">
        <v>761</v>
      </c>
      <c r="K145" s="320">
        <v>748</v>
      </c>
      <c r="L145" s="320">
        <v>739</v>
      </c>
      <c r="M145" s="320">
        <v>734</v>
      </c>
      <c r="N145" s="320">
        <v>729</v>
      </c>
      <c r="O145" s="320">
        <v>719</v>
      </c>
      <c r="P145" s="349">
        <f t="shared" si="77"/>
        <v>9211</v>
      </c>
      <c r="Q145" s="352">
        <f t="shared" si="78"/>
        <v>96070.73</v>
      </c>
    </row>
    <row r="146" spans="2:17" x14ac:dyDescent="0.25">
      <c r="B146" s="319" t="s">
        <v>160</v>
      </c>
      <c r="C146" s="312">
        <f>SL!G12</f>
        <v>3.06</v>
      </c>
      <c r="D146" s="320">
        <v>129</v>
      </c>
      <c r="E146" s="320">
        <v>131</v>
      </c>
      <c r="F146" s="320">
        <v>131</v>
      </c>
      <c r="G146" s="320">
        <v>130</v>
      </c>
      <c r="H146" s="320">
        <v>130</v>
      </c>
      <c r="I146" s="320">
        <v>128</v>
      </c>
      <c r="J146" s="320">
        <v>127</v>
      </c>
      <c r="K146" s="320">
        <v>128</v>
      </c>
      <c r="L146" s="320">
        <v>130</v>
      </c>
      <c r="M146" s="320">
        <v>132</v>
      </c>
      <c r="N146" s="320">
        <v>132</v>
      </c>
      <c r="O146" s="320">
        <v>128</v>
      </c>
      <c r="P146" s="349">
        <f t="shared" si="77"/>
        <v>1556</v>
      </c>
      <c r="Q146" s="352">
        <f t="shared" si="78"/>
        <v>4761.3599999999997</v>
      </c>
    </row>
    <row r="147" spans="2:17" x14ac:dyDescent="0.25">
      <c r="B147" s="319" t="s">
        <v>161</v>
      </c>
      <c r="C147" s="312">
        <f>SL!G13</f>
        <v>3.54</v>
      </c>
      <c r="D147" s="320">
        <v>17</v>
      </c>
      <c r="E147" s="320">
        <v>17</v>
      </c>
      <c r="F147" s="320">
        <v>18</v>
      </c>
      <c r="G147" s="320">
        <v>18</v>
      </c>
      <c r="H147" s="320">
        <v>18</v>
      </c>
      <c r="I147" s="320">
        <v>18</v>
      </c>
      <c r="J147" s="320">
        <v>18</v>
      </c>
      <c r="K147" s="320">
        <v>18</v>
      </c>
      <c r="L147" s="320">
        <v>18</v>
      </c>
      <c r="M147" s="320">
        <v>16</v>
      </c>
      <c r="N147" s="320">
        <v>18</v>
      </c>
      <c r="O147" s="320">
        <v>18</v>
      </c>
      <c r="P147" s="349">
        <f t="shared" si="77"/>
        <v>212</v>
      </c>
      <c r="Q147" s="352">
        <f t="shared" si="78"/>
        <v>750.48</v>
      </c>
    </row>
    <row r="148" spans="2:17" x14ac:dyDescent="0.25">
      <c r="B148" s="319" t="s">
        <v>162</v>
      </c>
      <c r="C148" s="312">
        <f>SL!G19</f>
        <v>9.33</v>
      </c>
      <c r="D148" s="320">
        <v>2435</v>
      </c>
      <c r="E148" s="320">
        <v>2513</v>
      </c>
      <c r="F148" s="320">
        <v>2565</v>
      </c>
      <c r="G148" s="320">
        <v>2627</v>
      </c>
      <c r="H148" s="320">
        <v>2692</v>
      </c>
      <c r="I148" s="320">
        <v>2736</v>
      </c>
      <c r="J148" s="320">
        <v>2816</v>
      </c>
      <c r="K148" s="320">
        <v>2890</v>
      </c>
      <c r="L148" s="320">
        <v>2943</v>
      </c>
      <c r="M148" s="320">
        <v>3008</v>
      </c>
      <c r="N148" s="320">
        <v>3087</v>
      </c>
      <c r="O148" s="320">
        <v>3152</v>
      </c>
      <c r="P148" s="349">
        <f t="shared" si="77"/>
        <v>33464</v>
      </c>
      <c r="Q148" s="352">
        <f t="shared" si="78"/>
        <v>312219.12</v>
      </c>
    </row>
    <row r="149" spans="2:17" x14ac:dyDescent="0.25">
      <c r="B149" s="319" t="s">
        <v>163</v>
      </c>
      <c r="C149" s="312">
        <f>SL!G20</f>
        <v>11.18</v>
      </c>
      <c r="D149" s="320">
        <v>6</v>
      </c>
      <c r="E149" s="320"/>
      <c r="F149" s="320"/>
      <c r="G149" s="320"/>
      <c r="H149" s="320"/>
      <c r="I149" s="320"/>
      <c r="J149" s="320"/>
      <c r="K149" s="320"/>
      <c r="L149" s="320"/>
      <c r="M149" s="320"/>
      <c r="N149" s="320"/>
      <c r="O149" s="320">
        <v>1</v>
      </c>
      <c r="P149" s="349">
        <f t="shared" si="77"/>
        <v>7</v>
      </c>
      <c r="Q149" s="352">
        <f t="shared" si="78"/>
        <v>78.259999999999991</v>
      </c>
    </row>
    <row r="150" spans="2:17" x14ac:dyDescent="0.25">
      <c r="D150" s="350">
        <f>SUM(D142:D149)</f>
        <v>7851</v>
      </c>
      <c r="E150" s="350">
        <f t="shared" ref="E150:P150" si="79">SUM(E142:E149)</f>
        <v>7865</v>
      </c>
      <c r="F150" s="350">
        <f t="shared" si="79"/>
        <v>7858</v>
      </c>
      <c r="G150" s="350">
        <f t="shared" si="79"/>
        <v>7855</v>
      </c>
      <c r="H150" s="350">
        <f t="shared" si="79"/>
        <v>7860</v>
      </c>
      <c r="I150" s="350">
        <f t="shared" si="79"/>
        <v>7849</v>
      </c>
      <c r="J150" s="350">
        <f t="shared" si="79"/>
        <v>7867</v>
      </c>
      <c r="K150" s="350">
        <f t="shared" si="79"/>
        <v>7872</v>
      </c>
      <c r="L150" s="350">
        <f t="shared" si="79"/>
        <v>7875</v>
      </c>
      <c r="M150" s="350">
        <f t="shared" si="79"/>
        <v>7891</v>
      </c>
      <c r="N150" s="350">
        <f t="shared" si="79"/>
        <v>7908</v>
      </c>
      <c r="O150" s="350">
        <f t="shared" si="79"/>
        <v>7911</v>
      </c>
      <c r="P150" s="350">
        <f t="shared" si="79"/>
        <v>94462</v>
      </c>
      <c r="Q150" s="354">
        <f>SUM(Q142:Q149)</f>
        <v>934282.25</v>
      </c>
    </row>
    <row r="151" spans="2:17" x14ac:dyDescent="0.25">
      <c r="B151" s="348" t="s">
        <v>156</v>
      </c>
      <c r="D151" s="349"/>
      <c r="E151" s="349"/>
      <c r="F151" s="349"/>
      <c r="G151" s="349"/>
      <c r="H151" s="349"/>
      <c r="I151" s="349"/>
      <c r="J151" s="349"/>
      <c r="K151" s="349"/>
      <c r="L151" s="349"/>
      <c r="M151" s="349"/>
      <c r="N151" s="349"/>
      <c r="O151" s="349"/>
      <c r="P151" s="349"/>
    </row>
    <row r="152" spans="2:17" x14ac:dyDescent="0.25">
      <c r="B152" s="319" t="s">
        <v>164</v>
      </c>
      <c r="C152" s="312">
        <f>C142</f>
        <v>10.34</v>
      </c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49">
        <f>SUM(D152:O152)</f>
        <v>0</v>
      </c>
      <c r="Q152" s="352">
        <f>P152*C152</f>
        <v>0</v>
      </c>
    </row>
    <row r="153" spans="2:17" x14ac:dyDescent="0.25">
      <c r="B153" s="319" t="s">
        <v>157</v>
      </c>
      <c r="C153" s="312">
        <f t="shared" ref="C153:C159" si="80">C143</f>
        <v>15.99</v>
      </c>
      <c r="D153" s="320"/>
      <c r="E153" s="320"/>
      <c r="F153" s="320"/>
      <c r="G153" s="320"/>
      <c r="H153" s="320"/>
      <c r="I153" s="320"/>
      <c r="J153" s="320"/>
      <c r="K153" s="320"/>
      <c r="L153" s="320"/>
      <c r="M153" s="320"/>
      <c r="N153" s="320"/>
      <c r="O153" s="320"/>
      <c r="P153" s="349">
        <f t="shared" ref="P153:P159" si="81">SUM(D153:O153)</f>
        <v>0</v>
      </c>
      <c r="Q153" s="352">
        <f t="shared" ref="Q153:Q159" si="82">P153*C153</f>
        <v>0</v>
      </c>
    </row>
    <row r="154" spans="2:17" x14ac:dyDescent="0.25">
      <c r="B154" s="319" t="s">
        <v>158</v>
      </c>
      <c r="C154" s="312">
        <f t="shared" si="80"/>
        <v>22.01</v>
      </c>
      <c r="D154" s="320">
        <v>5</v>
      </c>
      <c r="E154" s="320">
        <v>5</v>
      </c>
      <c r="F154" s="320">
        <v>5</v>
      </c>
      <c r="G154" s="320">
        <v>5</v>
      </c>
      <c r="H154" s="320">
        <v>5</v>
      </c>
      <c r="I154" s="320">
        <v>5</v>
      </c>
      <c r="J154" s="320">
        <v>5</v>
      </c>
      <c r="K154" s="320">
        <v>5</v>
      </c>
      <c r="L154" s="320">
        <v>5</v>
      </c>
      <c r="M154" s="320">
        <v>5</v>
      </c>
      <c r="N154" s="320">
        <v>5</v>
      </c>
      <c r="O154" s="320">
        <v>5</v>
      </c>
      <c r="P154" s="349">
        <f t="shared" si="81"/>
        <v>60</v>
      </c>
      <c r="Q154" s="352">
        <f t="shared" si="82"/>
        <v>1320.6000000000001</v>
      </c>
    </row>
    <row r="155" spans="2:17" x14ac:dyDescent="0.25">
      <c r="B155" s="319" t="s">
        <v>159</v>
      </c>
      <c r="C155" s="312">
        <f t="shared" si="80"/>
        <v>10.43</v>
      </c>
      <c r="D155" s="320"/>
      <c r="E155" s="320"/>
      <c r="F155" s="320"/>
      <c r="G155" s="320"/>
      <c r="H155" s="320"/>
      <c r="I155" s="320"/>
      <c r="J155" s="320"/>
      <c r="K155" s="320"/>
      <c r="L155" s="320"/>
      <c r="M155" s="320"/>
      <c r="N155" s="320"/>
      <c r="O155" s="320"/>
      <c r="P155" s="349">
        <f t="shared" si="81"/>
        <v>0</v>
      </c>
      <c r="Q155" s="352">
        <f t="shared" si="82"/>
        <v>0</v>
      </c>
    </row>
    <row r="156" spans="2:17" x14ac:dyDescent="0.25">
      <c r="B156" s="319" t="s">
        <v>160</v>
      </c>
      <c r="C156" s="312">
        <f t="shared" si="80"/>
        <v>3.06</v>
      </c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320"/>
      <c r="P156" s="349">
        <f t="shared" si="81"/>
        <v>0</v>
      </c>
      <c r="Q156" s="352">
        <f t="shared" si="82"/>
        <v>0</v>
      </c>
    </row>
    <row r="157" spans="2:17" x14ac:dyDescent="0.25">
      <c r="B157" s="319" t="s">
        <v>161</v>
      </c>
      <c r="C157" s="312">
        <f t="shared" si="80"/>
        <v>3.54</v>
      </c>
      <c r="D157" s="320">
        <v>5</v>
      </c>
      <c r="E157" s="320">
        <v>5</v>
      </c>
      <c r="F157" s="320">
        <v>5</v>
      </c>
      <c r="G157" s="320">
        <v>5</v>
      </c>
      <c r="H157" s="320">
        <v>5</v>
      </c>
      <c r="I157" s="320">
        <v>5</v>
      </c>
      <c r="J157" s="320">
        <v>5</v>
      </c>
      <c r="K157" s="320">
        <v>5</v>
      </c>
      <c r="L157" s="320">
        <v>5</v>
      </c>
      <c r="M157" s="320">
        <v>5</v>
      </c>
      <c r="N157" s="320">
        <v>5</v>
      </c>
      <c r="O157" s="320">
        <v>5</v>
      </c>
      <c r="P157" s="349">
        <f t="shared" si="81"/>
        <v>60</v>
      </c>
      <c r="Q157" s="352">
        <f t="shared" si="82"/>
        <v>212.4</v>
      </c>
    </row>
    <row r="158" spans="2:17" x14ac:dyDescent="0.25">
      <c r="B158" s="319" t="s">
        <v>162</v>
      </c>
      <c r="C158" s="312">
        <f t="shared" si="80"/>
        <v>9.33</v>
      </c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49">
        <f t="shared" si="81"/>
        <v>0</v>
      </c>
      <c r="Q158" s="352">
        <f t="shared" si="82"/>
        <v>0</v>
      </c>
    </row>
    <row r="159" spans="2:17" x14ac:dyDescent="0.25">
      <c r="B159" s="319" t="s">
        <v>163</v>
      </c>
      <c r="C159" s="312">
        <f t="shared" si="80"/>
        <v>11.18</v>
      </c>
      <c r="D159" s="320"/>
      <c r="E159" s="320"/>
      <c r="F159" s="320"/>
      <c r="G159" s="320"/>
      <c r="H159" s="320"/>
      <c r="I159" s="320"/>
      <c r="J159" s="320"/>
      <c r="K159" s="320"/>
      <c r="L159" s="320"/>
      <c r="M159" s="320"/>
      <c r="N159" s="320"/>
      <c r="O159" s="320"/>
      <c r="P159" s="349">
        <f t="shared" si="81"/>
        <v>0</v>
      </c>
      <c r="Q159" s="352">
        <f t="shared" si="82"/>
        <v>0</v>
      </c>
    </row>
    <row r="160" spans="2:17" x14ac:dyDescent="0.25">
      <c r="D160" s="350">
        <f>SUM(D152:D159)</f>
        <v>10</v>
      </c>
      <c r="E160" s="350">
        <f t="shared" ref="E160:P160" si="83">SUM(E152:E159)</f>
        <v>10</v>
      </c>
      <c r="F160" s="350">
        <f t="shared" si="83"/>
        <v>10</v>
      </c>
      <c r="G160" s="350">
        <f t="shared" si="83"/>
        <v>10</v>
      </c>
      <c r="H160" s="350">
        <f t="shared" si="83"/>
        <v>10</v>
      </c>
      <c r="I160" s="350">
        <f t="shared" si="83"/>
        <v>10</v>
      </c>
      <c r="J160" s="350">
        <f t="shared" si="83"/>
        <v>10</v>
      </c>
      <c r="K160" s="350">
        <f t="shared" si="83"/>
        <v>10</v>
      </c>
      <c r="L160" s="350">
        <f t="shared" si="83"/>
        <v>10</v>
      </c>
      <c r="M160" s="350">
        <f t="shared" si="83"/>
        <v>10</v>
      </c>
      <c r="N160" s="350">
        <f t="shared" si="83"/>
        <v>10</v>
      </c>
      <c r="O160" s="350">
        <f t="shared" si="83"/>
        <v>10</v>
      </c>
      <c r="P160" s="350">
        <f t="shared" si="83"/>
        <v>120</v>
      </c>
      <c r="Q160" s="354">
        <f>SUM(Q152:Q159)</f>
        <v>1533.0000000000002</v>
      </c>
    </row>
    <row r="161" spans="2:17" x14ac:dyDescent="0.25">
      <c r="B161" s="348" t="s">
        <v>154</v>
      </c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</row>
    <row r="162" spans="2:17" x14ac:dyDescent="0.25">
      <c r="B162" s="319" t="s">
        <v>164</v>
      </c>
      <c r="C162" s="312">
        <f>C152</f>
        <v>10.34</v>
      </c>
      <c r="D162" s="320">
        <v>179</v>
      </c>
      <c r="E162" s="320">
        <v>179</v>
      </c>
      <c r="F162" s="320">
        <v>180</v>
      </c>
      <c r="G162" s="320">
        <v>180</v>
      </c>
      <c r="H162" s="320">
        <v>179</v>
      </c>
      <c r="I162" s="320">
        <v>178</v>
      </c>
      <c r="J162" s="320">
        <v>178</v>
      </c>
      <c r="K162" s="320">
        <v>177</v>
      </c>
      <c r="L162" s="320">
        <v>176</v>
      </c>
      <c r="M162" s="320">
        <v>178</v>
      </c>
      <c r="N162" s="320">
        <v>175</v>
      </c>
      <c r="O162" s="320">
        <v>170</v>
      </c>
      <c r="P162" s="349">
        <f>SUM(D162:O162)</f>
        <v>2129</v>
      </c>
      <c r="Q162" s="352">
        <f>P162*C162</f>
        <v>22013.86</v>
      </c>
    </row>
    <row r="163" spans="2:17" x14ac:dyDescent="0.25">
      <c r="B163" s="319" t="s">
        <v>157</v>
      </c>
      <c r="C163" s="312">
        <f t="shared" ref="C163:C169" si="84">C153</f>
        <v>15.99</v>
      </c>
      <c r="D163" s="320">
        <v>5</v>
      </c>
      <c r="E163" s="320">
        <v>5</v>
      </c>
      <c r="F163" s="320">
        <v>5</v>
      </c>
      <c r="G163" s="320">
        <v>5</v>
      </c>
      <c r="H163" s="320">
        <v>5</v>
      </c>
      <c r="I163" s="320">
        <v>5</v>
      </c>
      <c r="J163" s="320">
        <v>6</v>
      </c>
      <c r="K163" s="320">
        <v>6</v>
      </c>
      <c r="L163" s="320">
        <v>6</v>
      </c>
      <c r="M163" s="320">
        <v>6</v>
      </c>
      <c r="N163" s="320">
        <v>6</v>
      </c>
      <c r="O163" s="320">
        <v>6</v>
      </c>
      <c r="P163" s="349">
        <f t="shared" ref="P163:P169" si="85">SUM(D163:O163)</f>
        <v>66</v>
      </c>
      <c r="Q163" s="352">
        <f t="shared" ref="Q163:Q169" si="86">P163*C163</f>
        <v>1055.3399999999999</v>
      </c>
    </row>
    <row r="164" spans="2:17" x14ac:dyDescent="0.25">
      <c r="B164" s="319" t="s">
        <v>158</v>
      </c>
      <c r="C164" s="312">
        <f t="shared" si="84"/>
        <v>22.01</v>
      </c>
      <c r="D164" s="320">
        <v>3</v>
      </c>
      <c r="E164" s="320">
        <v>3</v>
      </c>
      <c r="F164" s="320">
        <v>3</v>
      </c>
      <c r="G164" s="320">
        <v>3</v>
      </c>
      <c r="H164" s="320">
        <v>3</v>
      </c>
      <c r="I164" s="320">
        <v>3</v>
      </c>
      <c r="J164" s="320">
        <v>3</v>
      </c>
      <c r="K164" s="320">
        <v>3</v>
      </c>
      <c r="L164" s="320">
        <v>3</v>
      </c>
      <c r="M164" s="320">
        <v>3</v>
      </c>
      <c r="N164" s="320">
        <v>3</v>
      </c>
      <c r="O164" s="320">
        <v>3</v>
      </c>
      <c r="P164" s="349">
        <f t="shared" si="85"/>
        <v>36</v>
      </c>
      <c r="Q164" s="352">
        <f t="shared" si="86"/>
        <v>792.36</v>
      </c>
    </row>
    <row r="165" spans="2:17" x14ac:dyDescent="0.25">
      <c r="B165" s="319" t="s">
        <v>159</v>
      </c>
      <c r="C165" s="312">
        <f t="shared" si="84"/>
        <v>10.43</v>
      </c>
      <c r="D165" s="320">
        <v>27</v>
      </c>
      <c r="E165" s="320">
        <v>27</v>
      </c>
      <c r="F165" s="320">
        <v>27</v>
      </c>
      <c r="G165" s="320">
        <v>27</v>
      </c>
      <c r="H165" s="320">
        <v>26</v>
      </c>
      <c r="I165" s="320">
        <v>26</v>
      </c>
      <c r="J165" s="320">
        <v>25</v>
      </c>
      <c r="K165" s="320">
        <v>25</v>
      </c>
      <c r="L165" s="320">
        <v>24</v>
      </c>
      <c r="M165" s="320">
        <v>24</v>
      </c>
      <c r="N165" s="320">
        <v>24</v>
      </c>
      <c r="O165" s="320">
        <v>23</v>
      </c>
      <c r="P165" s="349">
        <f t="shared" si="85"/>
        <v>305</v>
      </c>
      <c r="Q165" s="352">
        <f t="shared" si="86"/>
        <v>3181.15</v>
      </c>
    </row>
    <row r="166" spans="2:17" x14ac:dyDescent="0.25">
      <c r="B166" s="319" t="s">
        <v>160</v>
      </c>
      <c r="C166" s="312">
        <f t="shared" si="84"/>
        <v>3.06</v>
      </c>
      <c r="D166" s="320">
        <v>4</v>
      </c>
      <c r="E166" s="320">
        <v>4</v>
      </c>
      <c r="F166" s="320">
        <v>4</v>
      </c>
      <c r="G166" s="320">
        <v>4</v>
      </c>
      <c r="H166" s="320">
        <v>4</v>
      </c>
      <c r="I166" s="320">
        <v>3</v>
      </c>
      <c r="J166" s="320">
        <v>3</v>
      </c>
      <c r="K166" s="320">
        <v>3</v>
      </c>
      <c r="L166" s="320">
        <v>2</v>
      </c>
      <c r="M166" s="320">
        <v>2</v>
      </c>
      <c r="N166" s="320">
        <v>2</v>
      </c>
      <c r="O166" s="320">
        <v>2</v>
      </c>
      <c r="P166" s="349">
        <f t="shared" si="85"/>
        <v>37</v>
      </c>
      <c r="Q166" s="352">
        <f t="shared" si="86"/>
        <v>113.22</v>
      </c>
    </row>
    <row r="167" spans="2:17" x14ac:dyDescent="0.25">
      <c r="B167" s="319" t="s">
        <v>161</v>
      </c>
      <c r="C167" s="312">
        <f t="shared" si="84"/>
        <v>3.54</v>
      </c>
      <c r="D167" s="320">
        <v>2</v>
      </c>
      <c r="E167" s="320">
        <v>2</v>
      </c>
      <c r="F167" s="320">
        <v>2</v>
      </c>
      <c r="G167" s="320">
        <v>2</v>
      </c>
      <c r="H167" s="320">
        <v>2</v>
      </c>
      <c r="I167" s="320">
        <v>2</v>
      </c>
      <c r="J167" s="320">
        <v>2</v>
      </c>
      <c r="K167" s="320">
        <v>2</v>
      </c>
      <c r="L167" s="320">
        <v>2</v>
      </c>
      <c r="M167" s="320">
        <v>2</v>
      </c>
      <c r="N167" s="320">
        <v>2</v>
      </c>
      <c r="O167" s="320">
        <v>2</v>
      </c>
      <c r="P167" s="349">
        <f t="shared" si="85"/>
        <v>24</v>
      </c>
      <c r="Q167" s="352">
        <f t="shared" si="86"/>
        <v>84.960000000000008</v>
      </c>
    </row>
    <row r="168" spans="2:17" x14ac:dyDescent="0.25">
      <c r="B168" s="319" t="s">
        <v>162</v>
      </c>
      <c r="C168" s="312">
        <f t="shared" si="84"/>
        <v>9.33</v>
      </c>
      <c r="D168" s="320">
        <v>67</v>
      </c>
      <c r="E168" s="320">
        <v>68</v>
      </c>
      <c r="F168" s="320">
        <v>70</v>
      </c>
      <c r="G168" s="320">
        <v>70</v>
      </c>
      <c r="H168" s="320">
        <v>70</v>
      </c>
      <c r="I168" s="320">
        <v>68</v>
      </c>
      <c r="J168" s="320">
        <v>70</v>
      </c>
      <c r="K168" s="320">
        <v>71</v>
      </c>
      <c r="L168" s="320">
        <v>69</v>
      </c>
      <c r="M168" s="320">
        <v>68</v>
      </c>
      <c r="N168" s="320">
        <v>68</v>
      </c>
      <c r="O168" s="320">
        <v>71</v>
      </c>
      <c r="P168" s="349">
        <f t="shared" si="85"/>
        <v>830</v>
      </c>
      <c r="Q168" s="352">
        <f t="shared" si="86"/>
        <v>7743.9</v>
      </c>
    </row>
    <row r="169" spans="2:17" x14ac:dyDescent="0.25">
      <c r="B169" s="319" t="s">
        <v>163</v>
      </c>
      <c r="C169" s="312">
        <f t="shared" si="84"/>
        <v>11.18</v>
      </c>
      <c r="D169" s="320"/>
      <c r="E169" s="320"/>
      <c r="F169" s="320"/>
      <c r="G169" s="320"/>
      <c r="H169" s="320"/>
      <c r="I169" s="320"/>
      <c r="J169" s="320"/>
      <c r="K169" s="320"/>
      <c r="L169" s="320"/>
      <c r="M169" s="320"/>
      <c r="N169" s="320"/>
      <c r="O169" s="320"/>
      <c r="P169" s="349">
        <f t="shared" si="85"/>
        <v>0</v>
      </c>
      <c r="Q169" s="352">
        <f t="shared" si="86"/>
        <v>0</v>
      </c>
    </row>
    <row r="170" spans="2:17" x14ac:dyDescent="0.25">
      <c r="D170" s="350">
        <f>SUM(D162:D169)</f>
        <v>287</v>
      </c>
      <c r="E170" s="350">
        <f t="shared" ref="E170:P170" si="87">SUM(E162:E169)</f>
        <v>288</v>
      </c>
      <c r="F170" s="350">
        <f t="shared" si="87"/>
        <v>291</v>
      </c>
      <c r="G170" s="350">
        <f t="shared" si="87"/>
        <v>291</v>
      </c>
      <c r="H170" s="350">
        <f t="shared" si="87"/>
        <v>289</v>
      </c>
      <c r="I170" s="350">
        <f t="shared" si="87"/>
        <v>285</v>
      </c>
      <c r="J170" s="350">
        <f t="shared" si="87"/>
        <v>287</v>
      </c>
      <c r="K170" s="350">
        <f t="shared" si="87"/>
        <v>287</v>
      </c>
      <c r="L170" s="350">
        <f t="shared" si="87"/>
        <v>282</v>
      </c>
      <c r="M170" s="350">
        <f t="shared" si="87"/>
        <v>283</v>
      </c>
      <c r="N170" s="350">
        <f t="shared" si="87"/>
        <v>280</v>
      </c>
      <c r="O170" s="350">
        <f t="shared" si="87"/>
        <v>277</v>
      </c>
      <c r="P170" s="350">
        <f t="shared" si="87"/>
        <v>3427</v>
      </c>
      <c r="Q170" s="354">
        <f>SUM(Q162:Q169)</f>
        <v>34984.79</v>
      </c>
    </row>
    <row r="171" spans="2:17" x14ac:dyDescent="0.25">
      <c r="B171" s="348" t="s">
        <v>155</v>
      </c>
      <c r="D171" s="349"/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  <c r="O171" s="349"/>
      <c r="P171" s="349"/>
    </row>
    <row r="172" spans="2:17" x14ac:dyDescent="0.25">
      <c r="B172" s="319" t="s">
        <v>164</v>
      </c>
      <c r="C172" s="312">
        <f>C162</f>
        <v>10.34</v>
      </c>
      <c r="D172" s="320">
        <v>120</v>
      </c>
      <c r="E172" s="320">
        <v>120</v>
      </c>
      <c r="F172" s="320">
        <v>118</v>
      </c>
      <c r="G172" s="320">
        <v>115</v>
      </c>
      <c r="H172" s="320">
        <v>116</v>
      </c>
      <c r="I172" s="320">
        <v>116</v>
      </c>
      <c r="J172" s="320">
        <v>114</v>
      </c>
      <c r="K172" s="320">
        <v>112</v>
      </c>
      <c r="L172" s="320">
        <v>112</v>
      </c>
      <c r="M172" s="320">
        <v>111</v>
      </c>
      <c r="N172" s="320">
        <v>110</v>
      </c>
      <c r="O172" s="320">
        <v>110</v>
      </c>
      <c r="P172" s="349">
        <f>SUM(D172:O172)</f>
        <v>1374</v>
      </c>
      <c r="Q172" s="352">
        <f>P172*C172</f>
        <v>14207.16</v>
      </c>
    </row>
    <row r="173" spans="2:17" x14ac:dyDescent="0.25">
      <c r="B173" s="319" t="s">
        <v>157</v>
      </c>
      <c r="C173" s="312">
        <f t="shared" ref="C173:C179" si="88">C163</f>
        <v>15.99</v>
      </c>
      <c r="D173" s="320">
        <v>11</v>
      </c>
      <c r="E173" s="320">
        <v>11</v>
      </c>
      <c r="F173" s="320">
        <v>11</v>
      </c>
      <c r="G173" s="320">
        <v>11</v>
      </c>
      <c r="H173" s="320">
        <v>11</v>
      </c>
      <c r="I173" s="320">
        <v>11</v>
      </c>
      <c r="J173" s="320">
        <v>11</v>
      </c>
      <c r="K173" s="320">
        <v>11</v>
      </c>
      <c r="L173" s="320">
        <v>11</v>
      </c>
      <c r="M173" s="320">
        <v>11</v>
      </c>
      <c r="N173" s="320">
        <v>11</v>
      </c>
      <c r="O173" s="320">
        <v>11</v>
      </c>
      <c r="P173" s="349">
        <f t="shared" ref="P173:P179" si="89">SUM(D173:O173)</f>
        <v>132</v>
      </c>
      <c r="Q173" s="352">
        <f t="shared" ref="Q173:Q179" si="90">P173*C173</f>
        <v>2110.6799999999998</v>
      </c>
    </row>
    <row r="174" spans="2:17" x14ac:dyDescent="0.25">
      <c r="B174" s="319" t="s">
        <v>158</v>
      </c>
      <c r="C174" s="312">
        <f t="shared" si="88"/>
        <v>22.01</v>
      </c>
      <c r="D174" s="320">
        <v>11</v>
      </c>
      <c r="E174" s="320">
        <v>11</v>
      </c>
      <c r="F174" s="320">
        <v>11</v>
      </c>
      <c r="G174" s="320">
        <v>11</v>
      </c>
      <c r="H174" s="320">
        <v>11</v>
      </c>
      <c r="I174" s="320">
        <v>11</v>
      </c>
      <c r="J174" s="320">
        <v>11</v>
      </c>
      <c r="K174" s="320">
        <v>11</v>
      </c>
      <c r="L174" s="320">
        <v>11</v>
      </c>
      <c r="M174" s="320">
        <v>11</v>
      </c>
      <c r="N174" s="320">
        <v>11</v>
      </c>
      <c r="O174" s="320">
        <v>11</v>
      </c>
      <c r="P174" s="349">
        <f t="shared" si="89"/>
        <v>132</v>
      </c>
      <c r="Q174" s="352">
        <f t="shared" si="90"/>
        <v>2905.32</v>
      </c>
    </row>
    <row r="175" spans="2:17" x14ac:dyDescent="0.25">
      <c r="B175" s="319" t="s">
        <v>159</v>
      </c>
      <c r="C175" s="312">
        <f t="shared" si="88"/>
        <v>10.43</v>
      </c>
      <c r="D175" s="320">
        <v>17</v>
      </c>
      <c r="E175" s="320">
        <v>17</v>
      </c>
      <c r="F175" s="320">
        <v>17</v>
      </c>
      <c r="G175" s="320">
        <v>16</v>
      </c>
      <c r="H175" s="320">
        <v>16</v>
      </c>
      <c r="I175" s="320">
        <v>16</v>
      </c>
      <c r="J175" s="320">
        <v>16</v>
      </c>
      <c r="K175" s="320">
        <v>16</v>
      </c>
      <c r="L175" s="320">
        <v>16</v>
      </c>
      <c r="M175" s="320">
        <v>16</v>
      </c>
      <c r="N175" s="320">
        <v>16</v>
      </c>
      <c r="O175" s="320">
        <v>16</v>
      </c>
      <c r="P175" s="349">
        <f t="shared" si="89"/>
        <v>195</v>
      </c>
      <c r="Q175" s="352">
        <f t="shared" si="90"/>
        <v>2033.85</v>
      </c>
    </row>
    <row r="176" spans="2:17" x14ac:dyDescent="0.25">
      <c r="B176" s="319" t="s">
        <v>160</v>
      </c>
      <c r="C176" s="312">
        <f t="shared" si="88"/>
        <v>3.06</v>
      </c>
      <c r="D176" s="320">
        <v>1</v>
      </c>
      <c r="E176" s="320">
        <v>1</v>
      </c>
      <c r="F176" s="320">
        <v>1</v>
      </c>
      <c r="G176" s="320">
        <v>1</v>
      </c>
      <c r="H176" s="320">
        <v>1</v>
      </c>
      <c r="I176" s="320">
        <v>1</v>
      </c>
      <c r="J176" s="320">
        <v>1</v>
      </c>
      <c r="K176" s="320">
        <v>1</v>
      </c>
      <c r="L176" s="320">
        <v>1</v>
      </c>
      <c r="M176" s="320">
        <v>1</v>
      </c>
      <c r="N176" s="320">
        <v>1</v>
      </c>
      <c r="O176" s="320">
        <v>1</v>
      </c>
      <c r="P176" s="349">
        <f t="shared" si="89"/>
        <v>12</v>
      </c>
      <c r="Q176" s="352">
        <f t="shared" si="90"/>
        <v>36.72</v>
      </c>
    </row>
    <row r="177" spans="2:17" x14ac:dyDescent="0.25">
      <c r="B177" s="319" t="s">
        <v>161</v>
      </c>
      <c r="C177" s="312">
        <f t="shared" si="88"/>
        <v>3.54</v>
      </c>
      <c r="D177" s="320">
        <v>7</v>
      </c>
      <c r="E177" s="320">
        <v>7</v>
      </c>
      <c r="F177" s="320">
        <v>7</v>
      </c>
      <c r="G177" s="320">
        <v>6</v>
      </c>
      <c r="H177" s="320">
        <v>6</v>
      </c>
      <c r="I177" s="320">
        <v>6</v>
      </c>
      <c r="J177" s="320">
        <v>6</v>
      </c>
      <c r="K177" s="320">
        <v>6</v>
      </c>
      <c r="L177" s="320">
        <v>9</v>
      </c>
      <c r="M177" s="320">
        <v>9</v>
      </c>
      <c r="N177" s="320">
        <v>9</v>
      </c>
      <c r="O177" s="320">
        <v>9</v>
      </c>
      <c r="P177" s="349">
        <f t="shared" si="89"/>
        <v>87</v>
      </c>
      <c r="Q177" s="352">
        <f t="shared" si="90"/>
        <v>307.98</v>
      </c>
    </row>
    <row r="178" spans="2:17" x14ac:dyDescent="0.25">
      <c r="B178" s="319" t="s">
        <v>162</v>
      </c>
      <c r="C178" s="312">
        <f t="shared" si="88"/>
        <v>9.33</v>
      </c>
      <c r="D178" s="320">
        <v>27</v>
      </c>
      <c r="E178" s="320">
        <v>27</v>
      </c>
      <c r="F178" s="320">
        <v>26</v>
      </c>
      <c r="G178" s="320">
        <v>30</v>
      </c>
      <c r="H178" s="320">
        <v>30</v>
      </c>
      <c r="I178" s="320">
        <v>30</v>
      </c>
      <c r="J178" s="320">
        <v>32</v>
      </c>
      <c r="K178" s="320">
        <v>36</v>
      </c>
      <c r="L178" s="320">
        <v>39</v>
      </c>
      <c r="M178" s="320">
        <v>40</v>
      </c>
      <c r="N178" s="320">
        <v>41</v>
      </c>
      <c r="O178" s="320">
        <v>41</v>
      </c>
      <c r="P178" s="349">
        <f t="shared" si="89"/>
        <v>399</v>
      </c>
      <c r="Q178" s="352">
        <f t="shared" si="90"/>
        <v>3722.67</v>
      </c>
    </row>
    <row r="179" spans="2:17" x14ac:dyDescent="0.25">
      <c r="B179" s="319" t="s">
        <v>163</v>
      </c>
      <c r="C179" s="312">
        <f t="shared" si="88"/>
        <v>11.18</v>
      </c>
      <c r="D179" s="320"/>
      <c r="E179" s="320"/>
      <c r="F179" s="320"/>
      <c r="G179" s="320"/>
      <c r="H179" s="320"/>
      <c r="I179" s="320"/>
      <c r="J179" s="320"/>
      <c r="K179" s="320"/>
      <c r="L179" s="320"/>
      <c r="M179" s="320"/>
      <c r="N179" s="320"/>
      <c r="O179" s="320"/>
      <c r="P179" s="349">
        <f t="shared" si="89"/>
        <v>0</v>
      </c>
      <c r="Q179" s="352">
        <f t="shared" si="90"/>
        <v>0</v>
      </c>
    </row>
    <row r="180" spans="2:17" x14ac:dyDescent="0.25">
      <c r="D180" s="350">
        <f>SUM(D172:D179)</f>
        <v>194</v>
      </c>
      <c r="E180" s="350">
        <f t="shared" ref="E180:P180" si="91">SUM(E172:E179)</f>
        <v>194</v>
      </c>
      <c r="F180" s="350">
        <f t="shared" si="91"/>
        <v>191</v>
      </c>
      <c r="G180" s="350">
        <f t="shared" si="91"/>
        <v>190</v>
      </c>
      <c r="H180" s="350">
        <f t="shared" si="91"/>
        <v>191</v>
      </c>
      <c r="I180" s="350">
        <f t="shared" si="91"/>
        <v>191</v>
      </c>
      <c r="J180" s="350">
        <f t="shared" si="91"/>
        <v>191</v>
      </c>
      <c r="K180" s="350">
        <f t="shared" si="91"/>
        <v>193</v>
      </c>
      <c r="L180" s="350">
        <f t="shared" si="91"/>
        <v>199</v>
      </c>
      <c r="M180" s="350">
        <f t="shared" si="91"/>
        <v>199</v>
      </c>
      <c r="N180" s="350">
        <f t="shared" si="91"/>
        <v>199</v>
      </c>
      <c r="O180" s="350">
        <f t="shared" si="91"/>
        <v>199</v>
      </c>
      <c r="P180" s="350">
        <f t="shared" si="91"/>
        <v>2331</v>
      </c>
      <c r="Q180" s="354">
        <f>SUM(Q172:Q179)</f>
        <v>25324.379999999997</v>
      </c>
    </row>
    <row r="181" spans="2:17" x14ac:dyDescent="0.25">
      <c r="D181" s="349"/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  <c r="O181" s="349"/>
      <c r="P181" s="349"/>
    </row>
    <row r="182" spans="2:17" x14ac:dyDescent="0.25">
      <c r="B182" s="348" t="s">
        <v>165</v>
      </c>
      <c r="D182" s="349"/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  <c r="O182" s="349"/>
      <c r="P182" s="349"/>
    </row>
    <row r="183" spans="2:17" x14ac:dyDescent="0.25">
      <c r="B183" s="319" t="s">
        <v>164</v>
      </c>
      <c r="C183" s="312">
        <f>C172</f>
        <v>10.34</v>
      </c>
      <c r="D183" s="320">
        <v>178</v>
      </c>
      <c r="E183" s="320">
        <v>176</v>
      </c>
      <c r="F183" s="320">
        <v>172</v>
      </c>
      <c r="G183" s="320">
        <v>170</v>
      </c>
      <c r="H183" s="320">
        <v>170</v>
      </c>
      <c r="I183" s="320">
        <v>169</v>
      </c>
      <c r="J183" s="320">
        <v>164</v>
      </c>
      <c r="K183" s="320">
        <v>162</v>
      </c>
      <c r="L183" s="320">
        <v>161</v>
      </c>
      <c r="M183" s="320">
        <v>160</v>
      </c>
      <c r="N183" s="320">
        <v>156</v>
      </c>
      <c r="O183" s="320">
        <v>155</v>
      </c>
      <c r="P183" s="349">
        <f>SUM(D183:O183)</f>
        <v>1993</v>
      </c>
      <c r="Q183" s="352">
        <f>P183*C183</f>
        <v>20607.62</v>
      </c>
    </row>
    <row r="184" spans="2:17" x14ac:dyDescent="0.25">
      <c r="B184" s="319" t="s">
        <v>157</v>
      </c>
      <c r="C184" s="312">
        <f t="shared" ref="C184:C190" si="92">C173</f>
        <v>15.99</v>
      </c>
      <c r="D184" s="320">
        <v>1</v>
      </c>
      <c r="E184" s="320">
        <v>1</v>
      </c>
      <c r="F184" s="320">
        <v>1</v>
      </c>
      <c r="G184" s="320">
        <v>1</v>
      </c>
      <c r="H184" s="320">
        <v>1</v>
      </c>
      <c r="I184" s="320">
        <v>1</v>
      </c>
      <c r="J184" s="320">
        <v>0</v>
      </c>
      <c r="K184" s="320">
        <v>0</v>
      </c>
      <c r="L184" s="320">
        <v>0</v>
      </c>
      <c r="M184" s="320">
        <v>0</v>
      </c>
      <c r="N184" s="320">
        <v>0</v>
      </c>
      <c r="O184" s="320">
        <v>0</v>
      </c>
      <c r="P184" s="349">
        <f t="shared" ref="P184:P190" si="93">SUM(D184:O184)</f>
        <v>6</v>
      </c>
      <c r="Q184" s="352">
        <f t="shared" ref="Q184:Q190" si="94">P184*C184</f>
        <v>95.94</v>
      </c>
    </row>
    <row r="185" spans="2:17" x14ac:dyDescent="0.25">
      <c r="B185" s="319" t="s">
        <v>158</v>
      </c>
      <c r="C185" s="312">
        <f t="shared" si="92"/>
        <v>22.01</v>
      </c>
      <c r="D185" s="320">
        <v>2</v>
      </c>
      <c r="E185" s="320">
        <v>2</v>
      </c>
      <c r="F185" s="320">
        <v>2</v>
      </c>
      <c r="G185" s="320">
        <v>2</v>
      </c>
      <c r="H185" s="320">
        <v>2</v>
      </c>
      <c r="I185" s="320">
        <v>2</v>
      </c>
      <c r="J185" s="320">
        <v>2</v>
      </c>
      <c r="K185" s="320">
        <v>2</v>
      </c>
      <c r="L185" s="320">
        <v>2</v>
      </c>
      <c r="M185" s="320">
        <v>2</v>
      </c>
      <c r="N185" s="320">
        <v>2</v>
      </c>
      <c r="O185" s="320">
        <v>2</v>
      </c>
      <c r="P185" s="349">
        <f t="shared" si="93"/>
        <v>24</v>
      </c>
      <c r="Q185" s="352">
        <f t="shared" si="94"/>
        <v>528.24</v>
      </c>
    </row>
    <row r="186" spans="2:17" x14ac:dyDescent="0.25">
      <c r="B186" s="319" t="s">
        <v>159</v>
      </c>
      <c r="C186" s="312">
        <f t="shared" si="92"/>
        <v>10.43</v>
      </c>
      <c r="D186" s="320">
        <v>13</v>
      </c>
      <c r="E186" s="320">
        <v>13</v>
      </c>
      <c r="F186" s="320">
        <v>13</v>
      </c>
      <c r="G186" s="320">
        <v>12</v>
      </c>
      <c r="H186" s="320">
        <v>12</v>
      </c>
      <c r="I186" s="320">
        <v>12</v>
      </c>
      <c r="J186" s="320">
        <v>12</v>
      </c>
      <c r="K186" s="320">
        <v>12</v>
      </c>
      <c r="L186" s="320">
        <v>12</v>
      </c>
      <c r="M186" s="320">
        <v>11</v>
      </c>
      <c r="N186" s="320">
        <v>10</v>
      </c>
      <c r="O186" s="320">
        <v>10</v>
      </c>
      <c r="P186" s="349">
        <f t="shared" si="93"/>
        <v>142</v>
      </c>
      <c r="Q186" s="352">
        <f t="shared" si="94"/>
        <v>1481.06</v>
      </c>
    </row>
    <row r="187" spans="2:17" x14ac:dyDescent="0.25">
      <c r="B187" s="319" t="s">
        <v>160</v>
      </c>
      <c r="C187" s="312">
        <f t="shared" si="92"/>
        <v>3.06</v>
      </c>
      <c r="D187" s="320"/>
      <c r="E187" s="320"/>
      <c r="F187" s="320"/>
      <c r="G187" s="320"/>
      <c r="H187" s="320"/>
      <c r="I187" s="320">
        <v>1</v>
      </c>
      <c r="J187" s="320">
        <v>1</v>
      </c>
      <c r="K187" s="320">
        <v>1</v>
      </c>
      <c r="L187" s="320">
        <v>1</v>
      </c>
      <c r="M187" s="320">
        <v>1</v>
      </c>
      <c r="N187" s="320">
        <v>1</v>
      </c>
      <c r="O187" s="320"/>
      <c r="P187" s="349">
        <f t="shared" si="93"/>
        <v>6</v>
      </c>
      <c r="Q187" s="352">
        <f t="shared" si="94"/>
        <v>18.36</v>
      </c>
    </row>
    <row r="188" spans="2:17" x14ac:dyDescent="0.25">
      <c r="B188" s="319" t="s">
        <v>161</v>
      </c>
      <c r="C188" s="312">
        <f t="shared" si="92"/>
        <v>3.54</v>
      </c>
      <c r="D188" s="320"/>
      <c r="E188" s="320"/>
      <c r="F188" s="320"/>
      <c r="G188" s="320"/>
      <c r="H188" s="320"/>
      <c r="I188" s="320"/>
      <c r="J188" s="320"/>
      <c r="K188" s="320"/>
      <c r="L188" s="320"/>
      <c r="M188" s="320"/>
      <c r="N188" s="320"/>
      <c r="O188" s="320"/>
      <c r="P188" s="349">
        <f t="shared" si="93"/>
        <v>0</v>
      </c>
      <c r="Q188" s="352">
        <f t="shared" si="94"/>
        <v>0</v>
      </c>
    </row>
    <row r="189" spans="2:17" x14ac:dyDescent="0.25">
      <c r="B189" s="319" t="s">
        <v>162</v>
      </c>
      <c r="C189" s="312">
        <f t="shared" si="92"/>
        <v>9.33</v>
      </c>
      <c r="D189" s="320">
        <v>51</v>
      </c>
      <c r="E189" s="320">
        <v>52</v>
      </c>
      <c r="F189" s="320">
        <v>55</v>
      </c>
      <c r="G189" s="320">
        <v>59</v>
      </c>
      <c r="H189" s="320">
        <v>58</v>
      </c>
      <c r="I189" s="320">
        <v>62</v>
      </c>
      <c r="J189" s="320">
        <v>64</v>
      </c>
      <c r="K189" s="320">
        <v>65</v>
      </c>
      <c r="L189" s="320">
        <v>64</v>
      </c>
      <c r="M189" s="320">
        <v>65</v>
      </c>
      <c r="N189" s="320">
        <v>69</v>
      </c>
      <c r="O189" s="320">
        <v>68</v>
      </c>
      <c r="P189" s="349">
        <f t="shared" si="93"/>
        <v>732</v>
      </c>
      <c r="Q189" s="352">
        <f t="shared" si="94"/>
        <v>6829.56</v>
      </c>
    </row>
    <row r="190" spans="2:17" x14ac:dyDescent="0.25">
      <c r="B190" s="319" t="s">
        <v>163</v>
      </c>
      <c r="C190" s="312">
        <f t="shared" si="92"/>
        <v>11.18</v>
      </c>
      <c r="D190" s="320"/>
      <c r="E190" s="320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49">
        <f t="shared" si="93"/>
        <v>0</v>
      </c>
      <c r="Q190" s="352">
        <f t="shared" si="94"/>
        <v>0</v>
      </c>
    </row>
    <row r="191" spans="2:17" x14ac:dyDescent="0.25">
      <c r="D191" s="350">
        <f>SUM(D183:D190)</f>
        <v>245</v>
      </c>
      <c r="E191" s="350">
        <f t="shared" ref="E191:P191" si="95">SUM(E183:E190)</f>
        <v>244</v>
      </c>
      <c r="F191" s="350">
        <f t="shared" si="95"/>
        <v>243</v>
      </c>
      <c r="G191" s="350">
        <f t="shared" si="95"/>
        <v>244</v>
      </c>
      <c r="H191" s="350">
        <f t="shared" si="95"/>
        <v>243</v>
      </c>
      <c r="I191" s="350">
        <f t="shared" si="95"/>
        <v>247</v>
      </c>
      <c r="J191" s="350">
        <f t="shared" si="95"/>
        <v>243</v>
      </c>
      <c r="K191" s="350">
        <f t="shared" si="95"/>
        <v>242</v>
      </c>
      <c r="L191" s="350">
        <f t="shared" si="95"/>
        <v>240</v>
      </c>
      <c r="M191" s="350">
        <f t="shared" si="95"/>
        <v>239</v>
      </c>
      <c r="N191" s="350">
        <f t="shared" si="95"/>
        <v>238</v>
      </c>
      <c r="O191" s="350">
        <f t="shared" si="95"/>
        <v>235</v>
      </c>
      <c r="P191" s="350">
        <f t="shared" si="95"/>
        <v>2903</v>
      </c>
      <c r="Q191" s="354">
        <f>SUM(Q183:Q190)</f>
        <v>29560.780000000002</v>
      </c>
    </row>
    <row r="192" spans="2:17" x14ac:dyDescent="0.25">
      <c r="D192" s="349"/>
      <c r="E192" s="349"/>
      <c r="F192" s="349"/>
      <c r="G192" s="349"/>
      <c r="H192" s="349"/>
      <c r="I192" s="349"/>
      <c r="J192" s="349"/>
      <c r="K192" s="349"/>
      <c r="L192" s="349"/>
      <c r="M192" s="349"/>
      <c r="N192" s="349"/>
      <c r="O192" s="349"/>
      <c r="P192" s="349"/>
    </row>
    <row r="193" spans="2:17" x14ac:dyDescent="0.25">
      <c r="B193" s="348" t="s">
        <v>166</v>
      </c>
      <c r="D193" s="349"/>
      <c r="E193" s="349"/>
      <c r="F193" s="349"/>
      <c r="G193" s="349"/>
      <c r="H193" s="349"/>
      <c r="I193" s="349"/>
      <c r="J193" s="349"/>
      <c r="K193" s="349"/>
      <c r="L193" s="349"/>
      <c r="M193" s="349"/>
      <c r="N193" s="349"/>
      <c r="O193" s="349"/>
      <c r="P193" s="349"/>
    </row>
    <row r="194" spans="2:17" x14ac:dyDescent="0.25">
      <c r="B194" s="319" t="s">
        <v>164</v>
      </c>
      <c r="C194" s="312">
        <f>C183</f>
        <v>10.34</v>
      </c>
      <c r="D194" s="349">
        <f>D142+D152+D162+D172+D183</f>
        <v>4878</v>
      </c>
      <c r="E194" s="349">
        <f t="shared" ref="E194:O194" si="96">E142+E152+E162+E172+E183</f>
        <v>4832</v>
      </c>
      <c r="F194" s="349">
        <f t="shared" si="96"/>
        <v>4781</v>
      </c>
      <c r="G194" s="349">
        <f t="shared" si="96"/>
        <v>4720</v>
      </c>
      <c r="H194" s="349">
        <f t="shared" si="96"/>
        <v>4668</v>
      </c>
      <c r="I194" s="349">
        <f t="shared" si="96"/>
        <v>4624</v>
      </c>
      <c r="J194" s="349">
        <f t="shared" si="96"/>
        <v>4566</v>
      </c>
      <c r="K194" s="349">
        <f t="shared" si="96"/>
        <v>4504</v>
      </c>
      <c r="L194" s="349">
        <f t="shared" si="96"/>
        <v>4460</v>
      </c>
      <c r="M194" s="349">
        <f t="shared" si="96"/>
        <v>4416</v>
      </c>
      <c r="N194" s="349">
        <f t="shared" si="96"/>
        <v>4350</v>
      </c>
      <c r="O194" s="349">
        <f t="shared" si="96"/>
        <v>4295</v>
      </c>
      <c r="P194" s="349">
        <f>SUM(D194:O194)</f>
        <v>55094</v>
      </c>
      <c r="Q194" s="352">
        <f>P194*C194</f>
        <v>569671.96</v>
      </c>
    </row>
    <row r="195" spans="2:17" x14ac:dyDescent="0.25">
      <c r="B195" s="319" t="s">
        <v>157</v>
      </c>
      <c r="C195" s="312">
        <f t="shared" ref="C195:C201" si="97">C184</f>
        <v>15.99</v>
      </c>
      <c r="D195" s="349">
        <f t="shared" ref="D195:O201" si="98">D143+D153+D163+D173+D184</f>
        <v>39</v>
      </c>
      <c r="E195" s="349">
        <f t="shared" si="98"/>
        <v>39</v>
      </c>
      <c r="F195" s="349">
        <f t="shared" si="98"/>
        <v>39</v>
      </c>
      <c r="G195" s="349">
        <f t="shared" si="98"/>
        <v>39</v>
      </c>
      <c r="H195" s="349">
        <f t="shared" si="98"/>
        <v>39</v>
      </c>
      <c r="I195" s="349">
        <f t="shared" si="98"/>
        <v>39</v>
      </c>
      <c r="J195" s="349">
        <f t="shared" si="98"/>
        <v>39</v>
      </c>
      <c r="K195" s="349">
        <f t="shared" si="98"/>
        <v>39</v>
      </c>
      <c r="L195" s="349">
        <f t="shared" si="98"/>
        <v>38</v>
      </c>
      <c r="M195" s="349">
        <f t="shared" si="98"/>
        <v>38</v>
      </c>
      <c r="N195" s="349">
        <f t="shared" si="98"/>
        <v>37</v>
      </c>
      <c r="O195" s="349">
        <f t="shared" si="98"/>
        <v>37</v>
      </c>
      <c r="P195" s="349">
        <f t="shared" ref="P195:P201" si="99">SUM(D195:O195)</f>
        <v>462</v>
      </c>
      <c r="Q195" s="352">
        <f t="shared" ref="Q195:Q201" si="100">P195*C195</f>
        <v>7387.38</v>
      </c>
    </row>
    <row r="196" spans="2:17" x14ac:dyDescent="0.25">
      <c r="B196" s="319" t="s">
        <v>158</v>
      </c>
      <c r="C196" s="312">
        <f t="shared" si="97"/>
        <v>22.01</v>
      </c>
      <c r="D196" s="349">
        <f t="shared" si="98"/>
        <v>34</v>
      </c>
      <c r="E196" s="349">
        <f t="shared" si="98"/>
        <v>34</v>
      </c>
      <c r="F196" s="349">
        <f t="shared" si="98"/>
        <v>34</v>
      </c>
      <c r="G196" s="349">
        <f t="shared" si="98"/>
        <v>34</v>
      </c>
      <c r="H196" s="349">
        <f t="shared" si="98"/>
        <v>34</v>
      </c>
      <c r="I196" s="349">
        <f t="shared" si="98"/>
        <v>34</v>
      </c>
      <c r="J196" s="349">
        <f t="shared" si="98"/>
        <v>34</v>
      </c>
      <c r="K196" s="349">
        <f t="shared" si="98"/>
        <v>34</v>
      </c>
      <c r="L196" s="349">
        <f t="shared" si="98"/>
        <v>34</v>
      </c>
      <c r="M196" s="349">
        <f t="shared" si="98"/>
        <v>34</v>
      </c>
      <c r="N196" s="349">
        <f t="shared" si="98"/>
        <v>34</v>
      </c>
      <c r="O196" s="349">
        <f t="shared" si="98"/>
        <v>34</v>
      </c>
      <c r="P196" s="349">
        <f t="shared" si="99"/>
        <v>408</v>
      </c>
      <c r="Q196" s="352">
        <f t="shared" si="100"/>
        <v>8980.08</v>
      </c>
    </row>
    <row r="197" spans="2:17" x14ac:dyDescent="0.25">
      <c r="B197" s="319" t="s">
        <v>159</v>
      </c>
      <c r="C197" s="312">
        <f t="shared" si="97"/>
        <v>10.43</v>
      </c>
      <c r="D197" s="349">
        <f t="shared" si="98"/>
        <v>885</v>
      </c>
      <c r="E197" s="349">
        <f t="shared" si="98"/>
        <v>869</v>
      </c>
      <c r="F197" s="349">
        <f t="shared" si="98"/>
        <v>855</v>
      </c>
      <c r="G197" s="349">
        <f t="shared" si="98"/>
        <v>845</v>
      </c>
      <c r="H197" s="349">
        <f t="shared" si="98"/>
        <v>836</v>
      </c>
      <c r="I197" s="349">
        <f t="shared" si="98"/>
        <v>825</v>
      </c>
      <c r="J197" s="349">
        <f t="shared" si="98"/>
        <v>814</v>
      </c>
      <c r="K197" s="349">
        <f t="shared" si="98"/>
        <v>801</v>
      </c>
      <c r="L197" s="349">
        <f t="shared" si="98"/>
        <v>791</v>
      </c>
      <c r="M197" s="349">
        <f t="shared" si="98"/>
        <v>785</v>
      </c>
      <c r="N197" s="349">
        <f t="shared" si="98"/>
        <v>779</v>
      </c>
      <c r="O197" s="349">
        <f t="shared" si="98"/>
        <v>768</v>
      </c>
      <c r="P197" s="349">
        <f t="shared" si="99"/>
        <v>9853</v>
      </c>
      <c r="Q197" s="352">
        <f t="shared" si="100"/>
        <v>102766.79</v>
      </c>
    </row>
    <row r="198" spans="2:17" x14ac:dyDescent="0.25">
      <c r="B198" s="319" t="s">
        <v>160</v>
      </c>
      <c r="C198" s="312">
        <f t="shared" si="97"/>
        <v>3.06</v>
      </c>
      <c r="D198" s="349">
        <f t="shared" si="98"/>
        <v>134</v>
      </c>
      <c r="E198" s="349">
        <f t="shared" si="98"/>
        <v>136</v>
      </c>
      <c r="F198" s="349">
        <f t="shared" si="98"/>
        <v>136</v>
      </c>
      <c r="G198" s="349">
        <f t="shared" si="98"/>
        <v>135</v>
      </c>
      <c r="H198" s="349">
        <f t="shared" si="98"/>
        <v>135</v>
      </c>
      <c r="I198" s="349">
        <f t="shared" si="98"/>
        <v>133</v>
      </c>
      <c r="J198" s="349">
        <f t="shared" si="98"/>
        <v>132</v>
      </c>
      <c r="K198" s="349">
        <f t="shared" si="98"/>
        <v>133</v>
      </c>
      <c r="L198" s="349">
        <f t="shared" si="98"/>
        <v>134</v>
      </c>
      <c r="M198" s="349">
        <f t="shared" si="98"/>
        <v>136</v>
      </c>
      <c r="N198" s="349">
        <f t="shared" si="98"/>
        <v>136</v>
      </c>
      <c r="O198" s="349">
        <f t="shared" si="98"/>
        <v>131</v>
      </c>
      <c r="P198" s="349">
        <f t="shared" si="99"/>
        <v>1611</v>
      </c>
      <c r="Q198" s="352">
        <f t="shared" si="100"/>
        <v>4929.66</v>
      </c>
    </row>
    <row r="199" spans="2:17" x14ac:dyDescent="0.25">
      <c r="B199" s="319" t="s">
        <v>161</v>
      </c>
      <c r="C199" s="312">
        <f t="shared" si="97"/>
        <v>3.54</v>
      </c>
      <c r="D199" s="349">
        <f t="shared" si="98"/>
        <v>31</v>
      </c>
      <c r="E199" s="349">
        <f t="shared" si="98"/>
        <v>31</v>
      </c>
      <c r="F199" s="349">
        <f t="shared" si="98"/>
        <v>32</v>
      </c>
      <c r="G199" s="349">
        <f t="shared" si="98"/>
        <v>31</v>
      </c>
      <c r="H199" s="349">
        <f t="shared" si="98"/>
        <v>31</v>
      </c>
      <c r="I199" s="349">
        <f t="shared" si="98"/>
        <v>31</v>
      </c>
      <c r="J199" s="349">
        <f t="shared" si="98"/>
        <v>31</v>
      </c>
      <c r="K199" s="349">
        <f t="shared" si="98"/>
        <v>31</v>
      </c>
      <c r="L199" s="349">
        <f t="shared" si="98"/>
        <v>34</v>
      </c>
      <c r="M199" s="349">
        <f t="shared" si="98"/>
        <v>32</v>
      </c>
      <c r="N199" s="349">
        <f t="shared" si="98"/>
        <v>34</v>
      </c>
      <c r="O199" s="349">
        <f t="shared" si="98"/>
        <v>34</v>
      </c>
      <c r="P199" s="349">
        <f t="shared" si="99"/>
        <v>383</v>
      </c>
      <c r="Q199" s="352">
        <f t="shared" si="100"/>
        <v>1355.82</v>
      </c>
    </row>
    <row r="200" spans="2:17" x14ac:dyDescent="0.25">
      <c r="B200" s="319" t="s">
        <v>162</v>
      </c>
      <c r="C200" s="312">
        <f t="shared" si="97"/>
        <v>9.33</v>
      </c>
      <c r="D200" s="349">
        <f t="shared" si="98"/>
        <v>2580</v>
      </c>
      <c r="E200" s="349">
        <f t="shared" si="98"/>
        <v>2660</v>
      </c>
      <c r="F200" s="349">
        <f t="shared" si="98"/>
        <v>2716</v>
      </c>
      <c r="G200" s="349">
        <f t="shared" si="98"/>
        <v>2786</v>
      </c>
      <c r="H200" s="349">
        <f t="shared" si="98"/>
        <v>2850</v>
      </c>
      <c r="I200" s="349">
        <f t="shared" si="98"/>
        <v>2896</v>
      </c>
      <c r="J200" s="349">
        <f t="shared" si="98"/>
        <v>2982</v>
      </c>
      <c r="K200" s="349">
        <f t="shared" si="98"/>
        <v>3062</v>
      </c>
      <c r="L200" s="349">
        <f t="shared" si="98"/>
        <v>3115</v>
      </c>
      <c r="M200" s="349">
        <f t="shared" si="98"/>
        <v>3181</v>
      </c>
      <c r="N200" s="349">
        <f t="shared" si="98"/>
        <v>3265</v>
      </c>
      <c r="O200" s="349">
        <f t="shared" si="98"/>
        <v>3332</v>
      </c>
      <c r="P200" s="349">
        <f t="shared" si="99"/>
        <v>35425</v>
      </c>
      <c r="Q200" s="352">
        <f t="shared" si="100"/>
        <v>330515.25</v>
      </c>
    </row>
    <row r="201" spans="2:17" x14ac:dyDescent="0.25">
      <c r="B201" s="319" t="s">
        <v>163</v>
      </c>
      <c r="C201" s="312">
        <f t="shared" si="97"/>
        <v>11.18</v>
      </c>
      <c r="D201" s="349">
        <f t="shared" si="98"/>
        <v>6</v>
      </c>
      <c r="E201" s="349">
        <f t="shared" si="98"/>
        <v>0</v>
      </c>
      <c r="F201" s="349">
        <f t="shared" si="98"/>
        <v>0</v>
      </c>
      <c r="G201" s="349">
        <f t="shared" si="98"/>
        <v>0</v>
      </c>
      <c r="H201" s="349">
        <f t="shared" si="98"/>
        <v>0</v>
      </c>
      <c r="I201" s="349">
        <f t="shared" si="98"/>
        <v>0</v>
      </c>
      <c r="J201" s="349">
        <f t="shared" si="98"/>
        <v>0</v>
      </c>
      <c r="K201" s="349">
        <f t="shared" si="98"/>
        <v>0</v>
      </c>
      <c r="L201" s="349">
        <f t="shared" si="98"/>
        <v>0</v>
      </c>
      <c r="M201" s="349">
        <f t="shared" si="98"/>
        <v>0</v>
      </c>
      <c r="N201" s="349">
        <f t="shared" si="98"/>
        <v>0</v>
      </c>
      <c r="O201" s="349">
        <f t="shared" si="98"/>
        <v>1</v>
      </c>
      <c r="P201" s="349">
        <f t="shared" si="99"/>
        <v>7</v>
      </c>
      <c r="Q201" s="352">
        <f t="shared" si="100"/>
        <v>78.259999999999991</v>
      </c>
    </row>
    <row r="202" spans="2:17" x14ac:dyDescent="0.25">
      <c r="D202" s="350">
        <f>SUM(D194:D201)</f>
        <v>8587</v>
      </c>
      <c r="E202" s="350">
        <f t="shared" ref="E202" si="101">SUM(E194:E201)</f>
        <v>8601</v>
      </c>
      <c r="F202" s="350">
        <f t="shared" ref="F202" si="102">SUM(F194:F201)</f>
        <v>8593</v>
      </c>
      <c r="G202" s="350">
        <f t="shared" ref="G202" si="103">SUM(G194:G201)</f>
        <v>8590</v>
      </c>
      <c r="H202" s="350">
        <f t="shared" ref="H202" si="104">SUM(H194:H201)</f>
        <v>8593</v>
      </c>
      <c r="I202" s="350">
        <f t="shared" ref="I202" si="105">SUM(I194:I201)</f>
        <v>8582</v>
      </c>
      <c r="J202" s="350">
        <f t="shared" ref="J202" si="106">SUM(J194:J201)</f>
        <v>8598</v>
      </c>
      <c r="K202" s="350">
        <f t="shared" ref="K202" si="107">SUM(K194:K201)</f>
        <v>8604</v>
      </c>
      <c r="L202" s="350">
        <f t="shared" ref="L202" si="108">SUM(L194:L201)</f>
        <v>8606</v>
      </c>
      <c r="M202" s="350">
        <f t="shared" ref="M202" si="109">SUM(M194:M201)</f>
        <v>8622</v>
      </c>
      <c r="N202" s="350">
        <f t="shared" ref="N202" si="110">SUM(N194:N201)</f>
        <v>8635</v>
      </c>
      <c r="O202" s="350">
        <f t="shared" ref="O202:P202" si="111">SUM(O194:O201)</f>
        <v>8632</v>
      </c>
      <c r="P202" s="350">
        <f t="shared" si="111"/>
        <v>103243</v>
      </c>
      <c r="Q202" s="353">
        <f>SUM(Q194:Q201)</f>
        <v>1025685.2</v>
      </c>
    </row>
    <row r="204" spans="2:17" x14ac:dyDescent="0.25">
      <c r="B204" s="311" t="s">
        <v>167</v>
      </c>
    </row>
    <row r="205" spans="2:17" x14ac:dyDescent="0.25">
      <c r="B205" s="337" t="s">
        <v>86</v>
      </c>
      <c r="C205" s="338" t="s">
        <v>112</v>
      </c>
      <c r="D205" s="349">
        <f>D142*$C142+D143*$C143+D144*$C144+D145*$C145+D146*$C146+D147*$C147+D148*$C148+D149*$C149</f>
        <v>78020.84</v>
      </c>
      <c r="E205" s="349">
        <f t="shared" ref="E205:O205" si="112">E142*$C142+E143*$C143+E144*$C144+E145*$C145+E146*$C146+E147*$C147+E148*$C148+E149*$C149</f>
        <v>78065.78</v>
      </c>
      <c r="F205" s="349">
        <f t="shared" si="112"/>
        <v>77932.819999999992</v>
      </c>
      <c r="G205" s="349">
        <f t="shared" si="112"/>
        <v>77845.739999999991</v>
      </c>
      <c r="H205" s="349">
        <f t="shared" si="112"/>
        <v>77831.070000000007</v>
      </c>
      <c r="I205" s="363">
        <f t="shared" si="112"/>
        <v>77686.459999999992</v>
      </c>
      <c r="J205" s="349">
        <f t="shared" si="112"/>
        <v>77798.16</v>
      </c>
      <c r="K205" s="349">
        <f t="shared" si="112"/>
        <v>77766.67</v>
      </c>
      <c r="L205" s="349">
        <f t="shared" si="112"/>
        <v>77723.14</v>
      </c>
      <c r="M205" s="349">
        <f t="shared" si="112"/>
        <v>77821.51999999999</v>
      </c>
      <c r="N205" s="349">
        <f t="shared" si="112"/>
        <v>77897.81</v>
      </c>
      <c r="O205" s="349">
        <f t="shared" si="112"/>
        <v>77892.239999999991</v>
      </c>
      <c r="P205" s="349">
        <f>SUM(D205:O205)</f>
        <v>934282.25</v>
      </c>
      <c r="Q205" s="355">
        <f>Q150</f>
        <v>934282.25</v>
      </c>
    </row>
    <row r="206" spans="2:17" x14ac:dyDescent="0.25">
      <c r="B206" s="337" t="s">
        <v>119</v>
      </c>
      <c r="C206" s="338" t="s">
        <v>113</v>
      </c>
      <c r="D206" s="357">
        <f>D162*$C162+D163*$C163+D164*$C164+D165*$C165+D166*$C166+D167*$C167+D168*$C168+D169*$C169</f>
        <v>2922.8799999999997</v>
      </c>
      <c r="E206" s="357">
        <f t="shared" ref="E206:O206" si="113">E162*$C162+E163*$C163+E164*$C164+E165*$C165+E166*$C166+E167*$C167+E168*$C168+E169*$C169</f>
        <v>2932.2099999999996</v>
      </c>
      <c r="F206" s="357">
        <f t="shared" si="113"/>
        <v>2961.2099999999996</v>
      </c>
      <c r="G206" s="357">
        <f t="shared" si="113"/>
        <v>2961.2099999999996</v>
      </c>
      <c r="H206" s="357">
        <f t="shared" si="113"/>
        <v>2940.4399999999996</v>
      </c>
      <c r="I206" s="357">
        <f t="shared" si="113"/>
        <v>2908.3799999999997</v>
      </c>
      <c r="J206" s="357">
        <f t="shared" si="113"/>
        <v>2932.5999999999995</v>
      </c>
      <c r="K206" s="357">
        <f t="shared" si="113"/>
        <v>2931.5899999999997</v>
      </c>
      <c r="L206" s="357">
        <f t="shared" si="113"/>
        <v>2889.1</v>
      </c>
      <c r="M206" s="357">
        <f t="shared" si="113"/>
        <v>2900.45</v>
      </c>
      <c r="N206" s="357">
        <f t="shared" si="113"/>
        <v>2869.43</v>
      </c>
      <c r="O206" s="357">
        <f t="shared" si="113"/>
        <v>2835.2899999999995</v>
      </c>
      <c r="P206" s="349">
        <f t="shared" ref="P206:P212" si="114">SUM(D206:O206)</f>
        <v>34984.789999999994</v>
      </c>
      <c r="Q206" s="355">
        <f>Q170</f>
        <v>34984.79</v>
      </c>
    </row>
    <row r="207" spans="2:17" x14ac:dyDescent="0.25">
      <c r="B207" s="337" t="s">
        <v>120</v>
      </c>
      <c r="C207" s="338" t="s">
        <v>114</v>
      </c>
      <c r="D207" s="357">
        <f>D172*$C172+D173*$C173+D174*$C174+D175*$C175+D176*$C176+D177*$C177+D178*$C178+D179*$C179</f>
        <v>2115.86</v>
      </c>
      <c r="E207" s="357">
        <f t="shared" ref="E207:O207" si="115">E172*$C172+E173*$C173+E174*$C174+E175*$C175+E176*$C176+E177*$C177+E178*$C178+E179*$C179</f>
        <v>2115.86</v>
      </c>
      <c r="F207" s="357">
        <f t="shared" si="115"/>
        <v>2085.85</v>
      </c>
      <c r="G207" s="357">
        <f t="shared" si="115"/>
        <v>2078.1799999999998</v>
      </c>
      <c r="H207" s="357">
        <f t="shared" si="115"/>
        <v>2088.52</v>
      </c>
      <c r="I207" s="357">
        <f t="shared" si="115"/>
        <v>2088.52</v>
      </c>
      <c r="J207" s="357">
        <f t="shared" si="115"/>
        <v>2086.5000000000005</v>
      </c>
      <c r="K207" s="357">
        <f t="shared" si="115"/>
        <v>2103.14</v>
      </c>
      <c r="L207" s="357">
        <f t="shared" si="115"/>
        <v>2141.75</v>
      </c>
      <c r="M207" s="357">
        <f t="shared" si="115"/>
        <v>2140.7400000000002</v>
      </c>
      <c r="N207" s="357">
        <f t="shared" si="115"/>
        <v>2139.73</v>
      </c>
      <c r="O207" s="357">
        <f t="shared" si="115"/>
        <v>2139.73</v>
      </c>
      <c r="P207" s="349">
        <f t="shared" si="114"/>
        <v>25324.38</v>
      </c>
      <c r="Q207" s="355">
        <f>Q180</f>
        <v>25324.379999999997</v>
      </c>
    </row>
    <row r="208" spans="2:17" x14ac:dyDescent="0.25">
      <c r="B208" s="337" t="s">
        <v>121</v>
      </c>
      <c r="C208" s="338" t="s">
        <v>115</v>
      </c>
      <c r="D208" s="357">
        <f>D152*$C152+D153*$C153+D154*$C154+D155*$C155+D156*$C156+D157*$C157+D158*$C158+D159*$C159</f>
        <v>127.75000000000001</v>
      </c>
      <c r="E208" s="357">
        <f t="shared" ref="E208:O208" si="116">E152*$C152+E153*$C153+E154*$C154+E155*$C155+E156*$C156+E157*$C157+E158*$C158+E159*$C159</f>
        <v>127.75000000000001</v>
      </c>
      <c r="F208" s="357">
        <f t="shared" si="116"/>
        <v>127.75000000000001</v>
      </c>
      <c r="G208" s="357">
        <f t="shared" si="116"/>
        <v>127.75000000000001</v>
      </c>
      <c r="H208" s="357">
        <f t="shared" si="116"/>
        <v>127.75000000000001</v>
      </c>
      <c r="I208" s="357">
        <f t="shared" si="116"/>
        <v>127.75000000000001</v>
      </c>
      <c r="J208" s="357">
        <f t="shared" si="116"/>
        <v>127.75000000000001</v>
      </c>
      <c r="K208" s="357">
        <f t="shared" si="116"/>
        <v>127.75000000000001</v>
      </c>
      <c r="L208" s="357">
        <f t="shared" si="116"/>
        <v>127.75000000000001</v>
      </c>
      <c r="M208" s="357">
        <f t="shared" si="116"/>
        <v>127.75000000000001</v>
      </c>
      <c r="N208" s="357">
        <f t="shared" si="116"/>
        <v>127.75000000000001</v>
      </c>
      <c r="O208" s="357">
        <f t="shared" si="116"/>
        <v>127.75000000000001</v>
      </c>
      <c r="P208" s="349">
        <f t="shared" si="114"/>
        <v>1533.0000000000002</v>
      </c>
      <c r="Q208" s="355">
        <f>Q160</f>
        <v>1533.0000000000002</v>
      </c>
    </row>
    <row r="209" spans="2:17" x14ac:dyDescent="0.25">
      <c r="B209" s="337" t="s">
        <v>87</v>
      </c>
      <c r="C209" s="338" t="s">
        <v>116</v>
      </c>
      <c r="D209" s="357">
        <f>D183*$C183+D184*$C184+D185*$C185+D186*$C186+D187*$C187+D188*$C188+D189*$C189+D190*$C190</f>
        <v>2511.9499999999998</v>
      </c>
      <c r="E209" s="357">
        <f t="shared" ref="E209:O209" si="117">E183*$C183+E184*$C184+E185*$C185+E186*$C186+E187*$C187+E188*$C188+E189*$C189+E190*$C190</f>
        <v>2500.6</v>
      </c>
      <c r="F209" s="357">
        <f t="shared" si="117"/>
        <v>2487.23</v>
      </c>
      <c r="G209" s="357">
        <f t="shared" si="117"/>
        <v>2493.44</v>
      </c>
      <c r="H209" s="357">
        <f t="shared" si="117"/>
        <v>2484.11</v>
      </c>
      <c r="I209" s="357">
        <f t="shared" si="117"/>
        <v>2514.15</v>
      </c>
      <c r="J209" s="357">
        <f t="shared" si="117"/>
        <v>2465.12</v>
      </c>
      <c r="K209" s="357">
        <f t="shared" si="117"/>
        <v>2453.77</v>
      </c>
      <c r="L209" s="357">
        <f t="shared" si="117"/>
        <v>2434.1</v>
      </c>
      <c r="M209" s="357">
        <f t="shared" si="117"/>
        <v>2422.66</v>
      </c>
      <c r="N209" s="357">
        <f t="shared" si="117"/>
        <v>2408.1899999999996</v>
      </c>
      <c r="O209" s="357">
        <f t="shared" si="117"/>
        <v>2385.46</v>
      </c>
      <c r="P209" s="349">
        <f t="shared" si="114"/>
        <v>29560.779999999995</v>
      </c>
      <c r="Q209" s="355">
        <f>Q191</f>
        <v>29560.780000000002</v>
      </c>
    </row>
    <row r="210" spans="2:17" x14ac:dyDescent="0.25">
      <c r="B210" s="322" t="s">
        <v>34</v>
      </c>
      <c r="C210" s="323"/>
      <c r="D210" s="350">
        <f>SUM(D205:D209)</f>
        <v>85699.28</v>
      </c>
      <c r="E210" s="350">
        <f t="shared" ref="E210:P210" si="118">SUM(E205:E209)</f>
        <v>85742.200000000012</v>
      </c>
      <c r="F210" s="350">
        <f t="shared" si="118"/>
        <v>85594.86</v>
      </c>
      <c r="G210" s="350">
        <f t="shared" si="118"/>
        <v>85506.319999999992</v>
      </c>
      <c r="H210" s="350">
        <f t="shared" si="118"/>
        <v>85471.890000000014</v>
      </c>
      <c r="I210" s="350">
        <f t="shared" si="118"/>
        <v>85325.26</v>
      </c>
      <c r="J210" s="350">
        <f t="shared" si="118"/>
        <v>85410.13</v>
      </c>
      <c r="K210" s="350">
        <f t="shared" si="118"/>
        <v>85382.92</v>
      </c>
      <c r="L210" s="350">
        <f t="shared" si="118"/>
        <v>85315.840000000011</v>
      </c>
      <c r="M210" s="350">
        <f t="shared" si="118"/>
        <v>85413.119999999995</v>
      </c>
      <c r="N210" s="350">
        <f t="shared" si="118"/>
        <v>85442.909999999989</v>
      </c>
      <c r="O210" s="350">
        <f t="shared" si="118"/>
        <v>85380.469999999987</v>
      </c>
      <c r="P210" s="350">
        <f t="shared" si="118"/>
        <v>1025685.2000000001</v>
      </c>
      <c r="Q210" s="353">
        <f>SUM(Q205:Q209)</f>
        <v>1025685.2000000001</v>
      </c>
    </row>
    <row r="212" spans="2:17" x14ac:dyDescent="0.25">
      <c r="C212" s="312" t="s">
        <v>169</v>
      </c>
      <c r="D212" s="357">
        <v>85492.52</v>
      </c>
      <c r="E212" s="357">
        <v>85310.31</v>
      </c>
      <c r="F212" s="357">
        <v>85269.77</v>
      </c>
      <c r="G212" s="357">
        <v>85142.34</v>
      </c>
      <c r="H212" s="357">
        <v>85160.13</v>
      </c>
      <c r="I212" s="364">
        <v>85032.68</v>
      </c>
      <c r="J212" s="357">
        <v>84964.36</v>
      </c>
      <c r="K212" s="357">
        <v>84913.82</v>
      </c>
      <c r="L212" s="357">
        <v>84867.57</v>
      </c>
      <c r="M212" s="357">
        <v>85110.49</v>
      </c>
      <c r="N212" s="357">
        <v>85379.93</v>
      </c>
      <c r="O212" s="357">
        <v>85653.01</v>
      </c>
      <c r="P212" s="349">
        <f t="shared" si="114"/>
        <v>1022296.9300000002</v>
      </c>
      <c r="Q212" s="355"/>
    </row>
    <row r="213" spans="2:17" x14ac:dyDescent="0.25">
      <c r="C213" s="312" t="s">
        <v>88</v>
      </c>
      <c r="D213" s="325">
        <f>D212-D210</f>
        <v>-206.75999999999476</v>
      </c>
      <c r="E213" s="325">
        <f t="shared" ref="E213:P213" si="119">E212-E210</f>
        <v>-431.89000000001397</v>
      </c>
      <c r="F213" s="325">
        <f t="shared" si="119"/>
        <v>-325.08999999999651</v>
      </c>
      <c r="G213" s="325">
        <f t="shared" si="119"/>
        <v>-363.97999999999593</v>
      </c>
      <c r="H213" s="325">
        <f t="shared" si="119"/>
        <v>-311.76000000000931</v>
      </c>
      <c r="I213" s="325">
        <f t="shared" si="119"/>
        <v>-292.58000000000175</v>
      </c>
      <c r="J213" s="325">
        <f t="shared" si="119"/>
        <v>-445.77000000000407</v>
      </c>
      <c r="K213" s="325">
        <f t="shared" si="119"/>
        <v>-469.09999999999127</v>
      </c>
      <c r="L213" s="325">
        <f t="shared" si="119"/>
        <v>-448.27000000000407</v>
      </c>
      <c r="M213" s="325">
        <f t="shared" si="119"/>
        <v>-302.6299999999901</v>
      </c>
      <c r="N213" s="325">
        <f t="shared" si="119"/>
        <v>-62.979999999995925</v>
      </c>
      <c r="O213" s="325">
        <f t="shared" si="119"/>
        <v>272.54000000000815</v>
      </c>
      <c r="P213" s="325">
        <f t="shared" si="119"/>
        <v>-3388.2699999999022</v>
      </c>
    </row>
    <row r="214" spans="2:17" x14ac:dyDescent="0.25">
      <c r="C214" s="312" t="s">
        <v>170</v>
      </c>
      <c r="D214" s="359">
        <f>D213/D212</f>
        <v>-2.4184571936819122E-3</v>
      </c>
      <c r="E214" s="359">
        <f t="shared" ref="E214:P214" si="120">E213/E212</f>
        <v>-5.0625768444636293E-3</v>
      </c>
      <c r="F214" s="359">
        <f t="shared" si="120"/>
        <v>-3.8124882945033919E-3</v>
      </c>
      <c r="G214" s="359">
        <f t="shared" si="120"/>
        <v>-4.274958851260089E-3</v>
      </c>
      <c r="H214" s="359">
        <f t="shared" si="120"/>
        <v>-3.660868061145624E-3</v>
      </c>
      <c r="I214" s="359">
        <f t="shared" si="120"/>
        <v>-3.4407947626724426E-3</v>
      </c>
      <c r="J214" s="359">
        <f t="shared" si="120"/>
        <v>-5.2465527898992483E-3</v>
      </c>
      <c r="K214" s="359">
        <f t="shared" si="120"/>
        <v>-5.5244246460704654E-3</v>
      </c>
      <c r="L214" s="359">
        <f t="shared" si="120"/>
        <v>-5.2819940526163765E-3</v>
      </c>
      <c r="M214" s="359">
        <f t="shared" si="120"/>
        <v>-3.5557309093155274E-3</v>
      </c>
      <c r="N214" s="359">
        <f t="shared" si="120"/>
        <v>-7.376440809918201E-4</v>
      </c>
      <c r="O214" s="359">
        <f t="shared" si="120"/>
        <v>3.1819080263496657E-3</v>
      </c>
      <c r="P214" s="359">
        <f t="shared" si="120"/>
        <v>-3.3143697301330072E-3</v>
      </c>
    </row>
    <row r="217" spans="2:17" x14ac:dyDescent="0.25">
      <c r="B217" s="319" t="s">
        <v>188</v>
      </c>
      <c r="I217" s="358"/>
    </row>
    <row r="218" spans="2:17" x14ac:dyDescent="0.25">
      <c r="B218" s="319" t="s">
        <v>115</v>
      </c>
    </row>
    <row r="219" spans="2:17" x14ac:dyDescent="0.25">
      <c r="B219" s="319" t="s">
        <v>189</v>
      </c>
      <c r="C219" s="369">
        <f>'Present and Proposed Rates'!G23</f>
        <v>110</v>
      </c>
    </row>
    <row r="220" spans="2:17" x14ac:dyDescent="0.25">
      <c r="B220" s="319" t="s">
        <v>190</v>
      </c>
      <c r="C220" s="369">
        <f>'Present and Proposed Rates'!G24</f>
        <v>5.6288999999999999E-2</v>
      </c>
    </row>
    <row r="221" spans="2:17" x14ac:dyDescent="0.25">
      <c r="B221" s="319" t="s">
        <v>191</v>
      </c>
      <c r="C221" s="369">
        <f>'Present and Proposed Rates'!G25</f>
        <v>6.91</v>
      </c>
    </row>
    <row r="222" spans="2:17" x14ac:dyDescent="0.25">
      <c r="C222" s="372"/>
    </row>
    <row r="223" spans="2:17" x14ac:dyDescent="0.25">
      <c r="C223" s="372"/>
    </row>
    <row r="224" spans="2:17" x14ac:dyDescent="0.25">
      <c r="B224" s="319" t="s">
        <v>192</v>
      </c>
      <c r="C224" s="371">
        <v>1</v>
      </c>
    </row>
    <row r="225" spans="2:6" x14ac:dyDescent="0.25">
      <c r="B225" s="319" t="s">
        <v>189</v>
      </c>
      <c r="C225" s="371">
        <f>C219*D9</f>
        <v>220</v>
      </c>
      <c r="D225" s="374">
        <v>231</v>
      </c>
      <c r="E225" s="374">
        <f>D225-C225</f>
        <v>11</v>
      </c>
      <c r="F225" s="375">
        <f>E225/D225</f>
        <v>4.7619047619047616E-2</v>
      </c>
    </row>
    <row r="226" spans="2:6" x14ac:dyDescent="0.25">
      <c r="B226" s="319" t="s">
        <v>191</v>
      </c>
      <c r="C226" s="371">
        <f>C221*D35</f>
        <v>0</v>
      </c>
      <c r="D226" s="374">
        <v>1294.8599999999999</v>
      </c>
      <c r="E226" s="374">
        <f t="shared" ref="E226:E231" si="121">D226-C226</f>
        <v>1294.8599999999999</v>
      </c>
      <c r="F226" s="375">
        <f t="shared" ref="F226:F232" si="122">E226/D226</f>
        <v>1</v>
      </c>
    </row>
    <row r="227" spans="2:6" x14ac:dyDescent="0.25">
      <c r="B227" s="319" t="s">
        <v>190</v>
      </c>
      <c r="C227" s="371">
        <f>C220*D21</f>
        <v>4039.29864</v>
      </c>
      <c r="D227" s="374">
        <v>4113.13</v>
      </c>
      <c r="E227" s="374">
        <f t="shared" si="121"/>
        <v>73.831360000000132</v>
      </c>
      <c r="F227" s="375">
        <f t="shared" si="122"/>
        <v>1.7950164473284368E-2</v>
      </c>
    </row>
    <row r="228" spans="2:6" x14ac:dyDescent="0.25">
      <c r="B228" s="319" t="s">
        <v>46</v>
      </c>
      <c r="C228" s="371">
        <f>D62</f>
        <v>127.73</v>
      </c>
      <c r="D228" s="374">
        <f>126.45+1.3</f>
        <v>127.75</v>
      </c>
      <c r="E228" s="374">
        <f t="shared" si="121"/>
        <v>1.9999999999996021E-2</v>
      </c>
      <c r="F228" s="375">
        <f t="shared" si="122"/>
        <v>1.5655577299409802E-4</v>
      </c>
    </row>
    <row r="229" spans="2:6" x14ac:dyDescent="0.25">
      <c r="B229" s="319" t="s">
        <v>53</v>
      </c>
      <c r="C229" s="371">
        <f>D77</f>
        <v>485.71</v>
      </c>
      <c r="D229" s="374">
        <v>485.71</v>
      </c>
      <c r="E229" s="374">
        <f t="shared" si="121"/>
        <v>0</v>
      </c>
      <c r="F229" s="375">
        <f t="shared" si="122"/>
        <v>0</v>
      </c>
    </row>
    <row r="230" spans="2:6" x14ac:dyDescent="0.25">
      <c r="B230" s="319" t="s">
        <v>194</v>
      </c>
      <c r="C230" s="371"/>
      <c r="D230" s="374">
        <f>17.7+110.05</f>
        <v>127.75</v>
      </c>
      <c r="E230" s="374">
        <f t="shared" si="121"/>
        <v>127.75</v>
      </c>
      <c r="F230" s="375">
        <f t="shared" si="122"/>
        <v>1</v>
      </c>
    </row>
    <row r="231" spans="2:6" x14ac:dyDescent="0.25">
      <c r="B231" s="319" t="s">
        <v>195</v>
      </c>
      <c r="C231" s="371"/>
      <c r="D231" s="374"/>
      <c r="E231" s="374">
        <f t="shared" si="121"/>
        <v>0</v>
      </c>
      <c r="F231" s="375" t="e">
        <f t="shared" si="122"/>
        <v>#DIV/0!</v>
      </c>
    </row>
    <row r="232" spans="2:6" x14ac:dyDescent="0.25">
      <c r="C232" s="370">
        <f>SUM(C225:C231)</f>
        <v>4872.7386399999996</v>
      </c>
      <c r="D232" s="370">
        <f>SUM(D225:D231)</f>
        <v>6380.2</v>
      </c>
      <c r="E232" s="370">
        <f>SUM(E225:E231)</f>
        <v>1507.46136</v>
      </c>
      <c r="F232" s="375">
        <f t="shared" si="122"/>
        <v>0.23627180339174322</v>
      </c>
    </row>
    <row r="233" spans="2:6" x14ac:dyDescent="0.25">
      <c r="C233" s="371"/>
      <c r="D233" s="374"/>
      <c r="E233" s="374"/>
      <c r="F233" s="330"/>
    </row>
    <row r="234" spans="2:6" x14ac:dyDescent="0.25">
      <c r="B234" s="319" t="s">
        <v>193</v>
      </c>
      <c r="C234" s="372">
        <v>1</v>
      </c>
      <c r="D234" s="349"/>
      <c r="E234" s="349"/>
      <c r="F234" s="330"/>
    </row>
    <row r="235" spans="2:6" x14ac:dyDescent="0.25">
      <c r="B235" s="319" t="s">
        <v>189</v>
      </c>
      <c r="C235" s="371">
        <f>C219*D11</f>
        <v>330</v>
      </c>
      <c r="D235" s="374">
        <v>330</v>
      </c>
      <c r="E235" s="374">
        <f>D235-C235</f>
        <v>0</v>
      </c>
      <c r="F235" s="375">
        <f>E235/D235</f>
        <v>0</v>
      </c>
    </row>
    <row r="236" spans="2:6" x14ac:dyDescent="0.25">
      <c r="B236" s="319" t="s">
        <v>191</v>
      </c>
      <c r="C236" s="371">
        <f>C221*D37</f>
        <v>11705.54</v>
      </c>
      <c r="D236" s="374">
        <v>10410.68</v>
      </c>
      <c r="E236" s="374">
        <f t="shared" ref="E236:E241" si="123">D236-C236</f>
        <v>-1294.8600000000006</v>
      </c>
      <c r="F236" s="375">
        <f t="shared" ref="F236:F242" si="124">E236/D236</f>
        <v>-0.12437804254861359</v>
      </c>
    </row>
    <row r="237" spans="2:6" x14ac:dyDescent="0.25">
      <c r="B237" s="319" t="s">
        <v>190</v>
      </c>
      <c r="C237" s="371">
        <f>C220*D23</f>
        <v>42754.422527999996</v>
      </c>
      <c r="D237" s="374">
        <v>43977.3</v>
      </c>
      <c r="E237" s="374">
        <f t="shared" si="123"/>
        <v>1222.8774720000074</v>
      </c>
      <c r="F237" s="375">
        <f t="shared" si="124"/>
        <v>2.7807015710378021E-2</v>
      </c>
    </row>
    <row r="238" spans="2:6" x14ac:dyDescent="0.25">
      <c r="B238" s="319" t="s">
        <v>46</v>
      </c>
      <c r="C238" s="371">
        <f>D64</f>
        <v>1352</v>
      </c>
      <c r="D238" s="374">
        <v>1352</v>
      </c>
      <c r="E238" s="374">
        <f t="shared" si="123"/>
        <v>0</v>
      </c>
      <c r="F238" s="375">
        <f t="shared" si="124"/>
        <v>0</v>
      </c>
    </row>
    <row r="239" spans="2:6" x14ac:dyDescent="0.25">
      <c r="B239" s="319" t="s">
        <v>53</v>
      </c>
      <c r="C239" s="371">
        <f>D79</f>
        <v>4440.04</v>
      </c>
      <c r="D239" s="374">
        <v>4440.04</v>
      </c>
      <c r="E239" s="374">
        <f t="shared" si="123"/>
        <v>0</v>
      </c>
      <c r="F239" s="375">
        <f t="shared" si="124"/>
        <v>0</v>
      </c>
    </row>
    <row r="240" spans="2:6" x14ac:dyDescent="0.25">
      <c r="B240" s="319" t="s">
        <v>194</v>
      </c>
      <c r="C240" s="371"/>
      <c r="D240" s="374"/>
      <c r="E240" s="374">
        <f t="shared" si="123"/>
        <v>0</v>
      </c>
      <c r="F240" s="375" t="e">
        <f t="shared" si="124"/>
        <v>#DIV/0!</v>
      </c>
    </row>
    <row r="241" spans="2:16" x14ac:dyDescent="0.25">
      <c r="B241" s="319" t="s">
        <v>195</v>
      </c>
      <c r="C241" s="371"/>
      <c r="D241" s="374">
        <v>-2185</v>
      </c>
      <c r="E241" s="374">
        <f t="shared" si="123"/>
        <v>-2185</v>
      </c>
      <c r="F241" s="375">
        <f t="shared" si="124"/>
        <v>1</v>
      </c>
    </row>
    <row r="242" spans="2:16" x14ac:dyDescent="0.25">
      <c r="C242" s="370">
        <f>SUM(C235:C241)</f>
        <v>60582.002527999997</v>
      </c>
      <c r="D242" s="370">
        <f>SUM(D235:D241)</f>
        <v>58325.020000000004</v>
      </c>
      <c r="E242" s="370">
        <f>SUM(E235:E241)</f>
        <v>-2256.9825279999932</v>
      </c>
      <c r="F242" s="375">
        <f t="shared" si="124"/>
        <v>-3.8696643875989978E-2</v>
      </c>
    </row>
    <row r="243" spans="2:16" x14ac:dyDescent="0.25">
      <c r="C243" s="371"/>
      <c r="D243" s="374"/>
      <c r="E243" s="374"/>
      <c r="F243" s="374"/>
    </row>
    <row r="244" spans="2:16" ht="18.600000000000001" customHeight="1" x14ac:dyDescent="0.25"/>
    <row r="245" spans="2:16" x14ac:dyDescent="0.25">
      <c r="B245" s="319" t="s">
        <v>196</v>
      </c>
      <c r="D245" s="374">
        <v>-73.040000000000006</v>
      </c>
      <c r="E245" s="374">
        <v>-79.849999999999994</v>
      </c>
      <c r="F245" s="374">
        <v>-94.09</v>
      </c>
      <c r="G245" s="374">
        <v>-76.84</v>
      </c>
      <c r="H245" s="374">
        <v>-61.9</v>
      </c>
      <c r="I245" s="374">
        <v>-47.83</v>
      </c>
      <c r="J245" s="374">
        <v>-58.89</v>
      </c>
      <c r="K245" s="374">
        <v>-36.42</v>
      </c>
      <c r="L245" s="374">
        <v>-19</v>
      </c>
      <c r="M245" s="374">
        <v>-19.71</v>
      </c>
      <c r="N245" s="374">
        <v>-17.059999999999999</v>
      </c>
      <c r="O245" s="374">
        <v>-13.79</v>
      </c>
      <c r="P245" s="373">
        <f>SUM(D245:O245)</f>
        <v>-598.41999999999985</v>
      </c>
    </row>
    <row r="246" spans="2:16" x14ac:dyDescent="0.25">
      <c r="B246" s="319" t="s">
        <v>197</v>
      </c>
      <c r="D246" s="374">
        <v>-2185.96</v>
      </c>
      <c r="E246" s="374">
        <v>-2024.3</v>
      </c>
      <c r="F246" s="374">
        <v>-2315.09</v>
      </c>
      <c r="G246" s="374">
        <v>-2612.8000000000002</v>
      </c>
      <c r="H246" s="374">
        <v>-2919.38</v>
      </c>
      <c r="I246" s="374">
        <v>-2954.52</v>
      </c>
      <c r="J246" s="374">
        <v>-3701</v>
      </c>
      <c r="K246" s="374">
        <v>-3337.64</v>
      </c>
      <c r="L246" s="374">
        <v>-1940.4</v>
      </c>
      <c r="M246" s="374">
        <v>-2537.92</v>
      </c>
      <c r="N246" s="374">
        <v>-2221.79</v>
      </c>
      <c r="O246" s="374">
        <v>-2119.46</v>
      </c>
      <c r="P246" s="373">
        <f>SUM(D246:O246)</f>
        <v>-30870.260000000002</v>
      </c>
    </row>
  </sheetData>
  <pageMargins left="0.7" right="0.7" top="0.75" bottom="0.75" header="0.3" footer="0.3"/>
  <pageSetup orientation="portrait" r:id="rId1"/>
  <ignoredErrors>
    <ignoredError sqref="D39:O39 D13:O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T133"/>
  <sheetViews>
    <sheetView view="pageBreakPreview" zoomScale="75" zoomScaleNormal="85" zoomScaleSheetLayoutView="75" workbookViewId="0">
      <selection activeCell="N20" sqref="N20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5.33203125" style="2" customWidth="1"/>
    <col min="4" max="4" width="15" style="2" bestFit="1" customWidth="1"/>
    <col min="5" max="5" width="16.33203125" style="2" bestFit="1" customWidth="1"/>
    <col min="6" max="6" width="3.109375" style="2" customWidth="1"/>
    <col min="7" max="7" width="16.44140625" style="2" customWidth="1"/>
    <col min="8" max="8" width="2.6640625" style="2" customWidth="1"/>
    <col min="9" max="10" width="16.44140625" style="2" customWidth="1"/>
    <col min="11" max="12" width="2.88671875" style="2" customWidth="1"/>
    <col min="13" max="13" width="4.6640625" style="2" customWidth="1"/>
    <col min="14" max="14" width="15.88671875" style="2" customWidth="1"/>
    <col min="15" max="15" width="3" style="2" customWidth="1"/>
    <col min="16" max="16" width="15.6640625" style="2" customWidth="1"/>
    <col min="17" max="17" width="15.109375" style="2" customWidth="1"/>
    <col min="18" max="18" width="2.44140625" style="2" customWidth="1"/>
    <col min="19" max="19" width="17.44140625" style="2" customWidth="1"/>
    <col min="20" max="20" width="2.109375" style="2" customWidth="1"/>
    <col min="21" max="22" width="14.33203125" style="2" bestFit="1" customWidth="1"/>
    <col min="23" max="23" width="11.44140625" style="2" bestFit="1" customWidth="1"/>
    <col min="24" max="16384" width="9.109375" style="2"/>
  </cols>
  <sheetData>
    <row r="1" spans="1:19" x14ac:dyDescent="0.3">
      <c r="A1" s="1" t="str">
        <f>'Present and Proposed Rates'!A1</f>
        <v>Licking Valley R.E.C.C.</v>
      </c>
      <c r="N1" s="1"/>
    </row>
    <row r="2" spans="1:19" x14ac:dyDescent="0.3">
      <c r="A2" s="45" t="str">
        <f>List!B6</f>
        <v>Residential</v>
      </c>
      <c r="N2" s="24"/>
      <c r="O2" s="24"/>
      <c r="P2" s="24"/>
      <c r="Q2" s="24"/>
      <c r="R2" s="24"/>
      <c r="S2" s="24"/>
    </row>
    <row r="3" spans="1:19" ht="16.2" thickBot="1" x14ac:dyDescent="0.35">
      <c r="A3" s="161" t="str">
        <f>List!C6</f>
        <v>A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98" t="s">
        <v>17</v>
      </c>
      <c r="E4" s="399"/>
      <c r="F4" s="399"/>
      <c r="G4" s="400"/>
      <c r="H4" s="396"/>
      <c r="I4" s="398" t="s">
        <v>60</v>
      </c>
      <c r="J4" s="400"/>
      <c r="K4" s="114"/>
      <c r="L4" s="396"/>
      <c r="M4" s="24"/>
      <c r="N4" s="24"/>
      <c r="O4" s="24"/>
      <c r="P4" s="398" t="s">
        <v>43</v>
      </c>
      <c r="Q4" s="399"/>
      <c r="R4" s="399"/>
      <c r="S4" s="400"/>
    </row>
    <row r="5" spans="1:19" ht="16.2" thickBot="1" x14ac:dyDescent="0.35">
      <c r="A5" s="44"/>
      <c r="B5" s="68"/>
      <c r="C5" s="396"/>
      <c r="D5" s="401"/>
      <c r="E5" s="402"/>
      <c r="F5" s="402"/>
      <c r="G5" s="403"/>
      <c r="H5" s="396"/>
      <c r="I5" s="401"/>
      <c r="J5" s="403"/>
      <c r="K5" s="114"/>
      <c r="L5" s="396"/>
      <c r="M5" s="44"/>
      <c r="N5" s="68"/>
      <c r="O5" s="396"/>
      <c r="P5" s="401"/>
      <c r="Q5" s="402"/>
      <c r="R5" s="402"/>
      <c r="S5" s="403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5"/>
      <c r="L6" s="72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404" t="s">
        <v>4</v>
      </c>
      <c r="F7" s="404"/>
      <c r="G7" s="5" t="s">
        <v>5</v>
      </c>
      <c r="H7" s="5"/>
      <c r="I7" s="5" t="s">
        <v>4</v>
      </c>
      <c r="J7" s="5" t="s">
        <v>5</v>
      </c>
      <c r="K7" s="116"/>
      <c r="L7" s="5"/>
      <c r="M7" s="5"/>
      <c r="N7" s="5"/>
      <c r="O7" s="5"/>
      <c r="P7" s="5" t="s">
        <v>3</v>
      </c>
      <c r="Q7" s="404" t="s">
        <v>4</v>
      </c>
      <c r="R7" s="404"/>
      <c r="S7" s="5" t="s">
        <v>5</v>
      </c>
    </row>
    <row r="8" spans="1:19" x14ac:dyDescent="0.3">
      <c r="K8" s="117"/>
      <c r="L8" s="16"/>
    </row>
    <row r="9" spans="1:19" x14ac:dyDescent="0.3">
      <c r="A9" s="88" t="s">
        <v>19</v>
      </c>
      <c r="K9" s="117"/>
      <c r="L9" s="16"/>
      <c r="M9" s="88" t="s">
        <v>8</v>
      </c>
    </row>
    <row r="10" spans="1:19" x14ac:dyDescent="0.3">
      <c r="D10" s="127" t="s">
        <v>47</v>
      </c>
      <c r="E10" s="127" t="s">
        <v>48</v>
      </c>
      <c r="I10" s="127" t="s">
        <v>48</v>
      </c>
      <c r="K10" s="117"/>
      <c r="L10" s="16"/>
      <c r="P10" s="6" t="s">
        <v>47</v>
      </c>
      <c r="Q10" s="6" t="s">
        <v>48</v>
      </c>
    </row>
    <row r="11" spans="1:19" x14ac:dyDescent="0.3">
      <c r="B11" s="2" t="s">
        <v>84</v>
      </c>
      <c r="D11" s="297">
        <f>Billings!P89</f>
        <v>192738</v>
      </c>
      <c r="E11" s="8">
        <f>'Present and Proposed Rates'!F11</f>
        <v>14</v>
      </c>
      <c r="G11" s="10">
        <f>D11*E11</f>
        <v>2698332</v>
      </c>
      <c r="H11" s="10"/>
      <c r="I11" s="8">
        <f>'Present and Proposed Rates'!G11</f>
        <v>14</v>
      </c>
      <c r="J11" s="10">
        <f>I11*D11</f>
        <v>2698332</v>
      </c>
      <c r="K11" s="118"/>
      <c r="L11" s="15"/>
      <c r="N11" s="2" t="s">
        <v>54</v>
      </c>
      <c r="P11" s="28">
        <f>D11</f>
        <v>192738</v>
      </c>
      <c r="Q11" s="8">
        <f>'Present and Proposed Rates'!H11</f>
        <v>17.09</v>
      </c>
      <c r="S11" s="10">
        <f>P11*Q11</f>
        <v>3293892.42</v>
      </c>
    </row>
    <row r="12" spans="1:19" x14ac:dyDescent="0.3">
      <c r="D12" s="7"/>
      <c r="G12" s="10"/>
      <c r="H12" s="10"/>
      <c r="J12" s="10"/>
      <c r="K12" s="118"/>
      <c r="L12" s="15"/>
      <c r="P12" s="7"/>
      <c r="S12" s="10"/>
    </row>
    <row r="13" spans="1:19" x14ac:dyDescent="0.3">
      <c r="A13" s="1" t="s">
        <v>6</v>
      </c>
      <c r="D13" s="7"/>
      <c r="G13" s="10"/>
      <c r="H13" s="10"/>
      <c r="J13" s="10"/>
      <c r="K13" s="118"/>
      <c r="L13" s="15"/>
      <c r="M13" s="1" t="s">
        <v>6</v>
      </c>
      <c r="P13" s="7"/>
      <c r="S13" s="10"/>
    </row>
    <row r="14" spans="1:19" x14ac:dyDescent="0.3">
      <c r="D14" s="128" t="s">
        <v>7</v>
      </c>
      <c r="E14" s="129" t="s">
        <v>9</v>
      </c>
      <c r="G14" s="10"/>
      <c r="H14" s="10"/>
      <c r="I14" s="129" t="s">
        <v>9</v>
      </c>
      <c r="J14" s="10"/>
      <c r="K14" s="118"/>
      <c r="L14" s="15"/>
      <c r="P14" s="12" t="s">
        <v>7</v>
      </c>
      <c r="Q14" s="11" t="s">
        <v>9</v>
      </c>
      <c r="S14" s="10"/>
    </row>
    <row r="15" spans="1:19" x14ac:dyDescent="0.3">
      <c r="B15" s="2" t="s">
        <v>79</v>
      </c>
      <c r="D15" s="28">
        <f>Billings!P97</f>
        <v>186684568</v>
      </c>
      <c r="E15" s="29">
        <f>'Present and Proposed Rates'!F12</f>
        <v>9.2002E-2</v>
      </c>
      <c r="F15" s="16"/>
      <c r="G15" s="15">
        <f>D15*E15</f>
        <v>17175353.625135999</v>
      </c>
      <c r="H15" s="15"/>
      <c r="I15" s="29">
        <f>'Present and Proposed Rates'!G12</f>
        <v>9.0392E-2</v>
      </c>
      <c r="J15" s="15">
        <f>D15*I15</f>
        <v>16874791.470656</v>
      </c>
      <c r="K15" s="118"/>
      <c r="L15" s="15"/>
      <c r="N15" s="2" t="s">
        <v>79</v>
      </c>
      <c r="P15" s="28">
        <f>D15</f>
        <v>186684568</v>
      </c>
      <c r="Q15" s="29">
        <f>'Present and Proposed Rates'!H12</f>
        <v>9.0392E-2</v>
      </c>
      <c r="R15" s="16"/>
      <c r="S15" s="15">
        <f>P15*Q15</f>
        <v>16874791.470656</v>
      </c>
    </row>
    <row r="16" spans="1:19" x14ac:dyDescent="0.3">
      <c r="A16" s="1"/>
      <c r="B16" s="45"/>
      <c r="C16" s="83"/>
      <c r="D16" s="233"/>
      <c r="E16" s="50"/>
      <c r="F16" s="24"/>
      <c r="G16" s="15"/>
      <c r="H16" s="15"/>
      <c r="I16" s="15"/>
      <c r="J16" s="15"/>
      <c r="K16" s="119"/>
      <c r="L16" s="48"/>
      <c r="M16" s="1"/>
      <c r="N16" s="45"/>
      <c r="O16" s="83"/>
      <c r="P16" s="46"/>
      <c r="Q16" s="50"/>
      <c r="R16" s="24"/>
      <c r="S16" s="15"/>
    </row>
    <row r="17" spans="1:19" x14ac:dyDescent="0.3">
      <c r="A17" s="1" t="s">
        <v>52</v>
      </c>
      <c r="B17" s="45"/>
      <c r="C17" s="83"/>
      <c r="D17" s="46"/>
      <c r="E17" s="50"/>
      <c r="F17" s="24"/>
      <c r="G17" s="15"/>
      <c r="H17" s="15"/>
      <c r="I17" s="15"/>
      <c r="J17" s="15"/>
      <c r="K17" s="119"/>
      <c r="L17" s="48"/>
      <c r="M17" s="1" t="s">
        <v>52</v>
      </c>
      <c r="N17" s="45"/>
      <c r="O17" s="83"/>
      <c r="P17" s="46"/>
      <c r="Q17" s="50"/>
      <c r="R17" s="24"/>
      <c r="S17" s="15"/>
    </row>
    <row r="18" spans="1:19" x14ac:dyDescent="0.3">
      <c r="A18" s="1"/>
      <c r="B18" s="24" t="s">
        <v>46</v>
      </c>
      <c r="C18" s="83"/>
      <c r="D18" s="46"/>
      <c r="E18" s="50"/>
      <c r="F18" s="24"/>
      <c r="G18" s="15">
        <f>Billings!P121</f>
        <v>-813058.84999999986</v>
      </c>
      <c r="H18" s="15"/>
      <c r="I18" s="15"/>
      <c r="J18" s="15">
        <f>G18</f>
        <v>-813058.84999999986</v>
      </c>
      <c r="K18" s="119"/>
      <c r="L18" s="48"/>
      <c r="M18" s="1"/>
      <c r="N18" s="24" t="s">
        <v>46</v>
      </c>
      <c r="O18" s="83"/>
      <c r="P18" s="46"/>
      <c r="Q18" s="50"/>
      <c r="R18" s="24"/>
      <c r="S18" s="15">
        <f>G18</f>
        <v>-813058.84999999986</v>
      </c>
    </row>
    <row r="19" spans="1:19" x14ac:dyDescent="0.3">
      <c r="A19" s="1"/>
      <c r="B19" s="24" t="s">
        <v>53</v>
      </c>
      <c r="C19" s="83"/>
      <c r="D19" s="46"/>
      <c r="E19" s="50"/>
      <c r="F19" s="24"/>
      <c r="G19" s="48">
        <f>Billings!P129</f>
        <v>1927691.1633019997</v>
      </c>
      <c r="H19" s="48"/>
      <c r="I19" s="48"/>
      <c r="J19" s="15">
        <f>G19</f>
        <v>1927691.1633019997</v>
      </c>
      <c r="K19" s="119"/>
      <c r="L19" s="48"/>
      <c r="M19" s="1"/>
      <c r="N19" s="24" t="s">
        <v>53</v>
      </c>
      <c r="O19" s="83"/>
      <c r="P19" s="46"/>
      <c r="Q19" s="50"/>
      <c r="R19" s="24"/>
      <c r="S19" s="15">
        <f>G19</f>
        <v>1927691.1633019997</v>
      </c>
    </row>
    <row r="20" spans="1:19" x14ac:dyDescent="0.3">
      <c r="A20" s="1"/>
      <c r="B20" s="24"/>
      <c r="C20" s="83"/>
      <c r="D20" s="46"/>
      <c r="E20" s="50"/>
      <c r="F20" s="24"/>
      <c r="G20" s="48"/>
      <c r="H20" s="48"/>
      <c r="I20" s="48"/>
      <c r="J20" s="15"/>
      <c r="K20" s="119"/>
      <c r="L20" s="48"/>
      <c r="M20" s="1"/>
      <c r="N20" s="24"/>
      <c r="O20" s="83"/>
      <c r="P20" s="46"/>
      <c r="Q20" s="50"/>
      <c r="R20" s="24"/>
      <c r="S20" s="15"/>
    </row>
    <row r="21" spans="1:19" x14ac:dyDescent="0.3">
      <c r="A21" s="1"/>
      <c r="B21" s="24"/>
      <c r="C21" s="83"/>
      <c r="D21" s="46"/>
      <c r="E21" s="50"/>
      <c r="F21" s="24"/>
      <c r="G21" s="48"/>
      <c r="H21" s="48"/>
      <c r="I21" s="48"/>
      <c r="J21" s="15"/>
      <c r="K21" s="119"/>
      <c r="L21" s="48"/>
      <c r="M21" s="1"/>
      <c r="N21" s="24"/>
      <c r="O21" s="83"/>
      <c r="P21" s="46"/>
      <c r="Q21" s="50"/>
      <c r="R21" s="24"/>
      <c r="S21" s="15"/>
    </row>
    <row r="22" spans="1:19" ht="16.2" thickBot="1" x14ac:dyDescent="0.35">
      <c r="A22" s="1" t="s">
        <v>35</v>
      </c>
      <c r="G22" s="21">
        <f>SUM(G11:G21)</f>
        <v>20988317.938437998</v>
      </c>
      <c r="H22" s="15"/>
      <c r="I22" s="15"/>
      <c r="J22" s="21">
        <f>SUM(J11:J21)</f>
        <v>20687755.783957999</v>
      </c>
      <c r="K22" s="118"/>
      <c r="L22" s="15"/>
      <c r="M22" s="1" t="s">
        <v>35</v>
      </c>
      <c r="S22" s="21">
        <f>SUM(S11:S21)</f>
        <v>21283316.203958001</v>
      </c>
    </row>
    <row r="23" spans="1:19" ht="16.2" thickTop="1" x14ac:dyDescent="0.3">
      <c r="A23" s="1"/>
      <c r="B23" s="1"/>
      <c r="G23" s="15"/>
      <c r="H23" s="15"/>
      <c r="I23" s="15"/>
      <c r="J23" s="15"/>
      <c r="K23" s="118"/>
      <c r="L23" s="15"/>
      <c r="M23" s="1"/>
      <c r="N23" s="1"/>
      <c r="S23" s="15"/>
    </row>
    <row r="24" spans="1:19" x14ac:dyDescent="0.3">
      <c r="A24" s="32" t="s">
        <v>14</v>
      </c>
      <c r="B24" s="9"/>
      <c r="G24" s="10">
        <f>Billings!P113</f>
        <v>20532781.580000002</v>
      </c>
      <c r="H24" s="10"/>
      <c r="I24" s="10"/>
      <c r="J24" s="10"/>
      <c r="K24" s="118"/>
      <c r="L24" s="15"/>
      <c r="M24" s="69" t="s">
        <v>61</v>
      </c>
      <c r="N24" s="9"/>
      <c r="S24" s="27">
        <f>S22-J22</f>
        <v>595560.42000000179</v>
      </c>
    </row>
    <row r="25" spans="1:19" x14ac:dyDescent="0.3">
      <c r="A25" s="9"/>
      <c r="B25" s="9"/>
      <c r="G25" s="9"/>
      <c r="H25" s="9"/>
      <c r="I25" s="9"/>
      <c r="J25" s="9"/>
      <c r="K25" s="120"/>
      <c r="L25" s="14"/>
      <c r="M25" s="36"/>
      <c r="N25" s="9"/>
      <c r="S25" s="9"/>
    </row>
    <row r="26" spans="1:19" x14ac:dyDescent="0.3">
      <c r="A26" s="32" t="s">
        <v>10</v>
      </c>
      <c r="B26" s="9"/>
      <c r="G26" s="19">
        <f>G22-G24</f>
        <v>455536.35843799636</v>
      </c>
      <c r="H26" s="19"/>
      <c r="I26" s="19"/>
      <c r="J26" s="19">
        <f>J22-G22</f>
        <v>-300562.1544799991</v>
      </c>
      <c r="K26" s="121"/>
      <c r="L26" s="126"/>
      <c r="M26" s="69" t="s">
        <v>62</v>
      </c>
      <c r="N26" s="9"/>
      <c r="S26" s="22">
        <f>S24/J22</f>
        <v>2.8788063152882921E-2</v>
      </c>
    </row>
    <row r="27" spans="1:19" x14ac:dyDescent="0.3">
      <c r="A27" s="9"/>
      <c r="B27" s="9"/>
      <c r="G27" s="10"/>
      <c r="H27" s="10"/>
      <c r="I27" s="10"/>
      <c r="J27" s="10"/>
      <c r="K27" s="118"/>
      <c r="L27" s="15"/>
      <c r="M27" s="24"/>
      <c r="N27" s="9"/>
      <c r="S27" s="10"/>
    </row>
    <row r="28" spans="1:19" x14ac:dyDescent="0.3">
      <c r="A28" s="32" t="s">
        <v>16</v>
      </c>
      <c r="B28" s="9"/>
      <c r="G28" s="20">
        <f>G26/G24</f>
        <v>2.2185808418753769E-2</v>
      </c>
      <c r="H28" s="20"/>
      <c r="I28" s="20"/>
      <c r="J28" s="20">
        <f>J26/G24</f>
        <v>-1.4638160607170842E-2</v>
      </c>
      <c r="K28" s="122"/>
      <c r="L28" s="20"/>
      <c r="M28" s="45" t="s">
        <v>38</v>
      </c>
      <c r="N28" s="9"/>
      <c r="S28" s="33">
        <f>S24/P11</f>
        <v>3.0900000000000092</v>
      </c>
    </row>
    <row r="29" spans="1:19" x14ac:dyDescent="0.3">
      <c r="A29" s="32"/>
      <c r="B29" s="9"/>
      <c r="D29" s="13">
        <f>D15/D11</f>
        <v>968.59243117600056</v>
      </c>
      <c r="G29" s="20"/>
      <c r="H29" s="20"/>
      <c r="I29" s="20"/>
      <c r="J29" s="20"/>
      <c r="K29" s="20"/>
      <c r="L29" s="20"/>
      <c r="M29" s="32"/>
      <c r="N29" s="9"/>
      <c r="S29" s="20"/>
    </row>
    <row r="30" spans="1:19" x14ac:dyDescent="0.3">
      <c r="A30" s="32"/>
      <c r="B30" s="9"/>
      <c r="C30" s="9"/>
      <c r="D30" s="13"/>
      <c r="E30" s="9"/>
      <c r="F30" s="9"/>
      <c r="G30" s="9">
        <f>G11+G15</f>
        <v>19873685.625135999</v>
      </c>
      <c r="H30" s="9"/>
      <c r="I30" s="9"/>
      <c r="J30" s="9"/>
      <c r="K30" s="9"/>
      <c r="L30" s="9"/>
      <c r="M30" s="9"/>
      <c r="N30" s="9"/>
      <c r="S30" s="20"/>
    </row>
    <row r="31" spans="1:19" x14ac:dyDescent="0.3">
      <c r="A31" s="32"/>
      <c r="B31" s="9"/>
      <c r="C31" s="9"/>
      <c r="E31" s="9"/>
      <c r="F31" s="9"/>
      <c r="G31" s="9"/>
      <c r="H31" s="9"/>
      <c r="I31" s="9"/>
      <c r="J31" s="9"/>
      <c r="K31" s="9"/>
      <c r="L31" s="9"/>
      <c r="M31" s="9"/>
      <c r="N31" s="9"/>
      <c r="S31" s="20"/>
    </row>
    <row r="32" spans="1:19" x14ac:dyDescent="0.3">
      <c r="A32" s="32"/>
      <c r="B32" s="9"/>
      <c r="C32" s="9"/>
      <c r="D32" s="9"/>
      <c r="E32" s="9"/>
      <c r="F32" s="9"/>
      <c r="G32" s="377"/>
      <c r="H32" s="9"/>
      <c r="I32" s="9"/>
      <c r="J32" s="9"/>
      <c r="K32" s="9"/>
      <c r="L32" s="9"/>
      <c r="M32" s="9"/>
      <c r="N32" s="9"/>
      <c r="S32" s="20"/>
    </row>
    <row r="33" spans="1:20" x14ac:dyDescent="0.3">
      <c r="A33" s="32"/>
      <c r="B33" s="9"/>
      <c r="G33" s="20"/>
      <c r="H33" s="20"/>
      <c r="I33" s="20"/>
      <c r="J33" s="20"/>
      <c r="K33" s="20"/>
      <c r="L33" s="20"/>
      <c r="M33" s="32"/>
      <c r="N33" s="9"/>
      <c r="S33" s="20"/>
    </row>
    <row r="34" spans="1:20" x14ac:dyDescent="0.3">
      <c r="A34" s="32"/>
      <c r="B34" s="9"/>
      <c r="G34" s="20"/>
      <c r="H34" s="20"/>
      <c r="I34" s="20"/>
      <c r="J34" s="20"/>
      <c r="K34" s="20"/>
      <c r="L34" s="20"/>
      <c r="M34" s="32"/>
      <c r="N34" s="9"/>
      <c r="S34" s="20"/>
    </row>
    <row r="35" spans="1:20" ht="18.75" customHeight="1" x14ac:dyDescent="0.3">
      <c r="A35" s="32"/>
      <c r="B35" s="10"/>
      <c r="G35" s="20"/>
      <c r="H35" s="20"/>
      <c r="I35" s="20"/>
      <c r="J35" s="20"/>
      <c r="K35" s="20"/>
      <c r="L35" s="20"/>
      <c r="N35" s="24"/>
    </row>
    <row r="36" spans="1:20" x14ac:dyDescent="0.3">
      <c r="E36" s="10"/>
      <c r="N36" s="24"/>
    </row>
    <row r="41" spans="1:20" x14ac:dyDescent="0.3">
      <c r="T41" s="60"/>
    </row>
    <row r="42" spans="1:20" x14ac:dyDescent="0.3">
      <c r="T42" s="60"/>
    </row>
    <row r="43" spans="1:20" x14ac:dyDescent="0.3">
      <c r="T43" s="60"/>
    </row>
    <row r="44" spans="1:20" x14ac:dyDescent="0.3">
      <c r="T44" s="60"/>
    </row>
    <row r="45" spans="1:20" x14ac:dyDescent="0.3">
      <c r="T45" s="60"/>
    </row>
    <row r="46" spans="1:20" x14ac:dyDescent="0.3">
      <c r="T46" s="60"/>
    </row>
    <row r="47" spans="1:20" x14ac:dyDescent="0.3">
      <c r="T47" s="60"/>
    </row>
    <row r="48" spans="1:20" x14ac:dyDescent="0.3">
      <c r="T48" s="60"/>
    </row>
    <row r="49" spans="20:20" x14ac:dyDescent="0.3">
      <c r="T49" s="60"/>
    </row>
    <row r="50" spans="20:20" ht="16.5" customHeight="1" x14ac:dyDescent="0.3">
      <c r="T50" s="60"/>
    </row>
    <row r="51" spans="20:20" x14ac:dyDescent="0.3">
      <c r="T51" s="60"/>
    </row>
    <row r="52" spans="20:20" x14ac:dyDescent="0.3">
      <c r="T52" s="60"/>
    </row>
    <row r="55" spans="20:20" x14ac:dyDescent="0.3">
      <c r="T55" s="41"/>
    </row>
    <row r="56" spans="20:20" x14ac:dyDescent="0.3">
      <c r="T56" s="41"/>
    </row>
    <row r="58" spans="20:20" x14ac:dyDescent="0.3">
      <c r="T58" s="41"/>
    </row>
    <row r="59" spans="20:20" x14ac:dyDescent="0.3">
      <c r="T59" s="41"/>
    </row>
    <row r="60" spans="20:20" x14ac:dyDescent="0.3">
      <c r="T60" s="41"/>
    </row>
    <row r="61" spans="20:20" x14ac:dyDescent="0.3">
      <c r="T61" s="41"/>
    </row>
    <row r="62" spans="20:20" x14ac:dyDescent="0.3">
      <c r="T62" s="41"/>
    </row>
    <row r="63" spans="20:20" x14ac:dyDescent="0.3">
      <c r="T63" s="41"/>
    </row>
    <row r="64" spans="20:20" x14ac:dyDescent="0.3">
      <c r="T64" s="41"/>
    </row>
    <row r="65" spans="20:20" x14ac:dyDescent="0.3">
      <c r="T65" s="41"/>
    </row>
    <row r="66" spans="20:20" x14ac:dyDescent="0.3">
      <c r="T66" s="41"/>
    </row>
    <row r="67" spans="20:20" x14ac:dyDescent="0.3">
      <c r="T67" s="41"/>
    </row>
    <row r="68" spans="20:20" x14ac:dyDescent="0.3">
      <c r="T68" s="41"/>
    </row>
    <row r="69" spans="20:20" x14ac:dyDescent="0.3">
      <c r="T69" s="41"/>
    </row>
    <row r="70" spans="20:20" x14ac:dyDescent="0.3">
      <c r="T70" s="62"/>
    </row>
    <row r="71" spans="20:20" x14ac:dyDescent="0.3">
      <c r="T71" s="62"/>
    </row>
    <row r="72" spans="20:20" x14ac:dyDescent="0.3">
      <c r="T72" s="62"/>
    </row>
    <row r="73" spans="20:20" x14ac:dyDescent="0.3">
      <c r="T73" s="62"/>
    </row>
    <row r="74" spans="20:20" x14ac:dyDescent="0.3">
      <c r="T74" s="62"/>
    </row>
    <row r="75" spans="20:20" x14ac:dyDescent="0.3">
      <c r="T75" s="62"/>
    </row>
    <row r="76" spans="20:20" x14ac:dyDescent="0.3">
      <c r="T76" s="62"/>
    </row>
    <row r="77" spans="20:20" x14ac:dyDescent="0.3">
      <c r="T77" s="62"/>
    </row>
    <row r="78" spans="20:20" x14ac:dyDescent="0.3">
      <c r="T78" s="62"/>
    </row>
    <row r="79" spans="20:20" x14ac:dyDescent="0.3">
      <c r="T79" s="62"/>
    </row>
    <row r="80" spans="20:20" x14ac:dyDescent="0.3">
      <c r="T80" s="62"/>
    </row>
    <row r="81" spans="20:20" x14ac:dyDescent="0.3">
      <c r="T81" s="62"/>
    </row>
    <row r="82" spans="20:20" x14ac:dyDescent="0.3">
      <c r="T82" s="62"/>
    </row>
    <row r="83" spans="20:20" ht="15" customHeight="1" x14ac:dyDescent="0.3">
      <c r="T83" s="62"/>
    </row>
    <row r="84" spans="20:20" x14ac:dyDescent="0.3">
      <c r="T84" s="62"/>
    </row>
    <row r="85" spans="20:20" x14ac:dyDescent="0.3">
      <c r="T85" s="62"/>
    </row>
    <row r="86" spans="20:20" x14ac:dyDescent="0.3">
      <c r="T86" s="62"/>
    </row>
    <row r="87" spans="20:20" x14ac:dyDescent="0.3">
      <c r="T87" s="62"/>
    </row>
    <row r="88" spans="20:20" x14ac:dyDescent="0.3">
      <c r="T88" s="62"/>
    </row>
    <row r="89" spans="20:20" x14ac:dyDescent="0.3">
      <c r="T89" s="62"/>
    </row>
    <row r="90" spans="20:20" x14ac:dyDescent="0.3">
      <c r="T90" s="62"/>
    </row>
    <row r="91" spans="20:20" x14ac:dyDescent="0.3">
      <c r="T91" s="62"/>
    </row>
    <row r="92" spans="20:20" x14ac:dyDescent="0.3">
      <c r="T92" s="62"/>
    </row>
    <row r="93" spans="20:20" x14ac:dyDescent="0.3">
      <c r="T93" s="62"/>
    </row>
    <row r="94" spans="20:20" x14ac:dyDescent="0.3">
      <c r="T94" s="62"/>
    </row>
    <row r="95" spans="20:20" x14ac:dyDescent="0.3">
      <c r="T95" s="62"/>
    </row>
    <row r="96" spans="20:20" x14ac:dyDescent="0.3">
      <c r="T96" s="62"/>
    </row>
    <row r="97" spans="20:20" x14ac:dyDescent="0.3">
      <c r="T97" s="62"/>
    </row>
    <row r="98" spans="20:20" x14ac:dyDescent="0.3">
      <c r="T98" s="62"/>
    </row>
    <row r="99" spans="20:20" x14ac:dyDescent="0.3">
      <c r="T99" s="62"/>
    </row>
    <row r="100" spans="20:20" x14ac:dyDescent="0.3">
      <c r="T100" s="62"/>
    </row>
    <row r="101" spans="20:20" x14ac:dyDescent="0.3">
      <c r="T101" s="62"/>
    </row>
    <row r="102" spans="20:20" x14ac:dyDescent="0.3">
      <c r="T102" s="62"/>
    </row>
    <row r="103" spans="20:20" x14ac:dyDescent="0.3">
      <c r="T103" s="62"/>
    </row>
    <row r="104" spans="20:20" x14ac:dyDescent="0.3">
      <c r="T104" s="62"/>
    </row>
    <row r="105" spans="20:20" x14ac:dyDescent="0.3">
      <c r="T105" s="62"/>
    </row>
    <row r="106" spans="20:20" x14ac:dyDescent="0.3">
      <c r="T106" s="62"/>
    </row>
    <row r="107" spans="20:20" x14ac:dyDescent="0.3">
      <c r="T107" s="62"/>
    </row>
    <row r="108" spans="20:20" x14ac:dyDescent="0.3">
      <c r="T108" s="62"/>
    </row>
    <row r="109" spans="20:20" x14ac:dyDescent="0.3">
      <c r="T109" s="62"/>
    </row>
    <row r="110" spans="20:20" x14ac:dyDescent="0.3">
      <c r="T110" s="62"/>
    </row>
    <row r="111" spans="20:20" x14ac:dyDescent="0.3">
      <c r="T111" s="62"/>
    </row>
    <row r="112" spans="20:20" x14ac:dyDescent="0.3">
      <c r="T112" s="62"/>
    </row>
    <row r="113" spans="20:20" x14ac:dyDescent="0.3">
      <c r="T113" s="62"/>
    </row>
    <row r="114" spans="20:20" x14ac:dyDescent="0.3">
      <c r="T114" s="62"/>
    </row>
    <row r="115" spans="20:20" x14ac:dyDescent="0.3">
      <c r="T115" s="62"/>
    </row>
    <row r="116" spans="20:20" x14ac:dyDescent="0.3">
      <c r="T116" s="16"/>
    </row>
    <row r="117" spans="20:20" x14ac:dyDescent="0.3">
      <c r="T117" s="16"/>
    </row>
    <row r="118" spans="20:20" x14ac:dyDescent="0.3">
      <c r="T118" s="16"/>
    </row>
    <row r="119" spans="20:20" x14ac:dyDescent="0.3">
      <c r="T119" s="16"/>
    </row>
    <row r="120" spans="20:20" x14ac:dyDescent="0.3">
      <c r="T120" s="16"/>
    </row>
    <row r="121" spans="20:20" x14ac:dyDescent="0.3">
      <c r="T121" s="16"/>
    </row>
    <row r="122" spans="20:20" x14ac:dyDescent="0.3">
      <c r="T122" s="16"/>
    </row>
    <row r="123" spans="20:20" x14ac:dyDescent="0.3">
      <c r="T123" s="16"/>
    </row>
    <row r="124" spans="20:20" x14ac:dyDescent="0.3">
      <c r="T124" s="16"/>
    </row>
    <row r="129" spans="2:14" x14ac:dyDescent="0.3">
      <c r="N129" s="41"/>
    </row>
    <row r="130" spans="2:14" x14ac:dyDescent="0.3">
      <c r="B130" s="16"/>
      <c r="C130" s="41"/>
      <c r="D130" s="41"/>
      <c r="E130" s="16"/>
      <c r="F130" s="16"/>
      <c r="G130" s="16"/>
      <c r="H130" s="16"/>
      <c r="I130" s="16"/>
      <c r="J130" s="16"/>
      <c r="K130" s="16"/>
      <c r="L130" s="16"/>
      <c r="N130" s="41"/>
    </row>
    <row r="131" spans="2:14" x14ac:dyDescent="0.3">
      <c r="B131" s="16"/>
      <c r="C131" s="42"/>
      <c r="D131" s="53"/>
      <c r="E131" s="57"/>
      <c r="F131" s="16"/>
      <c r="G131" s="16"/>
      <c r="H131" s="16"/>
      <c r="I131" s="16"/>
      <c r="J131" s="16"/>
      <c r="K131" s="16"/>
      <c r="L131" s="16"/>
      <c r="N131" s="41"/>
    </row>
    <row r="132" spans="2:14" x14ac:dyDescent="0.3">
      <c r="B132" s="16"/>
      <c r="C132" s="42"/>
      <c r="D132" s="53"/>
      <c r="E132" s="57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3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1" orientation="landscape" r:id="rId1"/>
  <headerFooter alignWithMargins="0">
    <oddFooter>&amp;RExhibit JW-9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135"/>
  <sheetViews>
    <sheetView view="pageBreakPreview" zoomScale="75" zoomScaleNormal="85" zoomScaleSheetLayoutView="75" workbookViewId="0">
      <selection activeCell="N20" sqref="N20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2.66406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Licking Valley R.E.C.C.</v>
      </c>
      <c r="N1" s="1"/>
    </row>
    <row r="2" spans="1:19" x14ac:dyDescent="0.3">
      <c r="A2" s="45" t="str">
        <f>List!B7</f>
        <v>Small Commercial</v>
      </c>
      <c r="N2" s="24"/>
      <c r="O2" s="24"/>
      <c r="P2" s="24"/>
      <c r="Q2" s="24"/>
      <c r="R2" s="24"/>
      <c r="S2" s="24"/>
    </row>
    <row r="3" spans="1:19" ht="16.2" thickBot="1" x14ac:dyDescent="0.35">
      <c r="A3" s="161" t="str">
        <f>List!C7</f>
        <v>B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98" t="s">
        <v>17</v>
      </c>
      <c r="E4" s="399"/>
      <c r="F4" s="399"/>
      <c r="G4" s="400"/>
      <c r="H4" s="396"/>
      <c r="I4" s="398" t="s">
        <v>60</v>
      </c>
      <c r="J4" s="400"/>
      <c r="K4" s="117"/>
      <c r="L4" s="396"/>
      <c r="M4" s="24"/>
      <c r="N4" s="24"/>
      <c r="O4" s="24"/>
      <c r="P4" s="398" t="s">
        <v>43</v>
      </c>
      <c r="Q4" s="399"/>
      <c r="R4" s="399"/>
      <c r="S4" s="400"/>
    </row>
    <row r="5" spans="1:19" ht="16.2" thickBot="1" x14ac:dyDescent="0.35">
      <c r="A5" s="44"/>
      <c r="B5" s="68"/>
      <c r="C5" s="396"/>
      <c r="D5" s="401"/>
      <c r="E5" s="402"/>
      <c r="F5" s="402"/>
      <c r="G5" s="403"/>
      <c r="H5" s="396"/>
      <c r="I5" s="401"/>
      <c r="J5" s="403"/>
      <c r="K5" s="117"/>
      <c r="L5" s="396"/>
      <c r="M5" s="44"/>
      <c r="N5" s="68"/>
      <c r="O5" s="396"/>
      <c r="P5" s="401"/>
      <c r="Q5" s="402"/>
      <c r="R5" s="402"/>
      <c r="S5" s="403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7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404" t="s">
        <v>4</v>
      </c>
      <c r="F7" s="404"/>
      <c r="G7" s="5" t="s">
        <v>5</v>
      </c>
      <c r="H7" s="5"/>
      <c r="I7" s="5" t="s">
        <v>4</v>
      </c>
      <c r="J7" s="5" t="s">
        <v>5</v>
      </c>
      <c r="K7" s="116"/>
      <c r="L7" s="5"/>
      <c r="M7" s="5"/>
      <c r="N7" s="5"/>
      <c r="O7" s="5"/>
      <c r="P7" s="5" t="s">
        <v>3</v>
      </c>
      <c r="Q7" s="404" t="s">
        <v>4</v>
      </c>
      <c r="R7" s="404"/>
      <c r="S7" s="5" t="s">
        <v>5</v>
      </c>
    </row>
    <row r="8" spans="1:19" x14ac:dyDescent="0.3">
      <c r="K8" s="117"/>
    </row>
    <row r="9" spans="1:19" x14ac:dyDescent="0.3">
      <c r="K9" s="117"/>
    </row>
    <row r="10" spans="1:19" x14ac:dyDescent="0.3">
      <c r="A10" s="88" t="s">
        <v>8</v>
      </c>
      <c r="K10" s="117"/>
      <c r="M10" s="88" t="s">
        <v>8</v>
      </c>
    </row>
    <row r="11" spans="1:19" x14ac:dyDescent="0.3">
      <c r="D11" s="127" t="s">
        <v>47</v>
      </c>
      <c r="E11" s="127" t="s">
        <v>48</v>
      </c>
      <c r="I11" s="127" t="s">
        <v>48</v>
      </c>
      <c r="K11" s="117"/>
      <c r="P11" s="127" t="s">
        <v>47</v>
      </c>
      <c r="Q11" s="127" t="s">
        <v>48</v>
      </c>
    </row>
    <row r="12" spans="1:19" x14ac:dyDescent="0.3">
      <c r="B12" s="2" t="s">
        <v>59</v>
      </c>
      <c r="D12" s="28">
        <f>Billings!P90</f>
        <v>10360</v>
      </c>
      <c r="E12" s="8">
        <f>'Present and Proposed Rates'!F15</f>
        <v>28.75</v>
      </c>
      <c r="G12" s="10">
        <f>D12*E12</f>
        <v>297850</v>
      </c>
      <c r="H12" s="10"/>
      <c r="I12" s="131">
        <f>'Present and Proposed Rates'!G15</f>
        <v>28.75</v>
      </c>
      <c r="J12" s="10">
        <f>I12*D12</f>
        <v>297850</v>
      </c>
      <c r="K12" s="118"/>
      <c r="L12" s="10"/>
      <c r="N12" s="2" t="s">
        <v>54</v>
      </c>
      <c r="P12" s="28">
        <f>D12</f>
        <v>10360</v>
      </c>
      <c r="Q12" s="8">
        <f>'Present and Proposed Rates'!H15</f>
        <v>28.75</v>
      </c>
      <c r="S12" s="10">
        <f>P12*Q12</f>
        <v>297850</v>
      </c>
    </row>
    <row r="13" spans="1:19" x14ac:dyDescent="0.3">
      <c r="D13" s="7"/>
      <c r="G13" s="10"/>
      <c r="H13" s="10"/>
      <c r="I13" s="40"/>
      <c r="J13" s="10"/>
      <c r="K13" s="118"/>
      <c r="L13" s="10"/>
      <c r="P13" s="7"/>
      <c r="S13" s="10"/>
    </row>
    <row r="14" spans="1:19" x14ac:dyDescent="0.3">
      <c r="A14" s="1" t="s">
        <v>6</v>
      </c>
      <c r="D14" s="7"/>
      <c r="G14" s="10"/>
      <c r="H14" s="10"/>
      <c r="I14" s="40"/>
      <c r="J14" s="10"/>
      <c r="K14" s="118"/>
      <c r="L14" s="10"/>
      <c r="M14" s="1" t="s">
        <v>6</v>
      </c>
      <c r="P14" s="133"/>
      <c r="Q14" s="40"/>
      <c r="S14" s="10"/>
    </row>
    <row r="15" spans="1:19" x14ac:dyDescent="0.3">
      <c r="D15" s="128" t="s">
        <v>7</v>
      </c>
      <c r="E15" s="129" t="s">
        <v>9</v>
      </c>
      <c r="G15" s="10"/>
      <c r="H15" s="10"/>
      <c r="I15" s="129" t="s">
        <v>9</v>
      </c>
      <c r="J15" s="10"/>
      <c r="K15" s="118"/>
      <c r="L15" s="10"/>
      <c r="P15" s="128" t="s">
        <v>7</v>
      </c>
      <c r="Q15" s="129" t="s">
        <v>9</v>
      </c>
      <c r="S15" s="10"/>
    </row>
    <row r="16" spans="1:19" x14ac:dyDescent="0.3">
      <c r="B16" s="2" t="s">
        <v>79</v>
      </c>
      <c r="D16" s="28">
        <f>Billings!P98</f>
        <v>9952200</v>
      </c>
      <c r="E16" s="29">
        <f>'Present and Proposed Rates'!F16</f>
        <v>8.0460000000000004E-2</v>
      </c>
      <c r="F16" s="16"/>
      <c r="G16" s="15">
        <f>D16*E16</f>
        <v>800754.01199999999</v>
      </c>
      <c r="H16" s="15"/>
      <c r="I16" s="130">
        <f>'Present and Proposed Rates'!G16</f>
        <v>7.8850000000000003E-2</v>
      </c>
      <c r="J16" s="10">
        <f>I16*D16</f>
        <v>784730.97000000009</v>
      </c>
      <c r="K16" s="118"/>
      <c r="L16" s="15"/>
      <c r="N16" s="2" t="s">
        <v>79</v>
      </c>
      <c r="P16" s="28">
        <f>D16</f>
        <v>9952200</v>
      </c>
      <c r="Q16" s="29">
        <f>'Present and Proposed Rates'!H16</f>
        <v>7.8850000000000003E-2</v>
      </c>
      <c r="R16" s="16"/>
      <c r="S16" s="15">
        <f>P16*Q16</f>
        <v>784730.97000000009</v>
      </c>
    </row>
    <row r="17" spans="1:22" x14ac:dyDescent="0.3">
      <c r="A17" s="1"/>
      <c r="B17" s="16"/>
      <c r="C17" s="234"/>
      <c r="D17" s="235"/>
      <c r="E17" s="16"/>
      <c r="F17" s="16"/>
      <c r="G17" s="16"/>
      <c r="H17" s="16"/>
      <c r="I17" s="16"/>
      <c r="J17" s="16"/>
      <c r="K17" s="11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3">
      <c r="A18" s="1"/>
      <c r="B18" s="45"/>
      <c r="C18" s="45"/>
      <c r="D18" s="45"/>
      <c r="E18" s="45"/>
      <c r="F18" s="45"/>
      <c r="G18" s="45"/>
      <c r="H18" s="45"/>
      <c r="I18" s="45"/>
      <c r="J18" s="45"/>
      <c r="K18" s="123"/>
      <c r="L18" s="45"/>
      <c r="M18" s="45"/>
      <c r="N18" s="45"/>
      <c r="O18" s="45"/>
      <c r="P18" s="45"/>
      <c r="Q18" s="45"/>
      <c r="R18" s="45"/>
      <c r="S18" s="45"/>
      <c r="T18" s="45"/>
      <c r="U18" s="45"/>
    </row>
    <row r="19" spans="1:22" x14ac:dyDescent="0.3">
      <c r="A19" s="1" t="s">
        <v>52</v>
      </c>
      <c r="B19" s="45"/>
      <c r="C19" s="83"/>
      <c r="D19" s="46"/>
      <c r="E19" s="50"/>
      <c r="F19" s="24"/>
      <c r="G19" s="15"/>
      <c r="H19" s="15"/>
      <c r="I19" s="15"/>
      <c r="J19" s="15"/>
      <c r="K19" s="119"/>
      <c r="L19" s="48"/>
      <c r="M19" s="1" t="s">
        <v>52</v>
      </c>
      <c r="N19" s="45"/>
      <c r="O19" s="83"/>
      <c r="P19" s="46"/>
      <c r="Q19" s="50"/>
      <c r="R19" s="24"/>
      <c r="S19" s="15"/>
    </row>
    <row r="20" spans="1:22" x14ac:dyDescent="0.3">
      <c r="A20" s="1"/>
      <c r="B20" s="24" t="s">
        <v>46</v>
      </c>
      <c r="C20" s="83"/>
      <c r="D20" s="46"/>
      <c r="E20" s="50"/>
      <c r="F20" s="24"/>
      <c r="G20" s="15">
        <f>Billings!P122</f>
        <v>-43752.875000000007</v>
      </c>
      <c r="H20" s="15"/>
      <c r="I20" s="15"/>
      <c r="J20" s="15">
        <f>G20</f>
        <v>-43752.875000000007</v>
      </c>
      <c r="K20" s="119"/>
      <c r="L20" s="48"/>
      <c r="M20" s="1"/>
      <c r="N20" s="24" t="s">
        <v>46</v>
      </c>
      <c r="O20" s="83"/>
      <c r="P20" s="46"/>
      <c r="Q20" s="50"/>
      <c r="R20" s="24"/>
      <c r="S20" s="15">
        <f>G20</f>
        <v>-43752.875000000007</v>
      </c>
    </row>
    <row r="21" spans="1:22" x14ac:dyDescent="0.3">
      <c r="A21" s="1"/>
      <c r="B21" s="24" t="s">
        <v>53</v>
      </c>
      <c r="C21" s="83"/>
      <c r="D21" s="46"/>
      <c r="E21" s="50"/>
      <c r="F21" s="24"/>
      <c r="G21" s="48">
        <f>Billings!P130</f>
        <v>106150.24</v>
      </c>
      <c r="H21" s="48"/>
      <c r="I21" s="48"/>
      <c r="J21" s="15">
        <f>G21</f>
        <v>106150.24</v>
      </c>
      <c r="K21" s="119"/>
      <c r="L21" s="48"/>
      <c r="M21" s="1"/>
      <c r="N21" s="24" t="s">
        <v>53</v>
      </c>
      <c r="O21" s="83"/>
      <c r="P21" s="46"/>
      <c r="Q21" s="50"/>
      <c r="R21" s="24"/>
      <c r="S21" s="15">
        <f>G21</f>
        <v>106150.24</v>
      </c>
    </row>
    <row r="22" spans="1:22" x14ac:dyDescent="0.3">
      <c r="A22" s="1"/>
      <c r="B22" s="24"/>
      <c r="C22" s="83"/>
      <c r="D22" s="46"/>
      <c r="E22" s="50"/>
      <c r="F22" s="24"/>
      <c r="G22" s="48"/>
      <c r="H22" s="48"/>
      <c r="I22" s="48"/>
      <c r="J22" s="15"/>
      <c r="K22" s="119"/>
      <c r="L22" s="48"/>
      <c r="M22" s="1"/>
      <c r="N22" s="24"/>
      <c r="O22" s="83"/>
      <c r="P22" s="46"/>
      <c r="Q22" s="50"/>
      <c r="R22" s="24"/>
      <c r="S22" s="15"/>
    </row>
    <row r="23" spans="1:22" x14ac:dyDescent="0.3">
      <c r="A23" s="1"/>
      <c r="D23" s="22"/>
      <c r="G23" s="15"/>
      <c r="H23" s="15"/>
      <c r="I23" s="15"/>
      <c r="J23" s="15"/>
      <c r="K23" s="118"/>
      <c r="L23" s="15"/>
      <c r="M23" s="1"/>
      <c r="S23" s="15"/>
    </row>
    <row r="24" spans="1:22" ht="16.2" thickBot="1" x14ac:dyDescent="0.35">
      <c r="A24" s="1" t="s">
        <v>35</v>
      </c>
      <c r="G24" s="21">
        <f>SUM(G12:G22)</f>
        <v>1161001.3770000001</v>
      </c>
      <c r="H24" s="15"/>
      <c r="I24" s="15"/>
      <c r="J24" s="21">
        <f>SUM(J12:J21)</f>
        <v>1144978.3350000002</v>
      </c>
      <c r="K24" s="118"/>
      <c r="L24" s="15"/>
      <c r="M24" s="1" t="s">
        <v>35</v>
      </c>
      <c r="S24" s="21">
        <f>SUM(S12:S21)</f>
        <v>1144978.3350000002</v>
      </c>
    </row>
    <row r="25" spans="1:22" ht="16.2" thickTop="1" x14ac:dyDescent="0.3">
      <c r="A25" s="1"/>
      <c r="B25" s="1"/>
      <c r="G25" s="15"/>
      <c r="H25" s="15"/>
      <c r="I25" s="15"/>
      <c r="J25" s="15"/>
      <c r="K25" s="118"/>
      <c r="L25" s="15"/>
      <c r="M25" s="1"/>
      <c r="N25" s="1"/>
      <c r="S25" s="15"/>
    </row>
    <row r="26" spans="1:22" x14ac:dyDescent="0.3">
      <c r="A26" s="32" t="s">
        <v>14</v>
      </c>
      <c r="B26" s="9"/>
      <c r="G26" s="10">
        <f>Billings!P114</f>
        <v>1148085.9000000001</v>
      </c>
      <c r="H26" s="10"/>
      <c r="I26" s="10"/>
      <c r="J26" s="10"/>
      <c r="K26" s="120"/>
      <c r="L26" s="10"/>
      <c r="M26" s="69" t="s">
        <v>61</v>
      </c>
      <c r="N26" s="9"/>
      <c r="S26" s="27">
        <f>S24-J24</f>
        <v>0</v>
      </c>
    </row>
    <row r="27" spans="1:22" x14ac:dyDescent="0.3">
      <c r="A27" s="9"/>
      <c r="B27" s="9"/>
      <c r="G27" s="9"/>
      <c r="H27" s="9"/>
      <c r="I27" s="9"/>
      <c r="J27" s="9"/>
      <c r="K27" s="121"/>
      <c r="L27" s="9"/>
      <c r="M27" s="36"/>
      <c r="N27" s="9"/>
      <c r="S27" s="9"/>
    </row>
    <row r="28" spans="1:22" x14ac:dyDescent="0.3">
      <c r="A28" s="32" t="s">
        <v>10</v>
      </c>
      <c r="B28" s="9"/>
      <c r="G28" s="19">
        <f>G24-G26</f>
        <v>12915.476999999955</v>
      </c>
      <c r="H28" s="19"/>
      <c r="I28" s="19"/>
      <c r="J28" s="19">
        <f>J24-G24</f>
        <v>-16023.041999999899</v>
      </c>
      <c r="K28" s="118"/>
      <c r="L28" s="19"/>
      <c r="M28" s="69" t="s">
        <v>62</v>
      </c>
      <c r="N28" s="9"/>
      <c r="S28" s="84">
        <f>S26/J24</f>
        <v>0</v>
      </c>
    </row>
    <row r="29" spans="1:22" x14ac:dyDescent="0.3">
      <c r="A29" s="9"/>
      <c r="B29" s="9"/>
      <c r="G29" s="10"/>
      <c r="H29" s="10"/>
      <c r="I29" s="10"/>
      <c r="J29" s="10"/>
      <c r="K29" s="122"/>
      <c r="L29" s="10"/>
      <c r="M29" s="24"/>
      <c r="N29" s="9"/>
      <c r="S29" s="10"/>
    </row>
    <row r="30" spans="1:22" x14ac:dyDescent="0.3">
      <c r="A30" s="32" t="s">
        <v>16</v>
      </c>
      <c r="B30" s="9"/>
      <c r="G30" s="20">
        <f>G28/G26</f>
        <v>1.1249573747051465E-2</v>
      </c>
      <c r="H30" s="20"/>
      <c r="I30" s="20"/>
      <c r="J30" s="20">
        <f>J28/G26</f>
        <v>-1.3956309366746772E-2</v>
      </c>
      <c r="K30" s="118"/>
      <c r="L30" s="20"/>
      <c r="M30" s="45" t="s">
        <v>38</v>
      </c>
      <c r="N30" s="9"/>
      <c r="S30" s="38">
        <f>S26/P12</f>
        <v>0</v>
      </c>
    </row>
    <row r="31" spans="1:22" x14ac:dyDescent="0.3">
      <c r="A31" s="32"/>
      <c r="B31" s="9"/>
      <c r="D31" s="13">
        <f>D16/D12</f>
        <v>960.63706563706569</v>
      </c>
      <c r="G31" s="20"/>
      <c r="H31" s="20"/>
      <c r="I31" s="20"/>
      <c r="J31" s="20"/>
      <c r="K31" s="20"/>
      <c r="L31" s="20"/>
      <c r="M31" s="32"/>
      <c r="N31" s="9"/>
      <c r="S31" s="20"/>
    </row>
    <row r="32" spans="1:22" x14ac:dyDescent="0.3">
      <c r="A32" s="32"/>
      <c r="B32" s="9"/>
      <c r="G32" s="126">
        <f>G12+G16</f>
        <v>1098604.0120000001</v>
      </c>
      <c r="H32" s="20"/>
      <c r="I32" s="20"/>
      <c r="J32" s="20"/>
      <c r="K32" s="20"/>
      <c r="L32" s="20"/>
      <c r="M32" s="32"/>
      <c r="N32" s="9"/>
      <c r="S32" s="20"/>
    </row>
    <row r="33" spans="1:19" x14ac:dyDescent="0.3">
      <c r="A33" s="32"/>
      <c r="B33" s="9"/>
      <c r="G33" s="126"/>
      <c r="H33" s="20"/>
      <c r="I33" s="20"/>
      <c r="J33" s="20"/>
      <c r="K33" s="20"/>
      <c r="L33" s="20"/>
      <c r="M33" s="32"/>
      <c r="N33" s="9"/>
      <c r="S33" s="20"/>
    </row>
    <row r="34" spans="1:19" x14ac:dyDescent="0.3">
      <c r="A34" s="32"/>
      <c r="B34" s="9"/>
      <c r="G34" s="126"/>
      <c r="H34" s="20"/>
      <c r="I34" s="20"/>
      <c r="J34" s="20"/>
      <c r="K34" s="20"/>
      <c r="L34" s="20"/>
      <c r="M34" s="32"/>
      <c r="N34" s="9"/>
      <c r="S34" s="20"/>
    </row>
    <row r="35" spans="1:19" x14ac:dyDescent="0.3">
      <c r="A35" s="32"/>
      <c r="B35" s="9"/>
      <c r="G35" s="30"/>
      <c r="H35" s="20"/>
      <c r="I35" s="20"/>
      <c r="J35" s="20"/>
      <c r="K35" s="20"/>
      <c r="L35" s="20"/>
      <c r="M35" s="32"/>
      <c r="N35" s="9"/>
      <c r="S35" s="20"/>
    </row>
    <row r="36" spans="1:19" x14ac:dyDescent="0.3">
      <c r="A36" s="32"/>
      <c r="B36" s="9"/>
      <c r="G36" s="20"/>
      <c r="H36" s="20"/>
      <c r="I36" s="20"/>
      <c r="J36" s="20"/>
      <c r="K36" s="20"/>
      <c r="L36" s="20"/>
      <c r="M36" s="32"/>
      <c r="N36" s="9"/>
      <c r="S36" s="20"/>
    </row>
    <row r="37" spans="1:19" ht="18.75" customHeight="1" x14ac:dyDescent="0.3">
      <c r="A37" s="32"/>
      <c r="B37" s="10"/>
      <c r="G37" s="20"/>
      <c r="H37" s="20"/>
      <c r="I37" s="20"/>
      <c r="J37" s="20"/>
      <c r="K37" s="20"/>
      <c r="L37" s="20"/>
      <c r="N37" s="24"/>
    </row>
    <row r="38" spans="1:19" x14ac:dyDescent="0.3">
      <c r="E38" s="10"/>
      <c r="N38" s="24"/>
    </row>
    <row r="52" ht="16.5" customHeight="1" x14ac:dyDescent="0.3"/>
    <row r="85" ht="15" customHeight="1" x14ac:dyDescent="0.3"/>
    <row r="131" spans="2:14" x14ac:dyDescent="0.3">
      <c r="N131" s="41"/>
    </row>
    <row r="132" spans="2:14" x14ac:dyDescent="0.3">
      <c r="B132" s="16"/>
      <c r="C132" s="41"/>
      <c r="D132" s="41"/>
      <c r="E132" s="16"/>
      <c r="F132" s="16"/>
      <c r="G132" s="16"/>
      <c r="H132" s="16"/>
      <c r="I132" s="16"/>
      <c r="J132" s="16"/>
      <c r="K132" s="16"/>
      <c r="L132" s="16"/>
      <c r="N132" s="41"/>
    </row>
    <row r="133" spans="2:14" x14ac:dyDescent="0.3">
      <c r="B133" s="16"/>
      <c r="C133" s="42"/>
      <c r="D133" s="53"/>
      <c r="E133" s="57"/>
      <c r="F133" s="16"/>
      <c r="G133" s="16"/>
      <c r="H133" s="16"/>
      <c r="I133" s="16"/>
      <c r="J133" s="16"/>
      <c r="K133" s="16"/>
      <c r="L133" s="16"/>
      <c r="N133" s="41"/>
    </row>
    <row r="134" spans="2:14" x14ac:dyDescent="0.3">
      <c r="B134" s="16"/>
      <c r="C134" s="42"/>
      <c r="D134" s="53"/>
      <c r="E134" s="57"/>
      <c r="F134" s="16"/>
      <c r="G134" s="16"/>
      <c r="H134" s="16"/>
      <c r="I134" s="16"/>
      <c r="J134" s="16"/>
      <c r="K134" s="16"/>
      <c r="L134" s="16"/>
      <c r="N134" s="41"/>
    </row>
    <row r="135" spans="2:14" x14ac:dyDescent="0.3">
      <c r="B135" s="16"/>
      <c r="C135" s="42"/>
      <c r="D135" s="53"/>
      <c r="E135" s="57"/>
      <c r="F135" s="16"/>
      <c r="G135" s="16"/>
      <c r="H135" s="16"/>
      <c r="I135" s="16"/>
      <c r="J135" s="16"/>
      <c r="K135" s="16"/>
      <c r="L135" s="16"/>
      <c r="N135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S138"/>
  <sheetViews>
    <sheetView view="pageBreakPreview" zoomScale="75" zoomScaleNormal="85" zoomScaleSheetLayoutView="75" workbookViewId="0">
      <selection activeCell="N20" sqref="N20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2.6640625" style="2" bestFit="1" customWidth="1"/>
    <col min="5" max="5" width="14.5546875" style="2" bestFit="1" customWidth="1"/>
    <col min="6" max="6" width="3.109375" style="2" customWidth="1"/>
    <col min="7" max="7" width="15" style="2" customWidth="1"/>
    <col min="8" max="8" width="3" style="2" customWidth="1"/>
    <col min="9" max="9" width="13.88671875" style="2" customWidth="1"/>
    <col min="10" max="10" width="17.33203125" style="2" bestFit="1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Licking Valley R.E.C.C.</v>
      </c>
      <c r="N1" s="1"/>
    </row>
    <row r="2" spans="1:19" x14ac:dyDescent="0.3">
      <c r="A2" s="45" t="str">
        <f>List!B8</f>
        <v>Large Commercial</v>
      </c>
      <c r="N2" s="24"/>
      <c r="O2" s="24"/>
      <c r="P2" s="24"/>
      <c r="Q2" s="24"/>
      <c r="R2" s="24"/>
      <c r="S2" s="24"/>
    </row>
    <row r="3" spans="1:19" ht="16.2" thickBot="1" x14ac:dyDescent="0.35">
      <c r="A3" s="161" t="str">
        <f>List!C8</f>
        <v>LP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98" t="s">
        <v>17</v>
      </c>
      <c r="E4" s="399"/>
      <c r="F4" s="399"/>
      <c r="G4" s="400"/>
      <c r="H4" s="396"/>
      <c r="I4" s="398" t="s">
        <v>60</v>
      </c>
      <c r="J4" s="400"/>
      <c r="K4" s="117"/>
      <c r="L4" s="396"/>
      <c r="M4" s="24"/>
      <c r="N4" s="24"/>
      <c r="O4" s="24"/>
      <c r="P4" s="398" t="s">
        <v>43</v>
      </c>
      <c r="Q4" s="399"/>
      <c r="R4" s="399"/>
      <c r="S4" s="400"/>
    </row>
    <row r="5" spans="1:19" ht="16.2" thickBot="1" x14ac:dyDescent="0.35">
      <c r="A5" s="44"/>
      <c r="B5" s="68"/>
      <c r="C5" s="396"/>
      <c r="D5" s="401"/>
      <c r="E5" s="402"/>
      <c r="F5" s="402"/>
      <c r="G5" s="403"/>
      <c r="H5" s="396"/>
      <c r="I5" s="401"/>
      <c r="J5" s="403"/>
      <c r="K5" s="117"/>
      <c r="L5" s="396"/>
      <c r="M5" s="44"/>
      <c r="N5" s="68"/>
      <c r="O5" s="396"/>
      <c r="P5" s="401"/>
      <c r="Q5" s="402"/>
      <c r="R5" s="402"/>
      <c r="S5" s="403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7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404" t="s">
        <v>4</v>
      </c>
      <c r="F7" s="404"/>
      <c r="G7" s="5" t="s">
        <v>5</v>
      </c>
      <c r="H7" s="5"/>
      <c r="I7" s="5" t="s">
        <v>4</v>
      </c>
      <c r="J7" s="5" t="s">
        <v>5</v>
      </c>
      <c r="K7" s="116"/>
      <c r="L7" s="5"/>
      <c r="M7" s="5"/>
      <c r="N7" s="5"/>
      <c r="O7" s="5"/>
      <c r="P7" s="5" t="s">
        <v>3</v>
      </c>
      <c r="Q7" s="404" t="s">
        <v>4</v>
      </c>
      <c r="R7" s="404"/>
      <c r="S7" s="5" t="s">
        <v>5</v>
      </c>
    </row>
    <row r="8" spans="1:19" x14ac:dyDescent="0.3">
      <c r="K8" s="117"/>
    </row>
    <row r="9" spans="1:19" x14ac:dyDescent="0.3">
      <c r="K9" s="117"/>
    </row>
    <row r="10" spans="1:19" x14ac:dyDescent="0.3">
      <c r="A10" s="88" t="s">
        <v>8</v>
      </c>
      <c r="K10" s="117"/>
      <c r="M10" s="88" t="s">
        <v>8</v>
      </c>
    </row>
    <row r="11" spans="1:19" x14ac:dyDescent="0.3">
      <c r="D11" s="127" t="s">
        <v>47</v>
      </c>
      <c r="E11" s="127" t="s">
        <v>48</v>
      </c>
      <c r="I11" s="127" t="s">
        <v>48</v>
      </c>
      <c r="K11" s="117"/>
      <c r="P11" s="127" t="s">
        <v>47</v>
      </c>
      <c r="Q11" s="127" t="s">
        <v>48</v>
      </c>
    </row>
    <row r="12" spans="1:19" x14ac:dyDescent="0.3">
      <c r="B12" s="2" t="s">
        <v>59</v>
      </c>
      <c r="D12" s="28">
        <f>Billings!P91</f>
        <v>2659</v>
      </c>
      <c r="E12" s="8">
        <f>'Present and Proposed Rates'!F19</f>
        <v>71.55</v>
      </c>
      <c r="G12" s="10">
        <f>D12*E12</f>
        <v>190251.44999999998</v>
      </c>
      <c r="H12" s="10"/>
      <c r="I12" s="131">
        <f>'Present and Proposed Rates'!G19</f>
        <v>71.55</v>
      </c>
      <c r="J12" s="10">
        <f>I12*D12</f>
        <v>190251.44999999998</v>
      </c>
      <c r="K12" s="118"/>
      <c r="L12" s="10"/>
      <c r="N12" s="2" t="str">
        <f>B12</f>
        <v>Test Year</v>
      </c>
      <c r="P12" s="28">
        <f>D12</f>
        <v>2659</v>
      </c>
      <c r="Q12" s="8">
        <f>'Present and Proposed Rates'!H19</f>
        <v>71.55</v>
      </c>
      <c r="S12" s="10">
        <f>P12*Q12</f>
        <v>190251.44999999998</v>
      </c>
    </row>
    <row r="13" spans="1:19" x14ac:dyDescent="0.3">
      <c r="D13" s="7"/>
      <c r="G13" s="10"/>
      <c r="H13" s="10"/>
      <c r="I13" s="40"/>
      <c r="J13" s="10"/>
      <c r="K13" s="118"/>
      <c r="L13" s="10"/>
      <c r="P13" s="7"/>
      <c r="S13" s="10"/>
    </row>
    <row r="14" spans="1:19" x14ac:dyDescent="0.3">
      <c r="A14" s="1" t="s">
        <v>6</v>
      </c>
      <c r="D14" s="7"/>
      <c r="G14" s="10"/>
      <c r="H14" s="10"/>
      <c r="I14" s="40"/>
      <c r="J14" s="10"/>
      <c r="K14" s="118"/>
      <c r="L14" s="10"/>
      <c r="M14" s="1" t="s">
        <v>6</v>
      </c>
      <c r="P14" s="133"/>
      <c r="Q14" s="40"/>
      <c r="S14" s="10"/>
    </row>
    <row r="15" spans="1:19" x14ac:dyDescent="0.3">
      <c r="D15" s="341" t="s">
        <v>7</v>
      </c>
      <c r="E15" s="129" t="s">
        <v>9</v>
      </c>
      <c r="G15" s="10"/>
      <c r="H15" s="10"/>
      <c r="I15" s="129" t="s">
        <v>9</v>
      </c>
      <c r="J15" s="10"/>
      <c r="K15" s="118"/>
      <c r="L15" s="10"/>
      <c r="P15" s="128" t="s">
        <v>7</v>
      </c>
      <c r="Q15" s="129" t="s">
        <v>9</v>
      </c>
      <c r="S15" s="10"/>
    </row>
    <row r="16" spans="1:19" x14ac:dyDescent="0.3">
      <c r="B16" s="2" t="s">
        <v>79</v>
      </c>
      <c r="D16" s="28">
        <f>Billings!P99</f>
        <v>31925800</v>
      </c>
      <c r="E16" s="29">
        <f>'Present and Proposed Rates'!F20</f>
        <v>6.6347000000000003E-2</v>
      </c>
      <c r="F16" s="16"/>
      <c r="G16" s="15">
        <f>D16*E16</f>
        <v>2118181.0526000001</v>
      </c>
      <c r="H16" s="15"/>
      <c r="I16" s="130">
        <f>'Present and Proposed Rates'!G20</f>
        <v>6.4737000000000003E-2</v>
      </c>
      <c r="J16" s="10">
        <f>I16*D16</f>
        <v>2066780.5146000001</v>
      </c>
      <c r="K16" s="118"/>
      <c r="L16" s="15"/>
      <c r="N16" s="2" t="s">
        <v>79</v>
      </c>
      <c r="P16" s="28">
        <f>D16</f>
        <v>31925800</v>
      </c>
      <c r="Q16" s="29">
        <f>'Present and Proposed Rates'!H20</f>
        <v>6.4737000000000003E-2</v>
      </c>
      <c r="R16" s="16"/>
      <c r="S16" s="15">
        <f>P16*Q16</f>
        <v>2066780.5146000001</v>
      </c>
    </row>
    <row r="17" spans="1:19" x14ac:dyDescent="0.3">
      <c r="D17" s="28"/>
      <c r="E17" s="29"/>
      <c r="F17" s="16"/>
      <c r="G17" s="15"/>
      <c r="H17" s="15"/>
      <c r="I17" s="130"/>
      <c r="J17" s="10"/>
      <c r="K17" s="118"/>
      <c r="L17" s="15"/>
      <c r="P17" s="28"/>
      <c r="Q17" s="29"/>
      <c r="R17" s="16"/>
      <c r="S17" s="15"/>
    </row>
    <row r="18" spans="1:19" x14ac:dyDescent="0.3">
      <c r="A18" s="1" t="s">
        <v>49</v>
      </c>
      <c r="D18" s="7"/>
      <c r="G18" s="10"/>
      <c r="H18" s="10"/>
      <c r="I18" s="40"/>
      <c r="J18" s="10"/>
      <c r="K18" s="118"/>
      <c r="L18" s="10"/>
      <c r="M18" s="1" t="s">
        <v>6</v>
      </c>
      <c r="P18" s="133"/>
      <c r="Q18" s="40"/>
      <c r="S18" s="10"/>
    </row>
    <row r="19" spans="1:19" x14ac:dyDescent="0.3">
      <c r="D19" s="128" t="s">
        <v>50</v>
      </c>
      <c r="E19" s="129" t="s">
        <v>140</v>
      </c>
      <c r="G19" s="10"/>
      <c r="H19" s="10"/>
      <c r="I19" s="129" t="s">
        <v>51</v>
      </c>
      <c r="J19" s="10"/>
      <c r="K19" s="118"/>
      <c r="L19" s="10"/>
      <c r="P19" s="128" t="s">
        <v>50</v>
      </c>
      <c r="Q19" s="129" t="s">
        <v>51</v>
      </c>
      <c r="S19" s="10"/>
    </row>
    <row r="20" spans="1:19" x14ac:dyDescent="0.3">
      <c r="B20" s="2" t="s">
        <v>79</v>
      </c>
      <c r="D20" s="28">
        <f>Billings!P107</f>
        <v>127345.35</v>
      </c>
      <c r="E20" s="342">
        <f>'Present and Proposed Rates'!F21</f>
        <v>7.36</v>
      </c>
      <c r="F20" s="16"/>
      <c r="G20" s="15">
        <f>D20*E20</f>
        <v>937261.77600000007</v>
      </c>
      <c r="H20" s="15"/>
      <c r="I20" s="130">
        <f>'Present and Proposed Rates'!G21</f>
        <v>7.36</v>
      </c>
      <c r="J20" s="10">
        <f>I20*D20</f>
        <v>937261.77600000007</v>
      </c>
      <c r="K20" s="118"/>
      <c r="L20" s="15"/>
      <c r="N20" s="2" t="s">
        <v>79</v>
      </c>
      <c r="P20" s="28">
        <f>D20</f>
        <v>127345.35</v>
      </c>
      <c r="Q20" s="29">
        <f>'Present and Proposed Rates'!H21</f>
        <v>7.36</v>
      </c>
      <c r="R20" s="16"/>
      <c r="S20" s="15">
        <f>P20*Q20</f>
        <v>937261.77600000007</v>
      </c>
    </row>
    <row r="21" spans="1:19" x14ac:dyDescent="0.3">
      <c r="D21" s="28"/>
      <c r="E21" s="29"/>
      <c r="F21" s="16"/>
      <c r="G21" s="15"/>
      <c r="H21" s="15"/>
      <c r="I21" s="130"/>
      <c r="J21" s="10"/>
      <c r="K21" s="118"/>
      <c r="L21" s="15"/>
      <c r="P21" s="28"/>
      <c r="Q21" s="29"/>
      <c r="R21" s="16"/>
      <c r="S21" s="15"/>
    </row>
    <row r="22" spans="1:19" x14ac:dyDescent="0.3">
      <c r="A22" s="1" t="s">
        <v>52</v>
      </c>
      <c r="B22" s="45"/>
      <c r="C22" s="83"/>
      <c r="D22" s="46"/>
      <c r="E22" s="50"/>
      <c r="F22" s="24"/>
      <c r="G22" s="15"/>
      <c r="H22" s="15"/>
      <c r="I22" s="15"/>
      <c r="J22" s="15"/>
      <c r="K22" s="119"/>
      <c r="L22" s="48"/>
      <c r="M22" s="1" t="s">
        <v>52</v>
      </c>
      <c r="N22" s="45"/>
      <c r="O22" s="83"/>
      <c r="P22" s="46"/>
      <c r="Q22" s="50"/>
      <c r="R22" s="24"/>
      <c r="S22" s="15"/>
    </row>
    <row r="23" spans="1:19" x14ac:dyDescent="0.3">
      <c r="A23" s="1"/>
      <c r="B23" s="24" t="s">
        <v>46</v>
      </c>
      <c r="C23" s="83"/>
      <c r="D23" s="46"/>
      <c r="E23" s="50"/>
      <c r="F23" s="24"/>
      <c r="G23" s="15">
        <f>Billings!P123</f>
        <v>-141024.38999999998</v>
      </c>
      <c r="H23" s="15"/>
      <c r="I23" s="15"/>
      <c r="J23" s="15">
        <f>G23</f>
        <v>-141024.38999999998</v>
      </c>
      <c r="K23" s="119"/>
      <c r="L23" s="48"/>
      <c r="M23" s="1"/>
      <c r="N23" s="24" t="s">
        <v>46</v>
      </c>
      <c r="O23" s="83"/>
      <c r="P23" s="46"/>
      <c r="Q23" s="50"/>
      <c r="R23" s="24"/>
      <c r="S23" s="15">
        <f>G23</f>
        <v>-141024.38999999998</v>
      </c>
    </row>
    <row r="24" spans="1:19" x14ac:dyDescent="0.3">
      <c r="A24" s="1"/>
      <c r="B24" s="24" t="s">
        <v>53</v>
      </c>
      <c r="C24" s="83"/>
      <c r="D24" s="46"/>
      <c r="E24" s="50"/>
      <c r="F24" s="24"/>
      <c r="G24" s="48">
        <f>Billings!P131</f>
        <v>307192.31</v>
      </c>
      <c r="H24" s="48"/>
      <c r="I24" s="48"/>
      <c r="J24" s="15">
        <f>G24</f>
        <v>307192.31</v>
      </c>
      <c r="K24" s="119"/>
      <c r="L24" s="48"/>
      <c r="M24" s="1"/>
      <c r="N24" s="24" t="s">
        <v>53</v>
      </c>
      <c r="O24" s="83"/>
      <c r="P24" s="46"/>
      <c r="Q24" s="50"/>
      <c r="R24" s="24"/>
      <c r="S24" s="15">
        <f>G24</f>
        <v>307192.31</v>
      </c>
    </row>
    <row r="25" spans="1:19" x14ac:dyDescent="0.3">
      <c r="A25" s="1"/>
      <c r="B25" s="24" t="s">
        <v>198</v>
      </c>
      <c r="C25" s="83"/>
      <c r="D25" s="46"/>
      <c r="E25" s="50"/>
      <c r="F25" s="24"/>
      <c r="G25" s="48">
        <f>Billings!P245</f>
        <v>-598.41999999999985</v>
      </c>
      <c r="H25" s="48"/>
      <c r="I25" s="48"/>
      <c r="J25" s="15">
        <f>G25</f>
        <v>-598.41999999999985</v>
      </c>
      <c r="K25" s="119"/>
      <c r="L25" s="48"/>
      <c r="M25" s="1"/>
      <c r="N25" s="24" t="str">
        <f>B25</f>
        <v>Primary Discount</v>
      </c>
      <c r="O25" s="83"/>
      <c r="P25" s="46"/>
      <c r="Q25" s="50"/>
      <c r="R25" s="24"/>
      <c r="S25" s="15">
        <f>J25</f>
        <v>-598.41999999999985</v>
      </c>
    </row>
    <row r="26" spans="1:19" x14ac:dyDescent="0.3">
      <c r="A26" s="1"/>
      <c r="D26" s="22"/>
      <c r="G26" s="15"/>
      <c r="H26" s="15"/>
      <c r="I26" s="15"/>
      <c r="J26" s="15"/>
      <c r="K26" s="118"/>
      <c r="L26" s="15"/>
      <c r="M26" s="1"/>
      <c r="S26" s="15"/>
    </row>
    <row r="27" spans="1:19" ht="16.2" thickBot="1" x14ac:dyDescent="0.35">
      <c r="A27" s="1" t="s">
        <v>35</v>
      </c>
      <c r="G27" s="21">
        <f>SUM(G12:G25)</f>
        <v>3411263.7786000003</v>
      </c>
      <c r="H27" s="15"/>
      <c r="I27" s="15"/>
      <c r="J27" s="21">
        <f>SUM(J12:J25)</f>
        <v>3359863.2406000001</v>
      </c>
      <c r="K27" s="118"/>
      <c r="L27" s="15"/>
      <c r="M27" s="1" t="s">
        <v>35</v>
      </c>
      <c r="S27" s="21">
        <f>SUM(S12:S25)</f>
        <v>3359863.2406000001</v>
      </c>
    </row>
    <row r="28" spans="1:19" ht="16.2" thickTop="1" x14ac:dyDescent="0.3">
      <c r="A28" s="1"/>
      <c r="B28" s="1"/>
      <c r="G28" s="15"/>
      <c r="H28" s="15"/>
      <c r="I28" s="15"/>
      <c r="J28" s="15"/>
      <c r="K28" s="118"/>
      <c r="L28" s="15"/>
      <c r="M28" s="1"/>
      <c r="N28" s="1"/>
      <c r="S28" s="15"/>
    </row>
    <row r="29" spans="1:19" x14ac:dyDescent="0.3">
      <c r="A29" s="32" t="s">
        <v>14</v>
      </c>
      <c r="B29" s="9"/>
      <c r="G29" s="10">
        <f>Billings!P115</f>
        <v>3401546.75</v>
      </c>
      <c r="H29" s="10"/>
      <c r="I29" s="10"/>
      <c r="J29" s="10"/>
      <c r="K29" s="120"/>
      <c r="L29" s="10"/>
      <c r="M29" s="69" t="s">
        <v>61</v>
      </c>
      <c r="N29" s="9"/>
      <c r="S29" s="27">
        <f>S27-J27</f>
        <v>0</v>
      </c>
    </row>
    <row r="30" spans="1:19" x14ac:dyDescent="0.3">
      <c r="A30" s="9"/>
      <c r="B30" s="9"/>
      <c r="G30" s="9"/>
      <c r="H30" s="9"/>
      <c r="I30" s="9"/>
      <c r="J30" s="9"/>
      <c r="K30" s="121"/>
      <c r="L30" s="9"/>
      <c r="M30" s="36"/>
      <c r="N30" s="9"/>
      <c r="S30" s="9"/>
    </row>
    <row r="31" spans="1:19" x14ac:dyDescent="0.3">
      <c r="A31" s="32" t="s">
        <v>10</v>
      </c>
      <c r="B31" s="9"/>
      <c r="G31" s="19">
        <f>G27-G29</f>
        <v>9717.0286000003107</v>
      </c>
      <c r="H31" s="19"/>
      <c r="I31" s="19"/>
      <c r="J31" s="19">
        <f>J27-G27</f>
        <v>-51400.538000000175</v>
      </c>
      <c r="K31" s="118"/>
      <c r="L31" s="19"/>
      <c r="M31" s="69" t="s">
        <v>62</v>
      </c>
      <c r="N31" s="9"/>
      <c r="S31" s="84">
        <f>S29/J27</f>
        <v>0</v>
      </c>
    </row>
    <row r="32" spans="1:19" x14ac:dyDescent="0.3">
      <c r="A32" s="9"/>
      <c r="B32" s="9"/>
      <c r="G32" s="10"/>
      <c r="H32" s="10"/>
      <c r="I32" s="10"/>
      <c r="J32" s="10"/>
      <c r="K32" s="122"/>
      <c r="L32" s="10"/>
      <c r="M32" s="24"/>
      <c r="N32" s="9"/>
      <c r="S32" s="10"/>
    </row>
    <row r="33" spans="1:19" x14ac:dyDescent="0.3">
      <c r="A33" s="32" t="s">
        <v>16</v>
      </c>
      <c r="B33" s="9"/>
      <c r="G33" s="20">
        <f>G31/G29</f>
        <v>2.8566500225229332E-3</v>
      </c>
      <c r="H33" s="20"/>
      <c r="I33" s="20"/>
      <c r="J33" s="20">
        <f>J31/G29</f>
        <v>-1.5110930931641665E-2</v>
      </c>
      <c r="K33" s="118"/>
      <c r="L33" s="20"/>
      <c r="M33" s="45" t="s">
        <v>38</v>
      </c>
      <c r="N33" s="9"/>
      <c r="S33" s="38">
        <f>S29/P12</f>
        <v>0</v>
      </c>
    </row>
    <row r="34" spans="1:19" x14ac:dyDescent="0.3">
      <c r="A34" s="32"/>
      <c r="B34" s="9"/>
      <c r="D34" s="17">
        <f>D16/D12</f>
        <v>12006.694245957127</v>
      </c>
      <c r="G34" s="20"/>
      <c r="H34" s="20"/>
      <c r="I34" s="20"/>
      <c r="J34" s="20"/>
      <c r="K34" s="20"/>
      <c r="L34" s="20"/>
      <c r="M34" s="32"/>
      <c r="N34" s="9"/>
      <c r="S34" s="20"/>
    </row>
    <row r="35" spans="1:19" x14ac:dyDescent="0.3">
      <c r="A35" s="32"/>
      <c r="B35" s="9"/>
      <c r="G35" s="126"/>
      <c r="H35" s="20"/>
      <c r="I35" s="20"/>
      <c r="J35" s="20"/>
      <c r="K35" s="20"/>
      <c r="L35" s="20"/>
      <c r="M35" s="32"/>
      <c r="N35" s="9"/>
      <c r="S35" s="20"/>
    </row>
    <row r="36" spans="1:19" x14ac:dyDescent="0.3">
      <c r="A36" s="32"/>
      <c r="B36" s="9"/>
      <c r="G36" s="126">
        <f>G12+G16+G20</f>
        <v>3245694.2786000003</v>
      </c>
      <c r="H36" s="20"/>
      <c r="I36" s="20"/>
      <c r="J36" s="20"/>
      <c r="K36" s="20"/>
      <c r="L36" s="20"/>
      <c r="M36" s="32"/>
      <c r="N36" s="9"/>
      <c r="S36" s="20"/>
    </row>
    <row r="37" spans="1:19" x14ac:dyDescent="0.3">
      <c r="A37" s="32"/>
      <c r="B37" s="9"/>
      <c r="G37" s="126"/>
      <c r="H37" s="20"/>
      <c r="I37" s="20"/>
      <c r="J37" s="20"/>
      <c r="K37" s="20"/>
      <c r="L37" s="20"/>
      <c r="M37" s="32"/>
      <c r="N37" s="9"/>
      <c r="S37" s="20"/>
    </row>
    <row r="38" spans="1:19" x14ac:dyDescent="0.3">
      <c r="A38" s="32"/>
      <c r="B38" s="9"/>
      <c r="G38" s="30"/>
      <c r="H38" s="20"/>
      <c r="I38" s="20"/>
      <c r="J38" s="20"/>
      <c r="K38" s="20"/>
      <c r="L38" s="20"/>
      <c r="M38" s="32"/>
      <c r="N38" s="9"/>
      <c r="S38" s="20"/>
    </row>
    <row r="39" spans="1:19" x14ac:dyDescent="0.3">
      <c r="A39" s="32"/>
      <c r="B39" s="9"/>
      <c r="G39" s="20"/>
      <c r="H39" s="20"/>
      <c r="I39" s="20"/>
      <c r="J39" s="20"/>
      <c r="K39" s="20"/>
      <c r="L39" s="20"/>
      <c r="M39" s="32"/>
      <c r="N39" s="9"/>
      <c r="S39" s="20"/>
    </row>
    <row r="40" spans="1:19" ht="18.75" customHeight="1" x14ac:dyDescent="0.3">
      <c r="A40" s="32"/>
      <c r="B40" s="10"/>
      <c r="G40" s="20"/>
      <c r="H40" s="20"/>
      <c r="I40" s="20"/>
      <c r="J40" s="20"/>
      <c r="K40" s="20"/>
      <c r="L40" s="20"/>
      <c r="N40" s="24"/>
    </row>
    <row r="41" spans="1:19" x14ac:dyDescent="0.3">
      <c r="E41" s="10"/>
      <c r="N41" s="24"/>
    </row>
    <row r="55" ht="16.5" customHeight="1" x14ac:dyDescent="0.3"/>
    <row r="88" ht="15" customHeight="1" x14ac:dyDescent="0.3"/>
    <row r="134" spans="2:14" x14ac:dyDescent="0.3">
      <c r="N134" s="41"/>
    </row>
    <row r="135" spans="2:14" x14ac:dyDescent="0.3">
      <c r="B135" s="16"/>
      <c r="C135" s="41"/>
      <c r="D135" s="41"/>
      <c r="E135" s="16"/>
      <c r="F135" s="16"/>
      <c r="G135" s="16"/>
      <c r="H135" s="16"/>
      <c r="I135" s="16"/>
      <c r="J135" s="16"/>
      <c r="K135" s="16"/>
      <c r="L135" s="16"/>
      <c r="N135" s="41"/>
    </row>
    <row r="136" spans="2:14" x14ac:dyDescent="0.3">
      <c r="B136" s="16"/>
      <c r="C136" s="42"/>
      <c r="D136" s="53"/>
      <c r="E136" s="57"/>
      <c r="F136" s="16"/>
      <c r="G136" s="16"/>
      <c r="H136" s="16"/>
      <c r="I136" s="16"/>
      <c r="J136" s="16"/>
      <c r="K136" s="16"/>
      <c r="L136" s="16"/>
      <c r="N136" s="41"/>
    </row>
    <row r="137" spans="2:14" x14ac:dyDescent="0.3">
      <c r="B137" s="16"/>
      <c r="C137" s="42"/>
      <c r="D137" s="53"/>
      <c r="E137" s="57"/>
      <c r="F137" s="16"/>
      <c r="G137" s="16"/>
      <c r="H137" s="16"/>
      <c r="I137" s="16"/>
      <c r="J137" s="16"/>
      <c r="K137" s="16"/>
      <c r="L137" s="16"/>
      <c r="N137" s="41"/>
    </row>
    <row r="138" spans="2:14" x14ac:dyDescent="0.3">
      <c r="B138" s="16"/>
      <c r="C138" s="42"/>
      <c r="D138" s="53"/>
      <c r="E138" s="57"/>
      <c r="F138" s="16"/>
      <c r="G138" s="16"/>
      <c r="H138" s="16"/>
      <c r="I138" s="16"/>
      <c r="J138" s="16"/>
      <c r="K138" s="16"/>
      <c r="L138" s="16"/>
      <c r="N138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V138"/>
  <sheetViews>
    <sheetView view="pageBreakPreview" zoomScale="75" zoomScaleNormal="85" zoomScaleSheetLayoutView="75" workbookViewId="0">
      <selection activeCell="N20" sqref="N20"/>
    </sheetView>
  </sheetViews>
  <sheetFormatPr defaultColWidth="9.109375" defaultRowHeight="15.6" x14ac:dyDescent="0.3"/>
  <cols>
    <col min="1" max="1" width="4.6640625" style="2" customWidth="1"/>
    <col min="2" max="2" width="23.5546875" style="2" customWidth="1"/>
    <col min="3" max="3" width="2.5546875" style="2" customWidth="1"/>
    <col min="4" max="4" width="12.6640625" style="2" bestFit="1" customWidth="1"/>
    <col min="5" max="5" width="14.5546875" style="2" bestFit="1" customWidth="1"/>
    <col min="6" max="6" width="5.21875" style="2" customWidth="1"/>
    <col min="7" max="7" width="15" style="2" customWidth="1"/>
    <col min="8" max="8" width="3" style="2" customWidth="1"/>
    <col min="9" max="9" width="13.88671875" style="2" customWidth="1"/>
    <col min="10" max="10" width="14.44140625" style="2" customWidth="1"/>
    <col min="11" max="11" width="2" style="2" customWidth="1"/>
    <col min="12" max="12" width="2.88671875" style="2" customWidth="1"/>
    <col min="13" max="13" width="9.88671875" style="2" customWidth="1"/>
    <col min="14" max="14" width="18.33203125" style="2" customWidth="1"/>
    <col min="15" max="15" width="3.44140625" style="2" customWidth="1"/>
    <col min="16" max="16" width="12.6640625" style="2" bestFit="1" customWidth="1"/>
    <col min="17" max="17" width="14.5546875" style="2" bestFit="1" customWidth="1"/>
    <col min="18" max="18" width="4.33203125" style="2" customWidth="1"/>
    <col min="19" max="19" width="15.5546875" style="2" customWidth="1"/>
    <col min="20" max="16384" width="9.109375" style="2"/>
  </cols>
  <sheetData>
    <row r="1" spans="1:19" x14ac:dyDescent="0.3">
      <c r="A1" s="1" t="str">
        <f>'Present and Proposed Rates'!A1</f>
        <v>Licking Valley R.E.C.C.</v>
      </c>
      <c r="N1" s="1"/>
    </row>
    <row r="2" spans="1:19" x14ac:dyDescent="0.3">
      <c r="A2" s="45" t="str">
        <f>List!B9</f>
        <v>Large Comm Rate</v>
      </c>
      <c r="N2" s="24"/>
      <c r="O2" s="24"/>
      <c r="P2" s="24"/>
      <c r="Q2" s="24"/>
      <c r="R2" s="24"/>
      <c r="S2" s="24"/>
    </row>
    <row r="3" spans="1:19" ht="16.2" thickBot="1" x14ac:dyDescent="0.35">
      <c r="A3" s="161" t="str">
        <f>List!C9</f>
        <v>LPR</v>
      </c>
      <c r="B3" s="24"/>
      <c r="C3" s="24"/>
      <c r="N3" s="24"/>
      <c r="O3" s="24"/>
      <c r="P3" s="24"/>
      <c r="Q3" s="24"/>
      <c r="R3" s="24"/>
      <c r="S3" s="24"/>
    </row>
    <row r="4" spans="1:19" x14ac:dyDescent="0.3">
      <c r="A4" s="24"/>
      <c r="B4" s="24"/>
      <c r="C4" s="24"/>
      <c r="D4" s="398" t="s">
        <v>17</v>
      </c>
      <c r="E4" s="399"/>
      <c r="F4" s="399"/>
      <c r="G4" s="400"/>
      <c r="H4" s="396"/>
      <c r="I4" s="398" t="s">
        <v>60</v>
      </c>
      <c r="J4" s="400"/>
      <c r="K4" s="117"/>
      <c r="L4" s="396"/>
      <c r="M4" s="24"/>
      <c r="N4" s="24"/>
      <c r="O4" s="24"/>
      <c r="P4" s="398" t="s">
        <v>43</v>
      </c>
      <c r="Q4" s="399"/>
      <c r="R4" s="399"/>
      <c r="S4" s="400"/>
    </row>
    <row r="5" spans="1:19" ht="16.2" thickBot="1" x14ac:dyDescent="0.35">
      <c r="A5" s="44"/>
      <c r="B5" s="68"/>
      <c r="C5" s="396"/>
      <c r="D5" s="401"/>
      <c r="E5" s="402"/>
      <c r="F5" s="402"/>
      <c r="G5" s="403"/>
      <c r="H5" s="396"/>
      <c r="I5" s="401"/>
      <c r="J5" s="403"/>
      <c r="K5" s="117"/>
      <c r="L5" s="396"/>
      <c r="M5" s="44"/>
      <c r="N5" s="68"/>
      <c r="O5" s="396"/>
      <c r="P5" s="401"/>
      <c r="Q5" s="402"/>
      <c r="R5" s="402"/>
      <c r="S5" s="403"/>
    </row>
    <row r="6" spans="1:19" x14ac:dyDescent="0.3">
      <c r="A6" s="4"/>
      <c r="B6" s="4"/>
      <c r="C6" s="4"/>
      <c r="D6" s="4" t="s">
        <v>0</v>
      </c>
      <c r="E6" s="4"/>
      <c r="F6" s="4"/>
      <c r="G6" s="4" t="s">
        <v>1</v>
      </c>
      <c r="H6" s="4"/>
      <c r="I6" s="4"/>
      <c r="J6" s="4" t="s">
        <v>1</v>
      </c>
      <c r="K6" s="117"/>
      <c r="L6" s="4"/>
      <c r="M6" s="4"/>
      <c r="N6" s="4"/>
      <c r="O6" s="4"/>
      <c r="P6" s="4" t="s">
        <v>0</v>
      </c>
      <c r="Q6" s="4"/>
      <c r="R6" s="4"/>
      <c r="S6" s="4" t="s">
        <v>1</v>
      </c>
    </row>
    <row r="7" spans="1:19" ht="16.2" thickBot="1" x14ac:dyDescent="0.35">
      <c r="A7" s="5"/>
      <c r="B7" s="5"/>
      <c r="C7" s="5"/>
      <c r="D7" s="5" t="s">
        <v>3</v>
      </c>
      <c r="E7" s="404" t="s">
        <v>4</v>
      </c>
      <c r="F7" s="404"/>
      <c r="G7" s="5" t="s">
        <v>5</v>
      </c>
      <c r="H7" s="5"/>
      <c r="I7" s="5" t="s">
        <v>4</v>
      </c>
      <c r="J7" s="5" t="s">
        <v>5</v>
      </c>
      <c r="K7" s="116"/>
      <c r="L7" s="5"/>
      <c r="M7" s="5"/>
      <c r="N7" s="5"/>
      <c r="O7" s="5"/>
      <c r="P7" s="5" t="s">
        <v>3</v>
      </c>
      <c r="Q7" s="404" t="s">
        <v>4</v>
      </c>
      <c r="R7" s="404"/>
      <c r="S7" s="5" t="s">
        <v>5</v>
      </c>
    </row>
    <row r="8" spans="1:19" x14ac:dyDescent="0.3">
      <c r="K8" s="117"/>
    </row>
    <row r="9" spans="1:19" x14ac:dyDescent="0.3">
      <c r="K9" s="117"/>
    </row>
    <row r="10" spans="1:19" x14ac:dyDescent="0.3">
      <c r="A10" s="88" t="s">
        <v>8</v>
      </c>
      <c r="K10" s="117"/>
      <c r="M10" s="88" t="s">
        <v>8</v>
      </c>
    </row>
    <row r="11" spans="1:19" x14ac:dyDescent="0.3">
      <c r="D11" s="127" t="s">
        <v>47</v>
      </c>
      <c r="E11" s="127" t="s">
        <v>48</v>
      </c>
      <c r="I11" s="127" t="s">
        <v>48</v>
      </c>
      <c r="K11" s="117"/>
      <c r="P11" s="127" t="s">
        <v>47</v>
      </c>
      <c r="Q11" s="127" t="s">
        <v>48</v>
      </c>
    </row>
    <row r="12" spans="1:19" x14ac:dyDescent="0.3">
      <c r="B12" s="2" t="s">
        <v>59</v>
      </c>
      <c r="D12" s="28">
        <f>Billings!P92</f>
        <v>49</v>
      </c>
      <c r="E12" s="8">
        <f>'Present and Proposed Rates'!F23</f>
        <v>110</v>
      </c>
      <c r="G12" s="10">
        <f>D12*E12</f>
        <v>5390</v>
      </c>
      <c r="H12" s="10"/>
      <c r="I12" s="131">
        <f>'Present and Proposed Rates'!G23</f>
        <v>110</v>
      </c>
      <c r="J12" s="10">
        <f>I12*D12</f>
        <v>5390</v>
      </c>
      <c r="K12" s="118"/>
      <c r="L12" s="10"/>
      <c r="N12" s="2" t="s">
        <v>54</v>
      </c>
      <c r="P12" s="28">
        <f>D12</f>
        <v>49</v>
      </c>
      <c r="Q12" s="8">
        <f>'Present and Proposed Rates'!H23</f>
        <v>110</v>
      </c>
      <c r="S12" s="10">
        <f>P12*Q12</f>
        <v>5390</v>
      </c>
    </row>
    <row r="13" spans="1:19" x14ac:dyDescent="0.3">
      <c r="D13" s="7"/>
      <c r="G13" s="10"/>
      <c r="H13" s="10"/>
      <c r="I13" s="40"/>
      <c r="J13" s="10"/>
      <c r="K13" s="118"/>
      <c r="L13" s="10"/>
      <c r="P13" s="7"/>
      <c r="S13" s="10"/>
    </row>
    <row r="14" spans="1:19" x14ac:dyDescent="0.3">
      <c r="A14" s="1" t="s">
        <v>6</v>
      </c>
      <c r="D14" s="7"/>
      <c r="G14" s="10"/>
      <c r="H14" s="10"/>
      <c r="I14" s="40"/>
      <c r="J14" s="10"/>
      <c r="K14" s="118"/>
      <c r="L14" s="10"/>
      <c r="M14" s="1" t="s">
        <v>6</v>
      </c>
      <c r="P14" s="133"/>
      <c r="Q14" s="40"/>
      <c r="S14" s="10"/>
    </row>
    <row r="15" spans="1:19" x14ac:dyDescent="0.3">
      <c r="D15" s="128" t="s">
        <v>7</v>
      </c>
      <c r="E15" s="129" t="s">
        <v>9</v>
      </c>
      <c r="G15" s="10"/>
      <c r="H15" s="10"/>
      <c r="I15" s="129" t="s">
        <v>9</v>
      </c>
      <c r="J15" s="10"/>
      <c r="K15" s="118"/>
      <c r="L15" s="10"/>
      <c r="P15" s="128" t="s">
        <v>7</v>
      </c>
      <c r="Q15" s="129" t="s">
        <v>9</v>
      </c>
      <c r="S15" s="10"/>
    </row>
    <row r="16" spans="1:19" x14ac:dyDescent="0.3">
      <c r="B16" s="2" t="s">
        <v>79</v>
      </c>
      <c r="D16" s="28">
        <f>Billings!P100</f>
        <v>11088688</v>
      </c>
      <c r="E16" s="29">
        <f>'Present and Proposed Rates'!F24</f>
        <v>5.7898999999999999E-2</v>
      </c>
      <c r="F16" s="16"/>
      <c r="G16" s="15">
        <f>D16*E16</f>
        <v>642023.94651199994</v>
      </c>
      <c r="H16" s="15"/>
      <c r="I16" s="130">
        <f>'Present and Proposed Rates'!G24</f>
        <v>5.6288999999999999E-2</v>
      </c>
      <c r="J16" s="10">
        <f>I16*D16</f>
        <v>624171.15883199999</v>
      </c>
      <c r="K16" s="118"/>
      <c r="L16" s="15"/>
      <c r="N16" s="2" t="s">
        <v>79</v>
      </c>
      <c r="P16" s="28">
        <f>D16</f>
        <v>11088688</v>
      </c>
      <c r="Q16" s="29">
        <f>'Present and Proposed Rates'!H24</f>
        <v>5.6288999999999999E-2</v>
      </c>
      <c r="R16" s="16"/>
      <c r="S16" s="15">
        <f>P16*Q16</f>
        <v>624171.15883199999</v>
      </c>
    </row>
    <row r="17" spans="1:22" x14ac:dyDescent="0.3">
      <c r="A17" s="1"/>
      <c r="B17" s="16"/>
      <c r="C17" s="16"/>
      <c r="D17" s="16"/>
      <c r="E17" s="16"/>
      <c r="F17" s="16"/>
      <c r="G17" s="16"/>
      <c r="H17" s="16"/>
      <c r="I17" s="16"/>
      <c r="J17" s="16"/>
      <c r="K17" s="117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22" x14ac:dyDescent="0.3">
      <c r="A18" s="1" t="s">
        <v>49</v>
      </c>
      <c r="D18" s="7"/>
      <c r="G18" s="10"/>
      <c r="H18" s="10"/>
      <c r="I18" s="40"/>
      <c r="J18" s="10"/>
      <c r="K18" s="118"/>
      <c r="L18" s="10"/>
      <c r="M18" s="1" t="s">
        <v>6</v>
      </c>
      <c r="P18" s="133"/>
      <c r="Q18" s="40"/>
      <c r="S18" s="10"/>
    </row>
    <row r="19" spans="1:22" x14ac:dyDescent="0.3">
      <c r="D19" s="128" t="s">
        <v>50</v>
      </c>
      <c r="E19" s="129" t="s">
        <v>51</v>
      </c>
      <c r="G19" s="10"/>
      <c r="H19" s="10"/>
      <c r="I19" s="129" t="s">
        <v>51</v>
      </c>
      <c r="J19" s="10"/>
      <c r="K19" s="118"/>
      <c r="L19" s="10"/>
      <c r="P19" s="128" t="s">
        <v>50</v>
      </c>
      <c r="Q19" s="129" t="s">
        <v>51</v>
      </c>
      <c r="S19" s="10"/>
    </row>
    <row r="20" spans="1:22" x14ac:dyDescent="0.3">
      <c r="B20" s="2" t="s">
        <v>79</v>
      </c>
      <c r="D20" s="28">
        <f>Billings!P108</f>
        <v>22206.61</v>
      </c>
      <c r="E20" s="108">
        <f>'Present and Proposed Rates'!F25</f>
        <v>6.91</v>
      </c>
      <c r="F20" s="16"/>
      <c r="G20" s="15">
        <f>D20*E20</f>
        <v>153447.67509999999</v>
      </c>
      <c r="H20" s="15"/>
      <c r="I20" s="132">
        <f>'Present and Proposed Rates'!G25</f>
        <v>6.91</v>
      </c>
      <c r="J20" s="10">
        <f>I20*D20</f>
        <v>153447.67509999999</v>
      </c>
      <c r="K20" s="118"/>
      <c r="L20" s="15"/>
      <c r="N20" s="2" t="s">
        <v>79</v>
      </c>
      <c r="P20" s="28">
        <f>D20</f>
        <v>22206.61</v>
      </c>
      <c r="Q20" s="108">
        <f>'Present and Proposed Rates'!H25</f>
        <v>6.91</v>
      </c>
      <c r="R20" s="16"/>
      <c r="S20" s="15">
        <f>P20*Q20</f>
        <v>153447.67509999999</v>
      </c>
    </row>
    <row r="21" spans="1:22" x14ac:dyDescent="0.3">
      <c r="A21" s="1"/>
      <c r="B21" s="16"/>
      <c r="C21" s="16"/>
      <c r="D21" s="16"/>
      <c r="E21" s="16"/>
      <c r="F21" s="16"/>
      <c r="G21" s="16"/>
      <c r="H21" s="16"/>
      <c r="I21" s="16"/>
      <c r="J21" s="16"/>
      <c r="K21" s="117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2" x14ac:dyDescent="0.3">
      <c r="A22" s="1" t="s">
        <v>52</v>
      </c>
      <c r="B22" s="45"/>
      <c r="C22" s="83"/>
      <c r="D22" s="46"/>
      <c r="E22" s="50"/>
      <c r="F22" s="24"/>
      <c r="G22" s="15"/>
      <c r="H22" s="15"/>
      <c r="I22" s="15"/>
      <c r="J22" s="15"/>
      <c r="K22" s="119"/>
      <c r="L22" s="48"/>
      <c r="M22" s="1" t="s">
        <v>52</v>
      </c>
      <c r="N22" s="45"/>
      <c r="O22" s="83"/>
      <c r="P22" s="46"/>
      <c r="Q22" s="50"/>
      <c r="R22" s="24"/>
      <c r="S22" s="15"/>
    </row>
    <row r="23" spans="1:22" x14ac:dyDescent="0.3">
      <c r="A23" s="1"/>
      <c r="B23" s="24" t="s">
        <v>46</v>
      </c>
      <c r="C23" s="83"/>
      <c r="D23" s="46"/>
      <c r="E23" s="50"/>
      <c r="F23" s="24"/>
      <c r="G23" s="15">
        <f>Billings!P124</f>
        <v>-49285.829999999994</v>
      </c>
      <c r="H23" s="15"/>
      <c r="I23" s="15"/>
      <c r="J23" s="15">
        <f>G23</f>
        <v>-49285.829999999994</v>
      </c>
      <c r="K23" s="119"/>
      <c r="L23" s="48"/>
      <c r="M23" s="1"/>
      <c r="N23" s="24" t="s">
        <v>46</v>
      </c>
      <c r="O23" s="83"/>
      <c r="P23" s="46"/>
      <c r="Q23" s="50"/>
      <c r="R23" s="24"/>
      <c r="S23" s="15">
        <f>G23</f>
        <v>-49285.829999999994</v>
      </c>
    </row>
    <row r="24" spans="1:22" x14ac:dyDescent="0.3">
      <c r="A24" s="1"/>
      <c r="B24" s="24" t="s">
        <v>53</v>
      </c>
      <c r="C24" s="83"/>
      <c r="D24" s="46"/>
      <c r="E24" s="50"/>
      <c r="F24" s="24"/>
      <c r="G24" s="48">
        <f>Billings!P132</f>
        <v>72091.819999999992</v>
      </c>
      <c r="H24" s="48"/>
      <c r="I24" s="48"/>
      <c r="J24" s="15">
        <f>G24</f>
        <v>72091.819999999992</v>
      </c>
      <c r="K24" s="119"/>
      <c r="L24" s="48"/>
      <c r="M24" s="1"/>
      <c r="N24" s="24" t="s">
        <v>53</v>
      </c>
      <c r="O24" s="83"/>
      <c r="P24" s="46"/>
      <c r="Q24" s="50"/>
      <c r="R24" s="24"/>
      <c r="S24" s="15">
        <f>G24</f>
        <v>72091.819999999992</v>
      </c>
    </row>
    <row r="25" spans="1:22" x14ac:dyDescent="0.3">
      <c r="A25" s="1"/>
      <c r="B25" s="24" t="s">
        <v>198</v>
      </c>
      <c r="C25" s="83"/>
      <c r="D25" s="46"/>
      <c r="E25" s="50"/>
      <c r="F25" s="24"/>
      <c r="G25" s="48">
        <f>Billings!P246</f>
        <v>-30870.260000000002</v>
      </c>
      <c r="H25" s="48"/>
      <c r="I25" s="48"/>
      <c r="J25" s="15">
        <f>G25</f>
        <v>-30870.260000000002</v>
      </c>
      <c r="K25" s="119"/>
      <c r="L25" s="48"/>
      <c r="M25" s="1"/>
      <c r="N25" s="24" t="str">
        <f>B25</f>
        <v>Primary Discount</v>
      </c>
      <c r="O25" s="83"/>
      <c r="P25" s="46"/>
      <c r="Q25" s="50"/>
      <c r="R25" s="24"/>
      <c r="S25" s="15">
        <f>J25</f>
        <v>-30870.260000000002</v>
      </c>
    </row>
    <row r="26" spans="1:22" x14ac:dyDescent="0.3">
      <c r="A26" s="1"/>
      <c r="D26" s="22"/>
      <c r="G26" s="15"/>
      <c r="H26" s="15"/>
      <c r="I26" s="15"/>
      <c r="J26" s="15"/>
      <c r="K26" s="118"/>
      <c r="L26" s="15"/>
      <c r="M26" s="1"/>
      <c r="S26" s="15"/>
    </row>
    <row r="27" spans="1:22" ht="16.2" thickBot="1" x14ac:dyDescent="0.35">
      <c r="A27" s="1" t="s">
        <v>35</v>
      </c>
      <c r="G27" s="21">
        <f>SUM(G12:G25)</f>
        <v>792797.35161199991</v>
      </c>
      <c r="H27" s="15"/>
      <c r="I27" s="15"/>
      <c r="J27" s="21">
        <f>SUM(J12:J25)</f>
        <v>774944.56393199996</v>
      </c>
      <c r="K27" s="118"/>
      <c r="L27" s="15"/>
      <c r="M27" s="1" t="s">
        <v>35</v>
      </c>
      <c r="S27" s="21">
        <f>SUM(S12:S25)</f>
        <v>774944.56393199996</v>
      </c>
    </row>
    <row r="28" spans="1:22" ht="16.2" thickTop="1" x14ac:dyDescent="0.3">
      <c r="A28" s="1"/>
      <c r="B28" s="1"/>
      <c r="G28" s="15"/>
      <c r="H28" s="15"/>
      <c r="I28" s="15"/>
      <c r="J28" s="15"/>
      <c r="K28" s="118"/>
      <c r="L28" s="15"/>
      <c r="M28" s="1"/>
      <c r="N28" s="1"/>
      <c r="S28" s="15"/>
    </row>
    <row r="29" spans="1:22" x14ac:dyDescent="0.3">
      <c r="A29" s="32" t="s">
        <v>14</v>
      </c>
      <c r="B29" s="9"/>
      <c r="G29" s="10">
        <f>Billings!P116</f>
        <v>792309.75</v>
      </c>
      <c r="H29" s="10"/>
      <c r="I29" s="10"/>
      <c r="J29" s="10"/>
      <c r="K29" s="120"/>
      <c r="L29" s="10"/>
      <c r="M29" s="69" t="s">
        <v>61</v>
      </c>
      <c r="N29" s="9"/>
      <c r="S29" s="27">
        <f>S27-J27</f>
        <v>0</v>
      </c>
    </row>
    <row r="30" spans="1:22" x14ac:dyDescent="0.3">
      <c r="A30" s="9"/>
      <c r="B30" s="9"/>
      <c r="G30" s="9"/>
      <c r="H30" s="9"/>
      <c r="I30" s="9"/>
      <c r="J30" s="9"/>
      <c r="K30" s="121"/>
      <c r="L30" s="9"/>
      <c r="M30" s="36"/>
      <c r="N30" s="9"/>
      <c r="S30" s="9"/>
    </row>
    <row r="31" spans="1:22" x14ac:dyDescent="0.3">
      <c r="A31" s="32" t="s">
        <v>10</v>
      </c>
      <c r="B31" s="9"/>
      <c r="G31" s="19">
        <f>G27-G29</f>
        <v>487.60161199991126</v>
      </c>
      <c r="H31" s="19"/>
      <c r="I31" s="19"/>
      <c r="J31" s="19">
        <f>J27-G27</f>
        <v>-17852.78767999995</v>
      </c>
      <c r="K31" s="118"/>
      <c r="L31" s="19"/>
      <c r="M31" s="69" t="s">
        <v>62</v>
      </c>
      <c r="N31" s="9"/>
      <c r="S31" s="84">
        <f>S29/J27</f>
        <v>0</v>
      </c>
    </row>
    <row r="32" spans="1:22" x14ac:dyDescent="0.3">
      <c r="A32" s="9"/>
      <c r="B32" s="9"/>
      <c r="G32" s="10"/>
      <c r="H32" s="10"/>
      <c r="I32" s="10"/>
      <c r="J32" s="10"/>
      <c r="K32" s="122"/>
      <c r="L32" s="10"/>
      <c r="M32" s="24"/>
      <c r="N32" s="9"/>
      <c r="S32" s="10"/>
    </row>
    <row r="33" spans="1:19" x14ac:dyDescent="0.3">
      <c r="A33" s="32" t="s">
        <v>16</v>
      </c>
      <c r="B33" s="9"/>
      <c r="G33" s="20">
        <f>G31/G29</f>
        <v>6.1541791199705832E-4</v>
      </c>
      <c r="H33" s="20"/>
      <c r="I33" s="20"/>
      <c r="J33" s="20">
        <f>J31/G29</f>
        <v>-2.2532586125565097E-2</v>
      </c>
      <c r="K33" s="118"/>
      <c r="L33" s="20"/>
      <c r="M33" s="45" t="s">
        <v>38</v>
      </c>
      <c r="N33" s="9"/>
      <c r="S33" s="38">
        <f>S29/P12</f>
        <v>0</v>
      </c>
    </row>
    <row r="34" spans="1:19" x14ac:dyDescent="0.3">
      <c r="A34" s="32"/>
      <c r="B34" s="9"/>
      <c r="D34" s="13">
        <f>D16/D12</f>
        <v>226299.75510204083</v>
      </c>
      <c r="G34" s="20"/>
      <c r="H34" s="20"/>
      <c r="I34" s="20"/>
      <c r="J34" s="20"/>
      <c r="K34" s="20"/>
      <c r="L34" s="20"/>
      <c r="M34" s="32"/>
      <c r="N34" s="9"/>
      <c r="S34" s="20"/>
    </row>
    <row r="35" spans="1:19" x14ac:dyDescent="0.3">
      <c r="A35" s="32"/>
      <c r="B35" s="9"/>
      <c r="G35" s="126">
        <f>G12+G16+G20</f>
        <v>800861.62161199993</v>
      </c>
      <c r="H35" s="20"/>
      <c r="I35" s="20"/>
      <c r="J35" s="20"/>
      <c r="K35" s="20"/>
      <c r="L35" s="20"/>
      <c r="M35" s="32"/>
      <c r="N35" s="9"/>
      <c r="S35" s="20"/>
    </row>
    <row r="36" spans="1:19" x14ac:dyDescent="0.3">
      <c r="A36" s="32"/>
      <c r="B36" s="9"/>
      <c r="G36" s="126"/>
      <c r="H36" s="20"/>
      <c r="I36" s="20"/>
      <c r="J36" s="20"/>
      <c r="K36" s="20"/>
      <c r="L36" s="20"/>
      <c r="M36" s="32"/>
      <c r="N36" s="9"/>
      <c r="S36" s="20"/>
    </row>
    <row r="37" spans="1:19" x14ac:dyDescent="0.3">
      <c r="A37" s="32"/>
      <c r="B37" s="9"/>
      <c r="G37" s="126"/>
      <c r="H37" s="20"/>
      <c r="I37" s="20"/>
      <c r="J37" s="20"/>
      <c r="K37" s="20"/>
      <c r="L37" s="20"/>
      <c r="M37" s="32"/>
      <c r="N37" s="9"/>
      <c r="S37" s="20"/>
    </row>
    <row r="38" spans="1:19" x14ac:dyDescent="0.3">
      <c r="A38" s="32"/>
      <c r="B38" s="9"/>
      <c r="G38" s="30"/>
      <c r="H38" s="20"/>
      <c r="I38" s="20"/>
      <c r="J38" s="20"/>
      <c r="K38" s="20"/>
      <c r="L38" s="20"/>
      <c r="M38" s="32"/>
      <c r="N38" s="9"/>
      <c r="S38" s="20"/>
    </row>
    <row r="39" spans="1:19" x14ac:dyDescent="0.3">
      <c r="A39" s="32"/>
      <c r="B39" s="9"/>
      <c r="G39" s="34">
        <f>G12/12</f>
        <v>449.16666666666669</v>
      </c>
      <c r="H39" s="20"/>
      <c r="I39" s="20"/>
      <c r="J39" s="20"/>
      <c r="K39" s="20"/>
      <c r="L39" s="20"/>
      <c r="M39" s="32"/>
      <c r="N39" s="9"/>
      <c r="S39" s="20"/>
    </row>
    <row r="40" spans="1:19" ht="18.75" customHeight="1" x14ac:dyDescent="0.3">
      <c r="A40" s="32"/>
      <c r="B40" s="10"/>
      <c r="G40" s="34">
        <f>G16/12</f>
        <v>53501.995542666664</v>
      </c>
      <c r="H40" s="20"/>
      <c r="I40" s="20"/>
      <c r="J40" s="20"/>
      <c r="K40" s="20"/>
      <c r="L40" s="20"/>
      <c r="N40" s="24"/>
    </row>
    <row r="41" spans="1:19" x14ac:dyDescent="0.3">
      <c r="E41" s="10"/>
      <c r="G41" s="13">
        <f>G20/12</f>
        <v>12787.306258333332</v>
      </c>
      <c r="N41" s="24"/>
    </row>
    <row r="55" ht="16.5" customHeight="1" x14ac:dyDescent="0.3"/>
    <row r="88" ht="15" customHeight="1" x14ac:dyDescent="0.3"/>
    <row r="134" spans="2:14" x14ac:dyDescent="0.3">
      <c r="N134" s="41"/>
    </row>
    <row r="135" spans="2:14" x14ac:dyDescent="0.3">
      <c r="B135" s="16"/>
      <c r="C135" s="41"/>
      <c r="D135" s="41"/>
      <c r="E135" s="16"/>
      <c r="F135" s="16"/>
      <c r="G135" s="16"/>
      <c r="H135" s="16"/>
      <c r="I135" s="16"/>
      <c r="J135" s="16"/>
      <c r="K135" s="16"/>
      <c r="L135" s="16"/>
      <c r="N135" s="41"/>
    </row>
    <row r="136" spans="2:14" x14ac:dyDescent="0.3">
      <c r="B136" s="16"/>
      <c r="C136" s="42"/>
      <c r="D136" s="53"/>
      <c r="E136" s="57"/>
      <c r="F136" s="16"/>
      <c r="G136" s="16"/>
      <c r="H136" s="16"/>
      <c r="I136" s="16"/>
      <c r="J136" s="16"/>
      <c r="K136" s="16"/>
      <c r="L136" s="16"/>
      <c r="N136" s="41"/>
    </row>
    <row r="137" spans="2:14" x14ac:dyDescent="0.3">
      <c r="B137" s="16"/>
      <c r="C137" s="42"/>
      <c r="D137" s="53"/>
      <c r="E137" s="57"/>
      <c r="F137" s="16"/>
      <c r="G137" s="16"/>
      <c r="H137" s="16"/>
      <c r="I137" s="16"/>
      <c r="J137" s="16"/>
      <c r="K137" s="16"/>
      <c r="L137" s="16"/>
      <c r="N137" s="41"/>
    </row>
    <row r="138" spans="2:14" x14ac:dyDescent="0.3">
      <c r="B138" s="16"/>
      <c r="C138" s="42"/>
      <c r="D138" s="53"/>
      <c r="E138" s="57"/>
      <c r="F138" s="16"/>
      <c r="G138" s="16"/>
      <c r="H138" s="16"/>
      <c r="I138" s="16"/>
      <c r="J138" s="16"/>
      <c r="K138" s="16"/>
      <c r="L138" s="16"/>
      <c r="N138" s="41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AB121"/>
  <sheetViews>
    <sheetView view="pageBreakPreview" topLeftCell="A13" zoomScale="75" zoomScaleNormal="100" zoomScaleSheetLayoutView="75" workbookViewId="0">
      <selection activeCell="N20" sqref="N20"/>
    </sheetView>
  </sheetViews>
  <sheetFormatPr defaultColWidth="9.109375" defaultRowHeight="15.6" x14ac:dyDescent="0.3"/>
  <cols>
    <col min="1" max="1" width="4.33203125" style="2" customWidth="1"/>
    <col min="2" max="2" width="7.21875" style="2" customWidth="1"/>
    <col min="3" max="3" width="24.6640625" style="2" customWidth="1"/>
    <col min="4" max="4" width="14.33203125" style="2" customWidth="1"/>
    <col min="5" max="5" width="3.109375" style="13" customWidth="1"/>
    <col min="6" max="6" width="10.44140625" style="2" bestFit="1" customWidth="1"/>
    <col min="7" max="7" width="10.88671875" style="2" bestFit="1" customWidth="1"/>
    <col min="8" max="8" width="14.109375" style="2" customWidth="1"/>
    <col min="9" max="9" width="3.33203125" style="2" customWidth="1"/>
    <col min="10" max="10" width="10.88671875" style="2" bestFit="1" customWidth="1"/>
    <col min="11" max="11" width="15.33203125" style="2" customWidth="1"/>
    <col min="12" max="12" width="2" style="2" customWidth="1"/>
    <col min="13" max="13" width="2.6640625" style="2" customWidth="1"/>
    <col min="14" max="14" width="16.5546875" style="2" customWidth="1"/>
    <col min="15" max="15" width="15.109375" style="2" customWidth="1"/>
    <col min="16" max="16" width="7.5546875" style="2" customWidth="1"/>
    <col min="17" max="17" width="15.33203125" style="2" customWidth="1"/>
    <col min="18" max="18" width="2.6640625" style="2" customWidth="1"/>
    <col min="19" max="19" width="16.6640625" style="2" customWidth="1"/>
    <col min="20" max="20" width="9.109375" style="2"/>
    <col min="21" max="22" width="6.6640625" style="2" customWidth="1"/>
    <col min="23" max="23" width="27.5546875" style="2" customWidth="1"/>
    <col min="24" max="24" width="11.6640625" style="2" customWidth="1"/>
    <col min="25" max="25" width="13" style="2" customWidth="1"/>
    <col min="26" max="26" width="10.5546875" style="2" customWidth="1"/>
    <col min="27" max="27" width="2.6640625" style="2" customWidth="1"/>
    <col min="28" max="28" width="16.6640625" style="2" customWidth="1"/>
    <col min="29" max="16384" width="9.109375" style="2"/>
  </cols>
  <sheetData>
    <row r="1" spans="1:28" x14ac:dyDescent="0.3">
      <c r="A1" s="1" t="str">
        <f>List!A1</f>
        <v>Licking Valley R.E.C.C.</v>
      </c>
      <c r="B1" s="1"/>
      <c r="C1" s="1"/>
      <c r="D1" s="1"/>
      <c r="E1" s="47"/>
      <c r="F1" s="24"/>
      <c r="G1" s="24"/>
      <c r="H1" s="24"/>
      <c r="I1" s="24"/>
      <c r="J1" s="24"/>
      <c r="K1" s="24"/>
      <c r="M1" s="24"/>
      <c r="N1" s="24"/>
      <c r="O1" s="24"/>
      <c r="P1" s="24"/>
      <c r="Q1" s="24"/>
      <c r="R1" s="36"/>
      <c r="S1" s="36"/>
      <c r="T1" s="16"/>
      <c r="U1" s="36"/>
      <c r="V1" s="36"/>
      <c r="W1" s="36"/>
      <c r="X1" s="36"/>
      <c r="Y1" s="36"/>
      <c r="Z1" s="36"/>
      <c r="AA1" s="36"/>
      <c r="AB1" s="36"/>
    </row>
    <row r="2" spans="1:28" x14ac:dyDescent="0.3">
      <c r="A2" s="45" t="str">
        <f>List!B10</f>
        <v>Lighting</v>
      </c>
      <c r="B2" s="45"/>
      <c r="C2" s="45"/>
      <c r="D2" s="45"/>
      <c r="E2" s="47"/>
      <c r="F2" s="24"/>
      <c r="G2" s="24"/>
      <c r="H2" s="24"/>
      <c r="I2" s="24"/>
      <c r="J2" s="24"/>
      <c r="K2" s="24"/>
      <c r="M2" s="24"/>
      <c r="N2" s="24"/>
      <c r="O2" s="24"/>
      <c r="P2" s="24"/>
      <c r="Q2" s="24"/>
      <c r="R2" s="36"/>
      <c r="S2" s="36"/>
      <c r="T2" s="16"/>
      <c r="U2" s="36"/>
      <c r="V2" s="36"/>
      <c r="W2" s="36"/>
      <c r="X2" s="36"/>
      <c r="Y2" s="36"/>
      <c r="Z2" s="36"/>
      <c r="AA2" s="36"/>
      <c r="AB2" s="36"/>
    </row>
    <row r="3" spans="1:28" ht="16.2" thickBot="1" x14ac:dyDescent="0.35">
      <c r="A3" s="161" t="str">
        <f>List!C10</f>
        <v>SL</v>
      </c>
      <c r="B3" s="45"/>
      <c r="C3" s="45"/>
      <c r="D3" s="45"/>
      <c r="E3" s="47"/>
      <c r="F3" s="24"/>
      <c r="G3" s="24"/>
      <c r="H3" s="24"/>
      <c r="I3" s="24"/>
      <c r="J3" s="24"/>
      <c r="K3" s="24"/>
      <c r="M3" s="24"/>
      <c r="N3" s="24"/>
      <c r="O3" s="24"/>
      <c r="P3" s="24"/>
      <c r="Q3" s="24"/>
      <c r="R3" s="36"/>
      <c r="S3" s="36"/>
      <c r="T3" s="16"/>
      <c r="U3" s="36"/>
      <c r="V3" s="36"/>
      <c r="W3" s="36"/>
      <c r="X3" s="36"/>
      <c r="Y3" s="36"/>
      <c r="Z3" s="36"/>
      <c r="AA3" s="36"/>
      <c r="AB3" s="36"/>
    </row>
    <row r="4" spans="1:28" x14ac:dyDescent="0.3">
      <c r="A4" s="24"/>
      <c r="B4" s="24"/>
      <c r="C4" s="24"/>
      <c r="D4" s="24"/>
      <c r="E4" s="47"/>
      <c r="F4" s="405" t="s">
        <v>17</v>
      </c>
      <c r="G4" s="406"/>
      <c r="H4" s="407"/>
      <c r="I4" s="395"/>
      <c r="J4" s="398" t="s">
        <v>60</v>
      </c>
      <c r="K4" s="400"/>
      <c r="L4" s="117"/>
      <c r="M4" s="395"/>
      <c r="N4" s="405" t="s">
        <v>43</v>
      </c>
      <c r="O4" s="406"/>
      <c r="P4" s="406"/>
      <c r="Q4" s="407"/>
      <c r="R4" s="298"/>
      <c r="S4" s="298"/>
      <c r="T4" s="16"/>
      <c r="U4" s="36"/>
      <c r="V4" s="36"/>
      <c r="W4" s="36"/>
      <c r="X4" s="36"/>
      <c r="Y4" s="410"/>
      <c r="Z4" s="410"/>
      <c r="AA4" s="410"/>
      <c r="AB4" s="410"/>
    </row>
    <row r="5" spans="1:28" ht="16.2" thickBot="1" x14ac:dyDescent="0.35">
      <c r="A5" s="24"/>
      <c r="B5" s="24"/>
      <c r="C5" s="24"/>
      <c r="D5" s="24"/>
      <c r="E5" s="47"/>
      <c r="F5" s="408"/>
      <c r="G5" s="404"/>
      <c r="H5" s="409"/>
      <c r="I5" s="395"/>
      <c r="J5" s="401"/>
      <c r="K5" s="403"/>
      <c r="L5" s="117"/>
      <c r="M5" s="395"/>
      <c r="N5" s="408"/>
      <c r="O5" s="404"/>
      <c r="P5" s="404"/>
      <c r="Q5" s="409"/>
      <c r="R5" s="298"/>
      <c r="S5" s="298"/>
      <c r="T5" s="16"/>
      <c r="U5" s="396"/>
      <c r="V5" s="396"/>
      <c r="W5" s="396"/>
      <c r="X5" s="396"/>
      <c r="Y5" s="410"/>
      <c r="Z5" s="410"/>
      <c r="AA5" s="410"/>
      <c r="AB5" s="410"/>
    </row>
    <row r="6" spans="1:28" x14ac:dyDescent="0.3">
      <c r="A6" s="24"/>
      <c r="B6" s="24"/>
      <c r="C6" s="24"/>
      <c r="D6" s="24"/>
      <c r="E6" s="47"/>
      <c r="F6" s="251" t="s">
        <v>0</v>
      </c>
      <c r="G6" s="251"/>
      <c r="H6" s="251" t="s">
        <v>1</v>
      </c>
      <c r="I6" s="251"/>
      <c r="J6" s="4"/>
      <c r="K6" s="4" t="s">
        <v>1</v>
      </c>
      <c r="L6" s="117"/>
      <c r="M6" s="251"/>
      <c r="N6" s="251" t="s">
        <v>0</v>
      </c>
      <c r="O6" s="251"/>
      <c r="P6" s="251"/>
      <c r="Q6" s="251" t="s">
        <v>1</v>
      </c>
      <c r="R6" s="256"/>
      <c r="S6" s="256"/>
      <c r="T6" s="16"/>
      <c r="U6" s="256"/>
      <c r="V6" s="256"/>
      <c r="W6" s="256"/>
      <c r="X6" s="256"/>
      <c r="Y6" s="256"/>
      <c r="Z6" s="256"/>
      <c r="AA6" s="256"/>
      <c r="AB6" s="256"/>
    </row>
    <row r="7" spans="1:28" ht="16.2" thickBot="1" x14ac:dyDescent="0.35">
      <c r="A7" s="252" t="s">
        <v>2</v>
      </c>
      <c r="B7" s="252"/>
      <c r="C7" s="252"/>
      <c r="D7" s="252"/>
      <c r="E7" s="254"/>
      <c r="F7" s="255" t="s">
        <v>3</v>
      </c>
      <c r="G7" s="255" t="s">
        <v>4</v>
      </c>
      <c r="H7" s="255" t="s">
        <v>5</v>
      </c>
      <c r="I7" s="253"/>
      <c r="J7" s="5" t="s">
        <v>4</v>
      </c>
      <c r="K7" s="5" t="s">
        <v>5</v>
      </c>
      <c r="L7" s="116"/>
      <c r="M7" s="256"/>
      <c r="N7" s="255" t="s">
        <v>3</v>
      </c>
      <c r="O7" s="255" t="s">
        <v>4</v>
      </c>
      <c r="P7" s="255"/>
      <c r="Q7" s="255" t="s">
        <v>5</v>
      </c>
      <c r="R7" s="299"/>
      <c r="S7" s="256"/>
      <c r="T7" s="16"/>
      <c r="U7" s="256"/>
      <c r="V7" s="256"/>
      <c r="W7" s="256"/>
      <c r="X7" s="256"/>
      <c r="Y7" s="256"/>
      <c r="Z7" s="411"/>
      <c r="AA7" s="411"/>
      <c r="AB7" s="256"/>
    </row>
    <row r="8" spans="1:28" x14ac:dyDescent="0.3">
      <c r="A8" s="24"/>
      <c r="B8" s="24"/>
      <c r="C8" s="24"/>
      <c r="D8" s="24"/>
      <c r="E8" s="47"/>
      <c r="F8" s="24"/>
      <c r="G8" s="24"/>
      <c r="H8" s="24"/>
      <c r="I8" s="24"/>
      <c r="J8" s="24"/>
      <c r="K8" s="24"/>
      <c r="L8" s="117"/>
      <c r="M8" s="24"/>
      <c r="N8" s="24"/>
      <c r="O8" s="24"/>
      <c r="P8" s="24"/>
      <c r="Q8" s="24"/>
      <c r="R8" s="36"/>
      <c r="S8" s="36"/>
      <c r="T8" s="16"/>
      <c r="U8" s="36"/>
      <c r="V8" s="36"/>
      <c r="W8" s="36"/>
      <c r="X8" s="36"/>
      <c r="Y8" s="36"/>
      <c r="Z8" s="36"/>
      <c r="AA8" s="36"/>
      <c r="AB8" s="36"/>
    </row>
    <row r="9" spans="1:28" x14ac:dyDescent="0.3">
      <c r="A9" s="45" t="s">
        <v>12</v>
      </c>
      <c r="B9" s="45"/>
      <c r="C9" s="45"/>
      <c r="D9" s="45"/>
      <c r="E9" s="47"/>
      <c r="F9" s="257" t="s">
        <v>54</v>
      </c>
      <c r="G9" s="258"/>
      <c r="H9" s="245"/>
      <c r="I9" s="245"/>
      <c r="J9" s="245"/>
      <c r="K9" s="245"/>
      <c r="L9" s="117"/>
      <c r="M9" s="245"/>
      <c r="N9" s="257" t="s">
        <v>54</v>
      </c>
      <c r="O9" s="258"/>
      <c r="P9" s="258"/>
      <c r="Q9" s="245"/>
      <c r="R9" s="36"/>
      <c r="S9" s="300"/>
      <c r="T9" s="16"/>
      <c r="U9" s="69"/>
      <c r="V9" s="36"/>
      <c r="W9" s="36"/>
      <c r="X9" s="36"/>
      <c r="Y9" s="297"/>
      <c r="Z9" s="36"/>
      <c r="AA9" s="36"/>
      <c r="AB9" s="300"/>
    </row>
    <row r="10" spans="1:28" x14ac:dyDescent="0.3">
      <c r="A10" s="24"/>
      <c r="B10" s="24"/>
      <c r="D10" s="261" t="s">
        <v>90</v>
      </c>
      <c r="E10" s="47"/>
      <c r="F10" s="259" t="s">
        <v>12</v>
      </c>
      <c r="G10" s="260" t="s">
        <v>13</v>
      </c>
      <c r="H10" s="245"/>
      <c r="I10" s="245"/>
      <c r="J10" s="261" t="s">
        <v>13</v>
      </c>
      <c r="K10" s="245"/>
      <c r="L10" s="118"/>
      <c r="M10" s="245"/>
      <c r="N10" s="259" t="s">
        <v>12</v>
      </c>
      <c r="O10" s="260" t="s">
        <v>13</v>
      </c>
      <c r="P10" s="246"/>
      <c r="Q10" s="245"/>
      <c r="R10" s="36"/>
      <c r="S10" s="300"/>
      <c r="T10" s="16"/>
      <c r="U10" s="36"/>
      <c r="V10" s="36"/>
      <c r="W10" s="36"/>
      <c r="X10" s="64"/>
      <c r="Y10" s="301"/>
      <c r="Z10" s="302"/>
      <c r="AA10" s="36"/>
      <c r="AB10" s="300"/>
    </row>
    <row r="11" spans="1:28" x14ac:dyDescent="0.3">
      <c r="A11" s="24"/>
      <c r="B11" s="265"/>
      <c r="D11" s="24"/>
      <c r="E11" s="47"/>
      <c r="F11" s="262"/>
      <c r="G11" s="246"/>
      <c r="H11" s="245"/>
      <c r="I11" s="245"/>
      <c r="J11" s="64"/>
      <c r="K11" s="245"/>
      <c r="L11" s="118"/>
      <c r="M11" s="245"/>
      <c r="N11" s="262"/>
      <c r="O11" s="246"/>
      <c r="P11" s="246"/>
      <c r="Q11" s="245"/>
      <c r="R11" s="36"/>
      <c r="S11" s="300"/>
      <c r="T11" s="16"/>
      <c r="U11" s="36"/>
      <c r="V11" s="36"/>
      <c r="W11" s="36"/>
      <c r="X11" s="64"/>
      <c r="Y11" s="301"/>
      <c r="Z11" s="302"/>
      <c r="AA11" s="36"/>
      <c r="AB11" s="300"/>
    </row>
    <row r="12" spans="1:28" x14ac:dyDescent="0.3">
      <c r="A12" s="24"/>
      <c r="B12" s="24"/>
      <c r="C12" s="24" t="s">
        <v>143</v>
      </c>
      <c r="D12" s="13"/>
      <c r="E12" s="47"/>
      <c r="F12" s="47">
        <f>Billings!P198</f>
        <v>1611</v>
      </c>
      <c r="G12" s="64">
        <v>3.06</v>
      </c>
      <c r="H12" s="78">
        <f>G12*F12</f>
        <v>4929.66</v>
      </c>
      <c r="I12" s="245"/>
      <c r="J12" s="64">
        <v>3.06</v>
      </c>
      <c r="K12" s="78">
        <f>J12*F12</f>
        <v>4929.66</v>
      </c>
      <c r="L12" s="118"/>
      <c r="M12" s="245"/>
      <c r="N12" s="80">
        <f>F12</f>
        <v>1611</v>
      </c>
      <c r="O12" s="64">
        <v>3.06</v>
      </c>
      <c r="P12" s="246"/>
      <c r="Q12" s="78">
        <f>O12*N12</f>
        <v>4929.66</v>
      </c>
      <c r="R12" s="36"/>
      <c r="S12" s="300"/>
      <c r="T12" s="16"/>
      <c r="U12" s="36"/>
      <c r="V12" s="36"/>
      <c r="W12" s="36"/>
      <c r="X12" s="64"/>
      <c r="Y12" s="301"/>
      <c r="Z12" s="302"/>
      <c r="AA12" s="36"/>
      <c r="AB12" s="300"/>
    </row>
    <row r="13" spans="1:28" x14ac:dyDescent="0.3">
      <c r="A13" s="24"/>
      <c r="B13" s="24"/>
      <c r="C13" s="2" t="s">
        <v>144</v>
      </c>
      <c r="D13" s="13"/>
      <c r="E13" s="47"/>
      <c r="F13" s="47">
        <f>Billings!P199</f>
        <v>383</v>
      </c>
      <c r="G13" s="64">
        <v>3.54</v>
      </c>
      <c r="H13" s="78">
        <f>G13*F13</f>
        <v>1355.82</v>
      </c>
      <c r="I13" s="245"/>
      <c r="J13" s="64">
        <v>3.54</v>
      </c>
      <c r="K13" s="78">
        <f>J13*F13</f>
        <v>1355.82</v>
      </c>
      <c r="L13" s="118"/>
      <c r="M13" s="245"/>
      <c r="N13" s="80">
        <f>F13</f>
        <v>383</v>
      </c>
      <c r="O13" s="64">
        <v>3.54</v>
      </c>
      <c r="P13" s="246"/>
      <c r="Q13" s="78">
        <f>O13*N13</f>
        <v>1355.82</v>
      </c>
      <c r="R13" s="36"/>
      <c r="S13" s="300"/>
      <c r="T13" s="16"/>
      <c r="U13" s="36"/>
      <c r="V13" s="36"/>
      <c r="W13" s="36"/>
      <c r="X13" s="64"/>
      <c r="Y13" s="301"/>
      <c r="Z13" s="302"/>
      <c r="AA13" s="36"/>
      <c r="AB13" s="300"/>
    </row>
    <row r="14" spans="1:28" x14ac:dyDescent="0.3">
      <c r="A14" s="24"/>
      <c r="B14" s="266"/>
      <c r="D14" s="13"/>
      <c r="E14" s="47"/>
      <c r="F14" s="47"/>
      <c r="G14" s="64"/>
      <c r="H14" s="78"/>
      <c r="I14" s="245"/>
      <c r="J14" s="64"/>
      <c r="K14" s="78"/>
      <c r="L14" s="118"/>
      <c r="M14" s="245"/>
      <c r="N14" s="80"/>
      <c r="O14" s="64"/>
      <c r="P14" s="246"/>
      <c r="Q14" s="78"/>
      <c r="R14" s="36"/>
      <c r="S14" s="300"/>
      <c r="T14" s="16"/>
      <c r="U14" s="36"/>
      <c r="V14" s="36"/>
      <c r="W14" s="36"/>
      <c r="X14" s="64"/>
      <c r="Y14" s="301"/>
      <c r="Z14" s="302"/>
      <c r="AA14" s="36"/>
      <c r="AB14" s="300"/>
    </row>
    <row r="15" spans="1:28" x14ac:dyDescent="0.3">
      <c r="A15" s="24"/>
      <c r="B15" s="24"/>
      <c r="C15" s="2" t="s">
        <v>145</v>
      </c>
      <c r="D15" s="13"/>
      <c r="E15" s="47"/>
      <c r="F15" s="47">
        <f>Billings!P194</f>
        <v>55094</v>
      </c>
      <c r="G15" s="64">
        <v>10.34</v>
      </c>
      <c r="H15" s="78">
        <f>G15*F15</f>
        <v>569671.96</v>
      </c>
      <c r="I15" s="245"/>
      <c r="J15" s="64">
        <v>10.24</v>
      </c>
      <c r="K15" s="78">
        <f>J15*F15</f>
        <v>564162.56000000006</v>
      </c>
      <c r="L15" s="118"/>
      <c r="M15" s="245"/>
      <c r="N15" s="80">
        <f>F15</f>
        <v>55094</v>
      </c>
      <c r="O15" s="64">
        <v>10.24</v>
      </c>
      <c r="P15" s="246"/>
      <c r="Q15" s="78">
        <f>O15*N15</f>
        <v>564162.56000000006</v>
      </c>
      <c r="R15" s="36"/>
      <c r="S15" s="300"/>
      <c r="T15" s="16"/>
      <c r="U15" s="36"/>
      <c r="V15" s="36"/>
      <c r="W15" s="36"/>
      <c r="X15" s="64"/>
      <c r="Y15" s="301"/>
      <c r="Z15" s="302"/>
      <c r="AA15" s="36"/>
      <c r="AB15" s="300"/>
    </row>
    <row r="16" spans="1:28" x14ac:dyDescent="0.3">
      <c r="A16" s="24"/>
      <c r="B16" s="24"/>
      <c r="C16" s="2" t="s">
        <v>146</v>
      </c>
      <c r="D16" s="13"/>
      <c r="E16" s="47"/>
      <c r="F16" s="47">
        <f>Billings!P197</f>
        <v>9853</v>
      </c>
      <c r="G16" s="64">
        <v>10.43</v>
      </c>
      <c r="H16" s="78">
        <f t="shared" ref="H16:H21" si="0">G16*F16</f>
        <v>102766.79</v>
      </c>
      <c r="I16" s="245"/>
      <c r="J16" s="64">
        <v>10.37</v>
      </c>
      <c r="K16" s="78">
        <f t="shared" ref="K16:K21" si="1">J16*F16</f>
        <v>102175.60999999999</v>
      </c>
      <c r="L16" s="118"/>
      <c r="M16" s="245"/>
      <c r="N16" s="80">
        <f t="shared" ref="N16:N21" si="2">F16</f>
        <v>9853</v>
      </c>
      <c r="O16" s="64">
        <v>10.37</v>
      </c>
      <c r="P16" s="246"/>
      <c r="Q16" s="78">
        <f t="shared" ref="Q16:Q21" si="3">O16*N16</f>
        <v>102175.60999999999</v>
      </c>
      <c r="R16" s="36"/>
      <c r="S16" s="300"/>
      <c r="T16" s="16"/>
      <c r="U16" s="36"/>
      <c r="V16" s="36"/>
      <c r="W16" s="36"/>
      <c r="X16" s="64"/>
      <c r="Y16" s="301"/>
      <c r="Z16" s="302"/>
      <c r="AA16" s="36"/>
      <c r="AB16" s="300"/>
    </row>
    <row r="17" spans="1:28" x14ac:dyDescent="0.3">
      <c r="A17" s="24"/>
      <c r="B17" s="266"/>
      <c r="C17" s="2" t="s">
        <v>147</v>
      </c>
      <c r="D17" s="13"/>
      <c r="E17" s="47"/>
      <c r="F17" s="47">
        <f>Billings!P195</f>
        <v>462</v>
      </c>
      <c r="G17" s="64">
        <v>15.99</v>
      </c>
      <c r="H17" s="78">
        <f t="shared" si="0"/>
        <v>7387.38</v>
      </c>
      <c r="I17" s="245"/>
      <c r="J17" s="64">
        <v>15.85</v>
      </c>
      <c r="K17" s="78">
        <f t="shared" si="1"/>
        <v>7322.7</v>
      </c>
      <c r="L17" s="118"/>
      <c r="M17" s="245"/>
      <c r="N17" s="80">
        <f t="shared" si="2"/>
        <v>462</v>
      </c>
      <c r="O17" s="64">
        <v>15.85</v>
      </c>
      <c r="P17" s="246"/>
      <c r="Q17" s="78">
        <f t="shared" si="3"/>
        <v>7322.7</v>
      </c>
      <c r="R17" s="36"/>
      <c r="S17" s="300"/>
      <c r="T17" s="16"/>
      <c r="U17" s="36"/>
      <c r="V17" s="36"/>
      <c r="W17" s="36"/>
      <c r="X17" s="64"/>
      <c r="Y17" s="301"/>
      <c r="Z17" s="302"/>
      <c r="AA17" s="36"/>
      <c r="AB17" s="300"/>
    </row>
    <row r="18" spans="1:28" ht="18" customHeight="1" x14ac:dyDescent="0.3">
      <c r="A18" s="24"/>
      <c r="B18" s="24"/>
      <c r="C18" s="2" t="s">
        <v>148</v>
      </c>
      <c r="D18" s="13"/>
      <c r="E18" s="47"/>
      <c r="F18" s="47">
        <f>Billings!P196</f>
        <v>408</v>
      </c>
      <c r="G18" s="64">
        <v>22.01</v>
      </c>
      <c r="H18" s="78">
        <f t="shared" si="0"/>
        <v>8980.08</v>
      </c>
      <c r="I18" s="245"/>
      <c r="J18" s="64">
        <v>21.78</v>
      </c>
      <c r="K18" s="78">
        <f t="shared" si="1"/>
        <v>8886.24</v>
      </c>
      <c r="L18" s="118"/>
      <c r="M18" s="245"/>
      <c r="N18" s="80">
        <f t="shared" si="2"/>
        <v>408</v>
      </c>
      <c r="O18" s="64">
        <v>21.78</v>
      </c>
      <c r="P18" s="246"/>
      <c r="Q18" s="78">
        <f t="shared" si="3"/>
        <v>8886.24</v>
      </c>
      <c r="R18" s="36"/>
      <c r="S18" s="300"/>
      <c r="T18" s="16"/>
      <c r="U18" s="36"/>
      <c r="V18" s="36"/>
      <c r="W18" s="36"/>
      <c r="X18" s="64"/>
      <c r="Y18" s="301"/>
      <c r="Z18" s="302"/>
      <c r="AA18" s="36"/>
      <c r="AB18" s="300"/>
    </row>
    <row r="19" spans="1:28" ht="18" customHeight="1" x14ac:dyDescent="0.3">
      <c r="A19" s="24"/>
      <c r="B19" s="24"/>
      <c r="C19" s="2" t="s">
        <v>149</v>
      </c>
      <c r="D19" s="13"/>
      <c r="E19" s="47"/>
      <c r="F19" s="47">
        <f>Billings!P200</f>
        <v>35425</v>
      </c>
      <c r="G19" s="64">
        <v>9.33</v>
      </c>
      <c r="H19" s="78">
        <f t="shared" si="0"/>
        <v>330515.25</v>
      </c>
      <c r="I19" s="245"/>
      <c r="J19" s="64">
        <v>9.2899999999999991</v>
      </c>
      <c r="K19" s="78">
        <f t="shared" si="1"/>
        <v>329098.24999999994</v>
      </c>
      <c r="L19" s="118"/>
      <c r="M19" s="245"/>
      <c r="N19" s="80">
        <f t="shared" si="2"/>
        <v>35425</v>
      </c>
      <c r="O19" s="64">
        <v>9.2899999999999991</v>
      </c>
      <c r="P19" s="246"/>
      <c r="Q19" s="78">
        <f t="shared" si="3"/>
        <v>329098.24999999994</v>
      </c>
      <c r="R19" s="36"/>
      <c r="S19" s="300"/>
      <c r="T19" s="16"/>
      <c r="U19" s="36"/>
      <c r="V19" s="36"/>
      <c r="W19" s="36"/>
      <c r="X19" s="64"/>
      <c r="Y19" s="301"/>
      <c r="Z19" s="302"/>
      <c r="AA19" s="36"/>
      <c r="AB19" s="300"/>
    </row>
    <row r="20" spans="1:28" ht="18" customHeight="1" x14ac:dyDescent="0.3">
      <c r="A20" s="24"/>
      <c r="B20" s="24"/>
      <c r="C20" s="2" t="s">
        <v>150</v>
      </c>
      <c r="D20" s="13"/>
      <c r="E20" s="47"/>
      <c r="F20" s="47">
        <f>Billings!P201</f>
        <v>7</v>
      </c>
      <c r="G20" s="64">
        <v>11.18</v>
      </c>
      <c r="H20" s="78">
        <f t="shared" si="0"/>
        <v>78.259999999999991</v>
      </c>
      <c r="I20" s="245"/>
      <c r="J20" s="64">
        <v>11.12</v>
      </c>
      <c r="K20" s="78">
        <f t="shared" si="1"/>
        <v>77.839999999999989</v>
      </c>
      <c r="L20" s="118"/>
      <c r="M20" s="245"/>
      <c r="N20" s="80">
        <f t="shared" si="2"/>
        <v>7</v>
      </c>
      <c r="O20" s="64">
        <v>11.12</v>
      </c>
      <c r="P20" s="246"/>
      <c r="Q20" s="78">
        <f t="shared" si="3"/>
        <v>77.839999999999989</v>
      </c>
      <c r="R20" s="36"/>
      <c r="S20" s="300"/>
      <c r="T20" s="16"/>
      <c r="U20" s="36"/>
      <c r="V20" s="36"/>
      <c r="W20" s="36"/>
      <c r="X20" s="64"/>
      <c r="Y20" s="301"/>
      <c r="Z20" s="302"/>
      <c r="AA20" s="36"/>
      <c r="AB20" s="300"/>
    </row>
    <row r="21" spans="1:28" ht="18" customHeight="1" x14ac:dyDescent="0.3">
      <c r="A21" s="24"/>
      <c r="B21" s="24"/>
      <c r="C21" s="2" t="s">
        <v>151</v>
      </c>
      <c r="D21" s="13"/>
      <c r="E21" s="47"/>
      <c r="F21" s="47">
        <v>0</v>
      </c>
      <c r="G21" s="423">
        <v>17.62</v>
      </c>
      <c r="H21" s="78">
        <f t="shared" si="0"/>
        <v>0</v>
      </c>
      <c r="I21" s="245"/>
      <c r="J21" s="423">
        <v>17.5</v>
      </c>
      <c r="K21" s="78">
        <f t="shared" si="1"/>
        <v>0</v>
      </c>
      <c r="L21" s="118"/>
      <c r="M21" s="245"/>
      <c r="N21" s="80">
        <f t="shared" si="2"/>
        <v>0</v>
      </c>
      <c r="O21" s="423">
        <v>17.5</v>
      </c>
      <c r="P21" s="246"/>
      <c r="Q21" s="78">
        <f t="shared" si="3"/>
        <v>0</v>
      </c>
      <c r="R21" s="36"/>
      <c r="S21" s="300"/>
      <c r="T21" s="16"/>
      <c r="U21" s="36"/>
      <c r="V21" s="36"/>
      <c r="W21" s="36"/>
      <c r="X21" s="64"/>
      <c r="Y21" s="301"/>
      <c r="Z21" s="302"/>
      <c r="AA21" s="36"/>
      <c r="AB21" s="300"/>
    </row>
    <row r="22" spans="1:28" ht="18" customHeight="1" x14ac:dyDescent="0.3">
      <c r="A22" s="24"/>
      <c r="B22" s="24"/>
      <c r="D22" s="13"/>
      <c r="E22" s="47"/>
      <c r="F22" s="47"/>
      <c r="G22" s="64"/>
      <c r="H22" s="78"/>
      <c r="I22" s="245"/>
      <c r="J22" s="245"/>
      <c r="K22" s="78"/>
      <c r="L22" s="118"/>
      <c r="M22" s="245"/>
      <c r="N22" s="80"/>
      <c r="O22" s="264"/>
      <c r="P22" s="246"/>
      <c r="Q22" s="78"/>
      <c r="R22" s="36"/>
      <c r="S22" s="300"/>
      <c r="T22" s="16"/>
      <c r="U22" s="36"/>
      <c r="V22" s="36"/>
      <c r="W22" s="36"/>
      <c r="X22" s="64"/>
      <c r="Y22" s="301"/>
      <c r="Z22" s="302"/>
      <c r="AA22" s="36"/>
      <c r="AB22" s="300"/>
    </row>
    <row r="23" spans="1:28" ht="18" customHeight="1" x14ac:dyDescent="0.3">
      <c r="A23" s="24"/>
      <c r="B23" s="24"/>
      <c r="D23" s="267">
        <f>Billings!P101</f>
        <v>164141</v>
      </c>
      <c r="E23" s="47"/>
      <c r="F23" s="263">
        <f>SUM(F12:F22)</f>
        <v>103243</v>
      </c>
      <c r="G23" s="64"/>
      <c r="H23" s="351">
        <f t="shared" ref="H23" si="4">SUM(H12:H22)</f>
        <v>1025685.2</v>
      </c>
      <c r="I23" s="245"/>
      <c r="J23" s="64"/>
      <c r="K23" s="351">
        <f t="shared" ref="K23" si="5">SUM(K12:K22)</f>
        <v>1018008.6799999998</v>
      </c>
      <c r="L23" s="118"/>
      <c r="M23" s="245"/>
      <c r="N23" s="262"/>
      <c r="O23" s="246"/>
      <c r="P23" s="246"/>
      <c r="Q23" s="351">
        <f t="shared" ref="Q23" si="6">SUM(Q12:Q22)</f>
        <v>1018008.6799999998</v>
      </c>
      <c r="R23" s="36"/>
      <c r="S23" s="300"/>
      <c r="T23" s="16"/>
      <c r="U23" s="36"/>
      <c r="V23" s="36"/>
      <c r="W23" s="36"/>
      <c r="X23" s="64"/>
      <c r="Y23" s="301"/>
      <c r="Z23" s="302"/>
      <c r="AA23" s="36"/>
      <c r="AB23" s="300"/>
    </row>
    <row r="24" spans="1:28" ht="18" customHeight="1" x14ac:dyDescent="0.3">
      <c r="A24" s="1" t="s">
        <v>52</v>
      </c>
      <c r="B24" s="45"/>
      <c r="C24" s="83"/>
      <c r="D24" s="46"/>
      <c r="E24" s="15"/>
      <c r="F24" s="49"/>
      <c r="G24" s="246"/>
      <c r="H24" s="78"/>
      <c r="I24" s="245"/>
      <c r="J24" s="64"/>
      <c r="K24" s="78"/>
      <c r="L24" s="118"/>
      <c r="M24" s="245"/>
      <c r="N24" s="262"/>
      <c r="O24" s="246"/>
      <c r="P24" s="246"/>
      <c r="Q24" s="78"/>
      <c r="R24" s="36"/>
      <c r="S24" s="300"/>
      <c r="T24" s="16"/>
      <c r="U24" s="36"/>
      <c r="V24" s="36"/>
      <c r="W24" s="36"/>
      <c r="X24" s="64"/>
      <c r="Y24" s="301"/>
      <c r="Z24" s="302"/>
      <c r="AA24" s="36"/>
      <c r="AB24" s="300"/>
    </row>
    <row r="25" spans="1:28" ht="18" customHeight="1" x14ac:dyDescent="0.3">
      <c r="A25" s="1"/>
      <c r="B25" s="24" t="s">
        <v>46</v>
      </c>
      <c r="C25" s="83"/>
      <c r="D25" s="46"/>
      <c r="E25" s="15"/>
      <c r="F25" s="49"/>
      <c r="G25" s="246"/>
      <c r="H25" s="78">
        <f>Billings!P125</f>
        <v>-746.42</v>
      </c>
      <c r="I25" s="245"/>
      <c r="J25" s="64"/>
      <c r="K25" s="78">
        <f>H25</f>
        <v>-746.42</v>
      </c>
      <c r="L25" s="118"/>
      <c r="M25" s="245"/>
      <c r="N25" s="262"/>
      <c r="O25" s="246"/>
      <c r="P25" s="246"/>
      <c r="Q25" s="78">
        <f>K25</f>
        <v>-746.42</v>
      </c>
      <c r="R25" s="36"/>
      <c r="S25" s="300"/>
      <c r="T25" s="16"/>
      <c r="U25" s="36"/>
      <c r="V25" s="36"/>
      <c r="W25" s="36"/>
      <c r="X25" s="64"/>
      <c r="Y25" s="301"/>
      <c r="Z25" s="302"/>
      <c r="AA25" s="36"/>
      <c r="AB25" s="300"/>
    </row>
    <row r="26" spans="1:28" ht="18" customHeight="1" x14ac:dyDescent="0.3">
      <c r="A26" s="1"/>
      <c r="B26" s="24" t="s">
        <v>53</v>
      </c>
      <c r="C26" s="83"/>
      <c r="D26" s="46"/>
      <c r="E26" s="48"/>
      <c r="F26" s="49"/>
      <c r="G26" s="246"/>
      <c r="H26" s="78">
        <f>Billings!P133</f>
        <v>2786.7000000000003</v>
      </c>
      <c r="I26" s="245"/>
      <c r="J26" s="64"/>
      <c r="K26" s="78">
        <f>H26</f>
        <v>2786.7000000000003</v>
      </c>
      <c r="L26" s="118"/>
      <c r="M26" s="245"/>
      <c r="N26" s="262"/>
      <c r="O26" s="246"/>
      <c r="P26" s="246"/>
      <c r="Q26" s="78">
        <f>K26</f>
        <v>2786.7000000000003</v>
      </c>
      <c r="R26" s="36"/>
      <c r="S26" s="300"/>
      <c r="T26" s="16"/>
      <c r="U26" s="36"/>
      <c r="V26" s="36"/>
      <c r="W26" s="36"/>
      <c r="X26" s="64"/>
      <c r="Y26" s="301"/>
      <c r="Z26" s="302"/>
      <c r="AA26" s="36"/>
      <c r="AB26" s="300"/>
    </row>
    <row r="27" spans="1:28" ht="18" customHeight="1" x14ac:dyDescent="0.3">
      <c r="A27" s="1"/>
      <c r="B27" s="24"/>
      <c r="C27" s="83"/>
      <c r="D27" s="46"/>
      <c r="E27" s="48"/>
      <c r="F27" s="49"/>
      <c r="G27" s="246"/>
      <c r="H27" s="78"/>
      <c r="I27" s="245"/>
      <c r="J27" s="64"/>
      <c r="K27" s="78"/>
      <c r="L27" s="118"/>
      <c r="M27" s="245"/>
      <c r="N27" s="262"/>
      <c r="O27" s="246"/>
      <c r="P27" s="246"/>
      <c r="Q27" s="78"/>
      <c r="R27" s="36"/>
      <c r="S27" s="300"/>
      <c r="T27" s="16"/>
      <c r="U27" s="36"/>
      <c r="V27" s="36"/>
      <c r="W27" s="36"/>
      <c r="X27" s="64"/>
      <c r="Y27" s="301"/>
      <c r="Z27" s="302"/>
      <c r="AA27" s="36"/>
      <c r="AB27" s="300"/>
    </row>
    <row r="28" spans="1:28" x14ac:dyDescent="0.3">
      <c r="A28" s="24"/>
      <c r="B28" s="24"/>
      <c r="D28" s="24"/>
      <c r="E28" s="47"/>
      <c r="F28" s="46"/>
      <c r="G28" s="24"/>
      <c r="H28" s="247"/>
      <c r="I28" s="247"/>
      <c r="J28" s="247"/>
      <c r="K28" s="247"/>
      <c r="L28" s="118"/>
      <c r="M28" s="247"/>
      <c r="N28" s="46"/>
      <c r="O28" s="24"/>
      <c r="P28" s="24"/>
      <c r="Q28" s="247"/>
      <c r="R28" s="36"/>
      <c r="S28" s="48"/>
      <c r="T28" s="16"/>
      <c r="U28" s="36"/>
      <c r="V28" s="36"/>
      <c r="W28" s="36"/>
      <c r="X28" s="36"/>
      <c r="Y28" s="297"/>
      <c r="Z28" s="36"/>
      <c r="AA28" s="36"/>
      <c r="AB28" s="48"/>
    </row>
    <row r="29" spans="1:28" ht="16.2" thickBot="1" x14ac:dyDescent="0.35">
      <c r="A29" s="1" t="s">
        <v>35</v>
      </c>
      <c r="B29" s="1"/>
      <c r="C29" s="1"/>
      <c r="D29" s="1"/>
      <c r="E29" s="47"/>
      <c r="F29" s="24"/>
      <c r="G29" s="24"/>
      <c r="H29" s="59">
        <f>H23+H25+H26+H27</f>
        <v>1027725.4799999999</v>
      </c>
      <c r="I29" s="55"/>
      <c r="J29" s="55"/>
      <c r="K29" s="59">
        <f>K23+K25+K26</f>
        <v>1020048.9599999997</v>
      </c>
      <c r="L29" s="118"/>
      <c r="M29" s="55"/>
      <c r="N29" s="1" t="s">
        <v>35</v>
      </c>
      <c r="O29" s="24"/>
      <c r="P29" s="24"/>
      <c r="Q29" s="59">
        <f>Q23+Q25+Q26</f>
        <v>1020048.9599999997</v>
      </c>
      <c r="R29" s="36"/>
      <c r="S29" s="55"/>
      <c r="T29" s="16"/>
      <c r="U29" s="69"/>
      <c r="V29" s="36"/>
      <c r="W29" s="36"/>
      <c r="X29" s="36"/>
      <c r="Y29" s="36"/>
      <c r="Z29" s="36"/>
      <c r="AA29" s="36"/>
      <c r="AB29" s="55"/>
    </row>
    <row r="30" spans="1:28" ht="16.2" thickTop="1" x14ac:dyDescent="0.3">
      <c r="A30" s="45"/>
      <c r="B30" s="45"/>
      <c r="C30" s="45"/>
      <c r="D30" s="45"/>
      <c r="E30" s="47"/>
      <c r="F30" s="24"/>
      <c r="G30" s="24"/>
      <c r="H30" s="48"/>
      <c r="I30" s="48"/>
      <c r="J30" s="48"/>
      <c r="K30" s="48"/>
      <c r="L30" s="118"/>
      <c r="M30" s="48"/>
      <c r="N30" s="1"/>
      <c r="O30" s="24"/>
      <c r="P30" s="24"/>
      <c r="Q30" s="15"/>
      <c r="R30" s="36"/>
      <c r="S30" s="48"/>
      <c r="T30" s="16"/>
      <c r="U30" s="69"/>
      <c r="V30" s="36"/>
      <c r="W30" s="36"/>
      <c r="X30" s="36"/>
      <c r="Y30" s="36"/>
      <c r="Z30" s="36"/>
      <c r="AA30" s="36"/>
      <c r="AB30" s="48"/>
    </row>
    <row r="31" spans="1:28" x14ac:dyDescent="0.3">
      <c r="A31" s="32" t="s">
        <v>14</v>
      </c>
      <c r="B31" s="32"/>
      <c r="C31" s="32"/>
      <c r="D31" s="32"/>
      <c r="E31" s="47"/>
      <c r="F31" s="49"/>
      <c r="G31" s="24"/>
      <c r="H31" s="247">
        <f>Billings!P117</f>
        <v>1054587.6199999996</v>
      </c>
      <c r="I31" s="247"/>
      <c r="J31" s="247"/>
      <c r="K31" s="247"/>
      <c r="L31" s="118"/>
      <c r="M31" s="247"/>
      <c r="N31" s="69" t="s">
        <v>61</v>
      </c>
      <c r="O31" s="24"/>
      <c r="P31" s="24"/>
      <c r="Q31" s="27">
        <f>Q29-K29</f>
        <v>0</v>
      </c>
      <c r="R31" s="36"/>
      <c r="S31" s="248"/>
      <c r="T31" s="16"/>
      <c r="U31" s="32"/>
      <c r="V31" s="36"/>
      <c r="W31" s="36"/>
      <c r="X31" s="36"/>
      <c r="Y31" s="248"/>
      <c r="Z31" s="36"/>
      <c r="AA31" s="36"/>
      <c r="AB31" s="248"/>
    </row>
    <row r="32" spans="1:28" x14ac:dyDescent="0.3">
      <c r="A32" s="9"/>
      <c r="B32" s="9"/>
      <c r="C32" s="9"/>
      <c r="D32" s="9"/>
      <c r="E32" s="47"/>
      <c r="F32" s="36"/>
      <c r="G32" s="24"/>
      <c r="H32" s="245"/>
      <c r="I32" s="245"/>
      <c r="J32" s="245"/>
      <c r="K32" s="245"/>
      <c r="L32" s="118"/>
      <c r="M32" s="245"/>
      <c r="N32" s="36"/>
      <c r="O32" s="24"/>
      <c r="P32" s="24"/>
      <c r="Q32" s="9"/>
      <c r="R32" s="36"/>
      <c r="S32" s="48"/>
      <c r="T32" s="16"/>
      <c r="U32" s="14"/>
      <c r="V32" s="36"/>
      <c r="W32" s="36"/>
      <c r="X32" s="36"/>
      <c r="Y32" s="48"/>
      <c r="Z32" s="36"/>
      <c r="AA32" s="36"/>
      <c r="AB32" s="48"/>
    </row>
    <row r="33" spans="1:28" x14ac:dyDescent="0.3">
      <c r="A33" s="32" t="s">
        <v>10</v>
      </c>
      <c r="B33" s="32"/>
      <c r="C33" s="32"/>
      <c r="D33" s="32"/>
      <c r="E33" s="47"/>
      <c r="F33" s="248"/>
      <c r="G33" s="24"/>
      <c r="H33" s="249">
        <f>H29-H31</f>
        <v>-26862.139999999781</v>
      </c>
      <c r="I33" s="249"/>
      <c r="J33" s="249"/>
      <c r="K33" s="249">
        <f>K29-H29</f>
        <v>-7676.520000000135</v>
      </c>
      <c r="L33" s="118"/>
      <c r="M33" s="249"/>
      <c r="N33" s="69" t="s">
        <v>62</v>
      </c>
      <c r="O33" s="24"/>
      <c r="P33" s="24"/>
      <c r="Q33" s="84">
        <f>IF(K29=0,0,Q31/K29)</f>
        <v>0</v>
      </c>
      <c r="R33" s="36"/>
      <c r="S33" s="250"/>
      <c r="T33" s="16"/>
      <c r="U33" s="32"/>
      <c r="V33" s="36"/>
      <c r="W33" s="36"/>
      <c r="X33" s="36"/>
      <c r="Y33" s="250"/>
      <c r="Z33" s="36"/>
      <c r="AA33" s="36"/>
      <c r="AB33" s="250"/>
    </row>
    <row r="34" spans="1:28" x14ac:dyDescent="0.3">
      <c r="A34" s="9"/>
      <c r="B34" s="9"/>
      <c r="C34" s="9"/>
      <c r="D34" s="9"/>
      <c r="E34" s="47"/>
      <c r="F34" s="48"/>
      <c r="G34" s="24"/>
      <c r="H34" s="247"/>
      <c r="I34" s="247"/>
      <c r="J34" s="247"/>
      <c r="K34" s="247"/>
      <c r="L34" s="118"/>
      <c r="M34" s="247"/>
      <c r="N34" s="24"/>
      <c r="O34" s="24"/>
      <c r="P34" s="24"/>
      <c r="Q34" s="1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3">
      <c r="A35" s="32" t="s">
        <v>16</v>
      </c>
      <c r="B35" s="32"/>
      <c r="C35" s="32"/>
      <c r="D35" s="32"/>
      <c r="E35" s="47"/>
      <c r="F35" s="250"/>
      <c r="G35" s="24"/>
      <c r="H35" s="51">
        <f>(H29-H31)/H31</f>
        <v>-2.5471700492747856E-2</v>
      </c>
      <c r="I35" s="250"/>
      <c r="J35" s="250"/>
      <c r="K35" s="20">
        <f>K33/H31</f>
        <v>-7.2791675669397083E-3</v>
      </c>
      <c r="L35" s="118"/>
      <c r="M35" s="250"/>
      <c r="N35" s="45" t="s">
        <v>44</v>
      </c>
      <c r="O35" s="24"/>
      <c r="P35" s="24"/>
      <c r="Q35" s="33">
        <f>Q31/F23</f>
        <v>0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3">
      <c r="A36" s="10"/>
      <c r="B36" s="10"/>
      <c r="C36" s="10"/>
      <c r="D36" s="13"/>
      <c r="E36" s="47"/>
      <c r="F36" s="24"/>
      <c r="G36" s="24"/>
      <c r="H36" s="48"/>
      <c r="I36" s="48"/>
      <c r="J36" s="48"/>
      <c r="K36" s="48"/>
      <c r="M36" s="48"/>
      <c r="N36" s="24"/>
      <c r="O36" s="24"/>
      <c r="P36" s="24"/>
      <c r="Q36" s="48"/>
      <c r="R36" s="36"/>
      <c r="S36" s="30"/>
      <c r="T36" s="16"/>
      <c r="U36" s="48"/>
      <c r="V36" s="48"/>
      <c r="W36" s="48"/>
      <c r="X36" s="36"/>
      <c r="Y36" s="36"/>
      <c r="Z36" s="36"/>
      <c r="AA36" s="36"/>
      <c r="AB36" s="30"/>
    </row>
    <row r="37" spans="1:28" x14ac:dyDescent="0.3">
      <c r="A37" s="24"/>
      <c r="B37" s="24"/>
      <c r="C37" s="24"/>
      <c r="D37" s="24"/>
      <c r="E37" s="47"/>
      <c r="F37" s="24"/>
      <c r="G37" s="24"/>
      <c r="H37" s="48"/>
      <c r="I37" s="48"/>
      <c r="J37" s="48"/>
      <c r="K37" s="48"/>
      <c r="L37" s="122"/>
      <c r="M37" s="48"/>
      <c r="N37" s="47"/>
      <c r="O37" s="50"/>
      <c r="P37" s="50"/>
      <c r="Q37" s="48"/>
      <c r="R37" s="36"/>
      <c r="S37" s="48"/>
      <c r="T37" s="16"/>
      <c r="U37" s="36"/>
      <c r="V37" s="303"/>
      <c r="W37" s="36"/>
      <c r="X37" s="304"/>
      <c r="Y37" s="297"/>
      <c r="Z37" s="305"/>
      <c r="AA37" s="36"/>
      <c r="AB37" s="48"/>
    </row>
    <row r="38" spans="1:28" x14ac:dyDescent="0.3">
      <c r="A38" s="24"/>
      <c r="B38" s="24"/>
      <c r="C38" s="24"/>
      <c r="D38" s="24"/>
      <c r="E38" s="47"/>
      <c r="F38" s="24"/>
      <c r="G38" s="24"/>
      <c r="H38" s="48"/>
      <c r="I38" s="48"/>
      <c r="J38" s="48"/>
      <c r="K38" s="48"/>
      <c r="L38" s="122"/>
      <c r="M38" s="48"/>
      <c r="N38" s="47"/>
      <c r="O38" s="50"/>
      <c r="P38" s="50"/>
      <c r="Q38" s="48"/>
      <c r="R38" s="36"/>
      <c r="S38" s="48"/>
      <c r="T38" s="16"/>
      <c r="U38" s="36"/>
      <c r="V38" s="303"/>
      <c r="W38" s="36"/>
      <c r="X38" s="304"/>
      <c r="Y38" s="297"/>
      <c r="Z38" s="305"/>
      <c r="AA38" s="36"/>
      <c r="AB38" s="48"/>
    </row>
    <row r="39" spans="1:28" ht="15" customHeight="1" x14ac:dyDescent="0.3">
      <c r="E39" s="47"/>
      <c r="F39" s="24"/>
      <c r="G39" s="24"/>
      <c r="H39" s="9"/>
      <c r="I39" s="9"/>
      <c r="J39" s="9"/>
      <c r="K39" s="9"/>
      <c r="M39" s="9"/>
      <c r="Q39" s="9"/>
      <c r="U39" s="9"/>
      <c r="V39" s="9"/>
      <c r="W39" s="9"/>
    </row>
    <row r="40" spans="1:28" x14ac:dyDescent="0.3">
      <c r="E40" s="47"/>
      <c r="F40" s="24"/>
      <c r="G40" s="24"/>
      <c r="H40" s="9"/>
      <c r="I40" s="9"/>
      <c r="J40" s="9"/>
      <c r="K40" s="9"/>
      <c r="M40" s="9"/>
      <c r="Q40" s="9"/>
      <c r="S40" s="18"/>
      <c r="U40" s="10"/>
      <c r="V40" s="10"/>
      <c r="W40" s="16"/>
      <c r="X40" s="16"/>
      <c r="Y40" s="41"/>
      <c r="AB40" s="18"/>
    </row>
    <row r="41" spans="1:28" x14ac:dyDescent="0.3">
      <c r="E41" s="47"/>
      <c r="F41" s="24"/>
      <c r="G41" s="24"/>
      <c r="H41" s="9"/>
      <c r="I41" s="9"/>
      <c r="J41" s="9"/>
      <c r="K41" s="9"/>
      <c r="M41" s="9"/>
      <c r="Q41" s="9"/>
      <c r="U41" s="9"/>
      <c r="V41" s="9"/>
      <c r="W41" s="41"/>
      <c r="X41" s="41"/>
      <c r="Y41" s="41"/>
    </row>
    <row r="42" spans="1:28" x14ac:dyDescent="0.3">
      <c r="E42" s="47"/>
      <c r="F42" s="24"/>
      <c r="G42" s="24"/>
      <c r="H42" s="9"/>
      <c r="I42" s="9"/>
      <c r="J42" s="9"/>
      <c r="K42" s="9"/>
      <c r="M42" s="9"/>
      <c r="Q42" s="9"/>
      <c r="U42" s="19"/>
      <c r="V42" s="19"/>
      <c r="W42" s="42"/>
      <c r="X42" s="53"/>
      <c r="Y42" s="34"/>
    </row>
    <row r="43" spans="1:28" x14ac:dyDescent="0.3">
      <c r="E43" s="47"/>
      <c r="F43" s="24"/>
      <c r="G43" s="24"/>
      <c r="H43" s="9"/>
      <c r="I43" s="9"/>
      <c r="J43" s="9"/>
      <c r="K43" s="9"/>
      <c r="M43" s="9"/>
      <c r="Q43" s="9"/>
      <c r="U43" s="20"/>
      <c r="V43" s="20"/>
      <c r="W43" s="42"/>
      <c r="X43" s="53"/>
      <c r="Y43" s="34"/>
    </row>
    <row r="44" spans="1:28" x14ac:dyDescent="0.3">
      <c r="H44" s="9"/>
      <c r="I44" s="9"/>
      <c r="J44" s="9"/>
      <c r="K44" s="9"/>
      <c r="M44" s="9"/>
      <c r="Q44" s="9"/>
      <c r="W44" s="42"/>
      <c r="X44" s="53"/>
      <c r="Y44" s="34"/>
    </row>
    <row r="45" spans="1:28" x14ac:dyDescent="0.3">
      <c r="H45" s="9"/>
      <c r="I45" s="9"/>
      <c r="J45" s="9"/>
      <c r="K45" s="9"/>
      <c r="M45" s="9"/>
      <c r="Q45" s="9"/>
      <c r="W45" s="42"/>
      <c r="X45" s="53"/>
      <c r="Y45" s="34"/>
    </row>
    <row r="46" spans="1:28" x14ac:dyDescent="0.3">
      <c r="H46" s="9"/>
      <c r="I46" s="9"/>
      <c r="J46" s="9"/>
      <c r="K46" s="9"/>
      <c r="M46" s="9"/>
      <c r="Q46" s="9"/>
      <c r="W46" s="42"/>
      <c r="X46" s="53"/>
      <c r="Y46" s="34"/>
    </row>
    <row r="47" spans="1:28" x14ac:dyDescent="0.3">
      <c r="H47" s="9"/>
      <c r="I47" s="9"/>
      <c r="J47" s="9"/>
      <c r="K47" s="9"/>
      <c r="M47" s="9"/>
      <c r="Q47" s="9"/>
      <c r="W47" s="42"/>
      <c r="X47" s="53"/>
      <c r="Y47" s="34"/>
    </row>
    <row r="48" spans="1:28" x14ac:dyDescent="0.3">
      <c r="F48" s="306"/>
      <c r="G48" s="34"/>
      <c r="H48" s="9"/>
      <c r="I48" s="9"/>
      <c r="J48" s="9"/>
      <c r="K48" s="9"/>
      <c r="M48" s="9"/>
      <c r="N48" s="306"/>
      <c r="O48" s="34"/>
      <c r="P48" s="34"/>
      <c r="Q48" s="9"/>
      <c r="W48" s="16"/>
      <c r="X48" s="16"/>
      <c r="Y48" s="34"/>
    </row>
    <row r="49" spans="1:25" x14ac:dyDescent="0.3">
      <c r="E49" s="34"/>
      <c r="F49" s="16"/>
      <c r="G49" s="41"/>
      <c r="H49" s="9"/>
      <c r="I49" s="9"/>
      <c r="J49" s="9"/>
      <c r="K49" s="9"/>
      <c r="M49" s="9"/>
      <c r="N49" s="16"/>
      <c r="O49" s="41"/>
      <c r="P49" s="41"/>
      <c r="Q49" s="9"/>
      <c r="W49" s="16"/>
      <c r="X49" s="16"/>
      <c r="Y49" s="43"/>
    </row>
    <row r="50" spans="1:25" x14ac:dyDescent="0.3">
      <c r="E50" s="39"/>
      <c r="F50" s="56"/>
      <c r="G50" s="41"/>
      <c r="H50" s="9"/>
      <c r="I50" s="9"/>
      <c r="J50" s="9"/>
      <c r="K50" s="9"/>
      <c r="M50" s="9"/>
      <c r="N50" s="56"/>
      <c r="O50" s="41"/>
      <c r="P50" s="41"/>
      <c r="Q50" s="9"/>
    </row>
    <row r="51" spans="1:25" x14ac:dyDescent="0.3">
      <c r="E51" s="39"/>
      <c r="F51" s="56"/>
      <c r="G51" s="41"/>
      <c r="H51" s="9"/>
      <c r="I51" s="9"/>
      <c r="J51" s="9"/>
      <c r="K51" s="9"/>
      <c r="M51" s="9"/>
      <c r="N51" s="56"/>
      <c r="O51" s="41"/>
      <c r="P51" s="41"/>
      <c r="Q51" s="9"/>
    </row>
    <row r="52" spans="1:25" x14ac:dyDescent="0.3">
      <c r="E52" s="39"/>
      <c r="F52" s="56"/>
      <c r="G52" s="41"/>
      <c r="H52" s="9"/>
      <c r="I52" s="9"/>
      <c r="J52" s="9"/>
      <c r="K52" s="9"/>
      <c r="M52" s="9"/>
      <c r="N52" s="56"/>
      <c r="O52" s="41"/>
      <c r="P52" s="41"/>
      <c r="Q52" s="9"/>
    </row>
    <row r="53" spans="1:25" x14ac:dyDescent="0.3">
      <c r="E53" s="39"/>
      <c r="F53" s="56"/>
      <c r="G53" s="41"/>
      <c r="H53" s="9"/>
      <c r="I53" s="9"/>
      <c r="J53" s="9"/>
      <c r="K53" s="9"/>
      <c r="M53" s="9"/>
      <c r="N53" s="56"/>
      <c r="O53" s="41"/>
      <c r="P53" s="41"/>
      <c r="Q53" s="9"/>
    </row>
    <row r="54" spans="1:25" x14ac:dyDescent="0.3">
      <c r="E54" s="39"/>
      <c r="F54" s="56"/>
      <c r="G54" s="41"/>
      <c r="H54" s="9"/>
      <c r="I54" s="9"/>
      <c r="J54" s="9"/>
      <c r="K54" s="9"/>
      <c r="M54" s="9"/>
      <c r="N54" s="56"/>
      <c r="O54" s="41"/>
      <c r="P54" s="41"/>
      <c r="Q54" s="9"/>
    </row>
    <row r="55" spans="1:25" x14ac:dyDescent="0.3">
      <c r="D55" s="16"/>
      <c r="E55" s="39"/>
      <c r="F55" s="56"/>
      <c r="G55" s="41"/>
      <c r="H55" s="9"/>
      <c r="I55" s="9"/>
      <c r="J55" s="9"/>
      <c r="K55" s="9"/>
      <c r="M55" s="9"/>
      <c r="N55" s="56"/>
      <c r="O55" s="41"/>
      <c r="P55" s="41"/>
      <c r="Q55" s="9"/>
    </row>
    <row r="56" spans="1:25" x14ac:dyDescent="0.3">
      <c r="C56" s="24"/>
      <c r="D56" s="24"/>
      <c r="E56" s="2"/>
      <c r="F56" s="24"/>
      <c r="G56" s="262"/>
      <c r="H56" s="246"/>
      <c r="I56" s="245"/>
      <c r="J56" s="9"/>
      <c r="K56" s="9"/>
      <c r="M56" s="9"/>
      <c r="N56" s="56"/>
      <c r="O56" s="41"/>
      <c r="P56" s="41"/>
      <c r="Q56" s="9"/>
    </row>
    <row r="57" spans="1:25" x14ac:dyDescent="0.3">
      <c r="C57" s="24"/>
      <c r="E57" s="2"/>
      <c r="F57" s="24"/>
      <c r="G57" s="47"/>
      <c r="H57" s="246"/>
      <c r="I57" s="245"/>
      <c r="J57" s="9"/>
      <c r="K57" s="9"/>
      <c r="M57" s="9"/>
      <c r="N57" s="56"/>
      <c r="O57" s="41"/>
      <c r="P57" s="41"/>
      <c r="Q57" s="9"/>
    </row>
    <row r="58" spans="1:25" x14ac:dyDescent="0.3">
      <c r="C58" s="24"/>
      <c r="E58" s="2"/>
      <c r="F58" s="24"/>
      <c r="G58" s="47"/>
      <c r="H58" s="246"/>
      <c r="I58" s="245"/>
      <c r="J58" s="9"/>
      <c r="K58" s="9"/>
      <c r="M58" s="9"/>
      <c r="N58" s="56"/>
      <c r="O58" s="41"/>
      <c r="P58" s="41"/>
      <c r="Q58" s="9"/>
    </row>
    <row r="59" spans="1:25" x14ac:dyDescent="0.3">
      <c r="C59" s="24"/>
      <c r="E59" s="2"/>
      <c r="F59" s="24"/>
      <c r="G59" s="47"/>
      <c r="H59" s="246"/>
      <c r="I59" s="245"/>
      <c r="J59" s="9"/>
      <c r="K59" s="9"/>
      <c r="M59" s="9"/>
      <c r="N59" s="56"/>
      <c r="O59" s="41"/>
      <c r="P59" s="41"/>
      <c r="Q59" s="9"/>
    </row>
    <row r="60" spans="1:25" x14ac:dyDescent="0.3">
      <c r="C60" s="24"/>
      <c r="E60" s="2"/>
      <c r="F60" s="24"/>
      <c r="G60" s="47"/>
      <c r="H60" s="246"/>
      <c r="I60" s="245"/>
      <c r="J60" s="9"/>
      <c r="K60" s="9"/>
      <c r="M60" s="9"/>
      <c r="N60" s="56"/>
      <c r="O60" s="41"/>
      <c r="P60" s="41"/>
      <c r="Q60" s="9"/>
    </row>
    <row r="61" spans="1:25" x14ac:dyDescent="0.3">
      <c r="C61" s="24"/>
      <c r="E61" s="2"/>
      <c r="F61" s="24"/>
      <c r="G61" s="47"/>
      <c r="H61" s="246"/>
      <c r="I61" s="245"/>
      <c r="J61" s="9"/>
      <c r="K61" s="9"/>
      <c r="M61" s="9"/>
      <c r="N61" s="56"/>
      <c r="O61" s="41"/>
      <c r="P61" s="41"/>
      <c r="Q61" s="9"/>
    </row>
    <row r="62" spans="1:25" x14ac:dyDescent="0.3">
      <c r="C62" s="24"/>
      <c r="E62" s="2"/>
      <c r="F62" s="24"/>
      <c r="G62" s="47"/>
      <c r="H62" s="246"/>
      <c r="I62" s="245"/>
      <c r="J62" s="9"/>
      <c r="K62" s="9"/>
      <c r="M62" s="9"/>
      <c r="N62" s="56"/>
      <c r="O62" s="41"/>
      <c r="P62" s="41"/>
      <c r="Q62" s="9"/>
    </row>
    <row r="63" spans="1:25" x14ac:dyDescent="0.3">
      <c r="C63" s="24"/>
      <c r="E63" s="2"/>
      <c r="F63" s="24"/>
      <c r="G63" s="47"/>
      <c r="H63" s="246"/>
      <c r="I63" s="245"/>
      <c r="J63" s="9"/>
      <c r="K63" s="9"/>
      <c r="M63" s="9"/>
      <c r="N63" s="56"/>
      <c r="O63" s="41"/>
      <c r="P63" s="41"/>
      <c r="Q63" s="9"/>
    </row>
    <row r="64" spans="1:25" x14ac:dyDescent="0.3">
      <c r="A64" s="16"/>
      <c r="B64" s="16"/>
      <c r="C64" s="24"/>
      <c r="E64" s="2"/>
      <c r="F64" s="24"/>
      <c r="G64" s="47"/>
      <c r="H64" s="246"/>
      <c r="I64" s="245"/>
      <c r="J64" s="9"/>
      <c r="K64" s="9"/>
      <c r="M64" s="9"/>
      <c r="N64" s="56"/>
      <c r="O64" s="41"/>
      <c r="P64" s="41"/>
      <c r="Q64" s="9"/>
    </row>
    <row r="65" spans="1:17" x14ac:dyDescent="0.3">
      <c r="A65" s="16"/>
      <c r="B65" s="16"/>
      <c r="C65" s="24"/>
      <c r="E65" s="2"/>
      <c r="F65" s="24"/>
      <c r="G65" s="47"/>
      <c r="H65" s="246"/>
      <c r="I65" s="245"/>
      <c r="J65" s="9"/>
      <c r="K65" s="9"/>
      <c r="M65" s="9"/>
      <c r="N65" s="56"/>
      <c r="O65" s="41"/>
      <c r="P65" s="41"/>
      <c r="Q65" s="9"/>
    </row>
    <row r="66" spans="1:17" x14ac:dyDescent="0.3">
      <c r="A66" s="16"/>
      <c r="B66" s="16"/>
      <c r="C66" s="24"/>
      <c r="E66" s="2"/>
      <c r="F66" s="24"/>
      <c r="G66" s="47"/>
      <c r="H66" s="246"/>
      <c r="I66" s="245"/>
      <c r="J66" s="9"/>
      <c r="K66" s="9"/>
      <c r="M66" s="9"/>
      <c r="N66" s="56"/>
      <c r="O66" s="41"/>
      <c r="P66" s="41"/>
      <c r="Q66" s="9"/>
    </row>
    <row r="67" spans="1:17" x14ac:dyDescent="0.3">
      <c r="A67" s="16"/>
      <c r="B67" s="16"/>
      <c r="C67" s="24"/>
      <c r="D67" s="24"/>
      <c r="E67" s="47"/>
      <c r="F67" s="24"/>
      <c r="G67" s="262"/>
      <c r="H67" s="246"/>
      <c r="I67" s="245"/>
      <c r="J67" s="9"/>
      <c r="K67" s="9"/>
      <c r="M67" s="9"/>
      <c r="N67" s="56"/>
      <c r="O67" s="41"/>
      <c r="P67" s="41"/>
      <c r="Q67" s="9"/>
    </row>
    <row r="68" spans="1:17" x14ac:dyDescent="0.3">
      <c r="A68" s="16"/>
      <c r="B68" s="16"/>
      <c r="C68" s="24"/>
      <c r="D68" s="24"/>
      <c r="E68" s="47"/>
      <c r="F68" s="24"/>
      <c r="G68" s="262"/>
      <c r="H68" s="246"/>
      <c r="I68" s="245"/>
      <c r="J68" s="42"/>
      <c r="K68" s="42"/>
      <c r="M68" s="42"/>
      <c r="N68" s="56"/>
      <c r="O68" s="41"/>
      <c r="P68" s="41"/>
      <c r="Q68" s="42"/>
    </row>
    <row r="69" spans="1:17" x14ac:dyDescent="0.3">
      <c r="A69" s="16"/>
      <c r="B69" s="16"/>
      <c r="C69" s="24"/>
      <c r="D69" s="24"/>
      <c r="E69" s="307"/>
      <c r="F69" s="47"/>
      <c r="G69" s="47"/>
      <c r="H69" s="308"/>
      <c r="I69" s="55"/>
      <c r="J69" s="42"/>
      <c r="K69" s="42"/>
      <c r="M69" s="42"/>
      <c r="N69" s="56"/>
      <c r="O69" s="41"/>
      <c r="P69" s="41"/>
      <c r="Q69" s="42"/>
    </row>
    <row r="70" spans="1:17" x14ac:dyDescent="0.3">
      <c r="A70" s="16"/>
      <c r="B70" s="16"/>
      <c r="C70" s="16"/>
      <c r="D70" s="16"/>
      <c r="E70" s="39"/>
      <c r="F70" s="56"/>
      <c r="G70" s="41"/>
      <c r="H70" s="42"/>
      <c r="I70" s="42"/>
      <c r="J70" s="42"/>
      <c r="K70" s="42"/>
      <c r="M70" s="42"/>
      <c r="N70" s="56"/>
      <c r="O70" s="41"/>
      <c r="P70" s="41"/>
      <c r="Q70" s="42"/>
    </row>
    <row r="71" spans="1:17" x14ac:dyDescent="0.3">
      <c r="A71" s="16"/>
      <c r="B71" s="16"/>
      <c r="C71" s="16"/>
      <c r="D71" s="16"/>
      <c r="E71" s="39"/>
      <c r="F71" s="56"/>
      <c r="G71" s="41"/>
      <c r="H71" s="42"/>
      <c r="I71" s="42"/>
      <c r="J71" s="42"/>
      <c r="K71" s="42"/>
      <c r="M71" s="42"/>
      <c r="N71" s="56"/>
      <c r="O71" s="41"/>
      <c r="P71" s="41"/>
      <c r="Q71" s="42"/>
    </row>
    <row r="72" spans="1:17" x14ac:dyDescent="0.3">
      <c r="A72" s="16"/>
      <c r="B72" s="16"/>
      <c r="C72" s="16"/>
      <c r="D72" s="16"/>
      <c r="E72" s="39"/>
      <c r="F72" s="56"/>
      <c r="G72" s="41"/>
      <c r="H72" s="42"/>
      <c r="I72" s="42"/>
      <c r="J72" s="42"/>
      <c r="K72" s="42"/>
      <c r="M72" s="42"/>
      <c r="N72" s="56"/>
      <c r="O72" s="41"/>
      <c r="P72" s="41"/>
      <c r="Q72" s="42"/>
    </row>
    <row r="73" spans="1:17" x14ac:dyDescent="0.3">
      <c r="A73" s="16"/>
      <c r="B73" s="16"/>
      <c r="C73" s="16"/>
      <c r="E73" s="39"/>
      <c r="F73" s="56"/>
      <c r="G73" s="41"/>
      <c r="H73" s="42"/>
      <c r="I73" s="42"/>
      <c r="J73" s="42"/>
      <c r="K73" s="42"/>
      <c r="M73" s="42"/>
      <c r="N73" s="56"/>
      <c r="O73" s="41"/>
      <c r="P73" s="41"/>
      <c r="Q73" s="42"/>
    </row>
    <row r="74" spans="1:17" x14ac:dyDescent="0.3">
      <c r="A74" s="16"/>
      <c r="B74" s="16"/>
      <c r="C74" s="16"/>
      <c r="E74" s="39"/>
      <c r="F74" s="56"/>
      <c r="G74" s="41"/>
      <c r="H74" s="42"/>
      <c r="I74" s="42"/>
      <c r="J74" s="42"/>
      <c r="K74" s="42"/>
      <c r="M74" s="42"/>
      <c r="N74" s="56"/>
      <c r="O74" s="41"/>
      <c r="P74" s="41"/>
      <c r="Q74" s="42"/>
    </row>
    <row r="75" spans="1:17" x14ac:dyDescent="0.3">
      <c r="A75" s="16"/>
      <c r="B75" s="16"/>
      <c r="C75" s="16"/>
      <c r="E75" s="39"/>
      <c r="F75" s="56"/>
      <c r="G75" s="41"/>
      <c r="H75" s="42"/>
      <c r="I75" s="42"/>
      <c r="J75" s="42"/>
      <c r="K75" s="42"/>
      <c r="M75" s="42"/>
      <c r="N75" s="56"/>
      <c r="O75" s="41"/>
      <c r="P75" s="41"/>
      <c r="Q75" s="42"/>
    </row>
    <row r="76" spans="1:17" x14ac:dyDescent="0.3">
      <c r="A76" s="16"/>
      <c r="B76" s="16"/>
      <c r="C76" s="16"/>
      <c r="E76" s="39"/>
      <c r="F76" s="56"/>
      <c r="G76" s="41"/>
      <c r="H76" s="42"/>
      <c r="I76" s="42"/>
      <c r="J76" s="42"/>
      <c r="K76" s="42"/>
      <c r="M76" s="42"/>
      <c r="N76" s="56"/>
      <c r="O76" s="41"/>
      <c r="P76" s="41"/>
      <c r="Q76" s="42"/>
    </row>
    <row r="77" spans="1:17" x14ac:dyDescent="0.3">
      <c r="A77" s="16"/>
      <c r="B77" s="16"/>
      <c r="C77" s="16"/>
      <c r="E77" s="39"/>
      <c r="F77" s="56"/>
      <c r="G77" s="41"/>
      <c r="H77" s="42"/>
      <c r="I77" s="42"/>
      <c r="J77" s="42"/>
      <c r="K77" s="42"/>
      <c r="M77" s="42"/>
      <c r="N77" s="56"/>
      <c r="O77" s="41"/>
      <c r="P77" s="41"/>
      <c r="Q77" s="42"/>
    </row>
    <row r="78" spans="1:17" x14ac:dyDescent="0.3">
      <c r="A78" s="16"/>
      <c r="B78" s="16"/>
      <c r="C78" s="16"/>
      <c r="E78" s="39"/>
      <c r="F78" s="56"/>
      <c r="G78" s="41"/>
      <c r="H78" s="42"/>
      <c r="I78" s="42"/>
      <c r="J78" s="42"/>
      <c r="K78" s="42"/>
      <c r="M78" s="42"/>
      <c r="N78" s="56"/>
      <c r="O78" s="41"/>
      <c r="P78" s="41"/>
      <c r="Q78" s="42"/>
    </row>
    <row r="79" spans="1:17" x14ac:dyDescent="0.3">
      <c r="A79" s="16"/>
      <c r="B79" s="16"/>
      <c r="C79" s="16"/>
      <c r="E79" s="39"/>
      <c r="F79" s="56"/>
      <c r="G79" s="41"/>
      <c r="H79" s="42"/>
      <c r="I79" s="42"/>
      <c r="J79" s="42"/>
      <c r="K79" s="42"/>
      <c r="M79" s="42"/>
      <c r="N79" s="56"/>
      <c r="O79" s="41"/>
      <c r="P79" s="41"/>
      <c r="Q79" s="42"/>
    </row>
    <row r="80" spans="1:17" x14ac:dyDescent="0.3">
      <c r="A80" s="16"/>
      <c r="B80" s="16"/>
      <c r="C80" s="16"/>
      <c r="E80" s="39"/>
      <c r="F80" s="56"/>
      <c r="G80" s="41"/>
      <c r="H80" s="42"/>
      <c r="I80" s="42"/>
      <c r="J80" s="42"/>
      <c r="K80" s="42"/>
      <c r="M80" s="42"/>
      <c r="N80" s="56"/>
      <c r="O80" s="41"/>
      <c r="P80" s="41"/>
      <c r="Q80" s="42"/>
    </row>
    <row r="81" spans="1:17" x14ac:dyDescent="0.3">
      <c r="A81" s="16"/>
      <c r="B81" s="16"/>
      <c r="C81" s="16"/>
      <c r="E81" s="39"/>
      <c r="F81" s="56"/>
      <c r="G81" s="41"/>
      <c r="H81" s="42"/>
      <c r="I81" s="42"/>
      <c r="J81" s="42"/>
      <c r="K81" s="42"/>
      <c r="M81" s="42"/>
      <c r="N81" s="56"/>
      <c r="O81" s="41"/>
      <c r="P81" s="41"/>
      <c r="Q81" s="42"/>
    </row>
    <row r="82" spans="1:17" x14ac:dyDescent="0.3">
      <c r="E82" s="39"/>
      <c r="F82" s="56"/>
      <c r="G82" s="41"/>
      <c r="H82" s="42"/>
      <c r="I82" s="42"/>
      <c r="J82" s="42"/>
      <c r="K82" s="42"/>
      <c r="M82" s="42"/>
      <c r="N82" s="56"/>
      <c r="O82" s="41"/>
      <c r="P82" s="41"/>
      <c r="Q82" s="42"/>
    </row>
    <row r="83" spans="1:17" x14ac:dyDescent="0.3">
      <c r="E83" s="39"/>
      <c r="F83" s="56"/>
      <c r="G83" s="41"/>
      <c r="H83" s="42"/>
      <c r="I83" s="42"/>
      <c r="J83" s="42"/>
      <c r="K83" s="42"/>
      <c r="M83" s="42"/>
      <c r="N83" s="56"/>
      <c r="O83" s="41"/>
      <c r="P83" s="41"/>
      <c r="Q83" s="42"/>
    </row>
    <row r="84" spans="1:17" x14ac:dyDescent="0.3">
      <c r="E84" s="39"/>
      <c r="F84" s="56"/>
      <c r="G84" s="41"/>
      <c r="H84" s="42"/>
      <c r="I84" s="42"/>
      <c r="J84" s="42"/>
      <c r="K84" s="42"/>
      <c r="M84" s="42"/>
      <c r="N84" s="56"/>
      <c r="O84" s="41"/>
      <c r="P84" s="41"/>
      <c r="Q84" s="42"/>
    </row>
    <row r="85" spans="1:17" x14ac:dyDescent="0.3">
      <c r="E85" s="39"/>
      <c r="F85" s="56"/>
      <c r="G85" s="41"/>
      <c r="H85" s="42"/>
      <c r="I85" s="42"/>
      <c r="J85" s="42"/>
      <c r="K85" s="42"/>
      <c r="M85" s="42"/>
      <c r="N85" s="56"/>
      <c r="O85" s="41"/>
      <c r="P85" s="41"/>
      <c r="Q85" s="42"/>
    </row>
    <row r="86" spans="1:17" x14ac:dyDescent="0.3">
      <c r="E86" s="39"/>
      <c r="F86" s="56"/>
      <c r="G86" s="41"/>
      <c r="H86" s="42"/>
      <c r="I86" s="42"/>
      <c r="J86" s="42"/>
      <c r="K86" s="42"/>
      <c r="M86" s="42"/>
      <c r="N86" s="56"/>
      <c r="O86" s="41"/>
      <c r="P86" s="41"/>
      <c r="Q86" s="42"/>
    </row>
    <row r="87" spans="1:17" x14ac:dyDescent="0.3">
      <c r="E87" s="34"/>
      <c r="F87" s="34"/>
      <c r="G87" s="34"/>
      <c r="H87" s="42"/>
      <c r="I87" s="42"/>
      <c r="J87" s="42"/>
      <c r="K87" s="42"/>
      <c r="M87" s="42"/>
      <c r="N87" s="34"/>
      <c r="O87" s="34"/>
      <c r="P87" s="34"/>
      <c r="Q87" s="42"/>
    </row>
    <row r="88" spans="1:17" x14ac:dyDescent="0.3">
      <c r="E88" s="34"/>
      <c r="F88" s="34"/>
      <c r="G88" s="34"/>
      <c r="H88" s="42"/>
      <c r="I88" s="42"/>
      <c r="J88" s="42"/>
      <c r="K88" s="42"/>
      <c r="M88" s="42"/>
      <c r="N88" s="34"/>
      <c r="O88" s="34"/>
      <c r="P88" s="34"/>
      <c r="Q88" s="42"/>
    </row>
    <row r="89" spans="1:17" x14ac:dyDescent="0.3">
      <c r="E89" s="34"/>
      <c r="F89" s="34"/>
      <c r="G89" s="34"/>
      <c r="H89" s="42"/>
      <c r="I89" s="42"/>
      <c r="J89" s="42"/>
      <c r="K89" s="42"/>
      <c r="M89" s="42"/>
      <c r="N89" s="34"/>
      <c r="O89" s="34"/>
      <c r="P89" s="34"/>
      <c r="Q89" s="42"/>
    </row>
    <row r="90" spans="1:17" x14ac:dyDescent="0.3">
      <c r="E90" s="34"/>
      <c r="F90" s="16"/>
      <c r="G90" s="16"/>
      <c r="H90" s="30"/>
      <c r="I90" s="30"/>
      <c r="J90" s="30"/>
      <c r="K90" s="30"/>
      <c r="M90" s="30"/>
      <c r="N90" s="16"/>
      <c r="O90" s="16"/>
      <c r="P90" s="16"/>
      <c r="Q90" s="30"/>
    </row>
    <row r="91" spans="1:17" x14ac:dyDescent="0.3">
      <c r="E91" s="34"/>
      <c r="F91" s="34"/>
      <c r="G91" s="34"/>
      <c r="H91" s="16"/>
      <c r="I91" s="16"/>
      <c r="J91" s="16"/>
      <c r="K91" s="16"/>
      <c r="M91" s="16"/>
      <c r="N91" s="34"/>
      <c r="O91" s="34"/>
      <c r="P91" s="34"/>
      <c r="Q91" s="16"/>
    </row>
    <row r="92" spans="1:17" x14ac:dyDescent="0.3">
      <c r="E92" s="34"/>
      <c r="F92" s="34"/>
      <c r="G92" s="34"/>
      <c r="H92" s="41"/>
      <c r="I92" s="41"/>
      <c r="J92" s="41"/>
      <c r="K92" s="41"/>
      <c r="M92" s="41"/>
      <c r="N92" s="34"/>
      <c r="O92" s="34"/>
      <c r="P92" s="34"/>
      <c r="Q92" s="41"/>
    </row>
    <row r="93" spans="1:17" x14ac:dyDescent="0.3">
      <c r="E93" s="34"/>
      <c r="F93" s="34"/>
      <c r="G93" s="34"/>
      <c r="H93" s="42"/>
      <c r="I93" s="42"/>
      <c r="J93" s="42"/>
      <c r="K93" s="42"/>
      <c r="M93" s="42"/>
      <c r="N93" s="34"/>
      <c r="O93" s="34"/>
      <c r="P93" s="34"/>
      <c r="Q93" s="42"/>
    </row>
    <row r="94" spans="1:17" x14ac:dyDescent="0.3">
      <c r="E94" s="34"/>
      <c r="F94" s="34"/>
      <c r="G94" s="34"/>
      <c r="H94" s="42"/>
      <c r="I94" s="42"/>
      <c r="J94" s="42"/>
      <c r="K94" s="42"/>
      <c r="M94" s="42"/>
      <c r="N94" s="34"/>
      <c r="O94" s="34"/>
      <c r="P94" s="34"/>
      <c r="Q94" s="42"/>
    </row>
    <row r="95" spans="1:17" x14ac:dyDescent="0.3">
      <c r="E95" s="34"/>
      <c r="F95" s="34"/>
      <c r="G95" s="34"/>
      <c r="H95" s="42"/>
      <c r="I95" s="42"/>
      <c r="J95" s="42"/>
      <c r="K95" s="42"/>
      <c r="M95" s="42"/>
      <c r="N95" s="34"/>
      <c r="O95" s="34"/>
      <c r="P95" s="34"/>
      <c r="Q95" s="42"/>
    </row>
    <row r="96" spans="1:17" x14ac:dyDescent="0.3">
      <c r="E96" s="34"/>
      <c r="F96" s="43"/>
      <c r="G96" s="43"/>
      <c r="H96" s="42"/>
      <c r="I96" s="42"/>
      <c r="J96" s="42"/>
      <c r="K96" s="42"/>
      <c r="M96" s="42"/>
      <c r="N96" s="43"/>
      <c r="O96" s="43"/>
      <c r="P96" s="43"/>
      <c r="Q96" s="42"/>
    </row>
    <row r="97" spans="5:17" x14ac:dyDescent="0.3">
      <c r="E97" s="34"/>
      <c r="F97" s="16"/>
      <c r="G97" s="16"/>
      <c r="H97" s="42"/>
      <c r="I97" s="42"/>
      <c r="J97" s="42"/>
      <c r="K97" s="42"/>
      <c r="M97" s="42"/>
      <c r="N97" s="16"/>
      <c r="O97" s="16"/>
      <c r="P97" s="16"/>
      <c r="Q97" s="42"/>
    </row>
    <row r="98" spans="5:17" x14ac:dyDescent="0.3">
      <c r="E98" s="34"/>
      <c r="F98" s="43"/>
      <c r="G98" s="16"/>
      <c r="H98" s="42"/>
      <c r="I98" s="42"/>
      <c r="J98" s="42"/>
      <c r="K98" s="42"/>
      <c r="M98" s="42"/>
      <c r="N98" s="43"/>
      <c r="O98" s="16"/>
      <c r="P98" s="16"/>
      <c r="Q98" s="42"/>
    </row>
    <row r="99" spans="5:17" x14ac:dyDescent="0.3">
      <c r="H99" s="42"/>
      <c r="I99" s="42"/>
      <c r="J99" s="42"/>
      <c r="K99" s="42"/>
      <c r="M99" s="42"/>
      <c r="Q99" s="42"/>
    </row>
    <row r="100" spans="5:17" x14ac:dyDescent="0.3">
      <c r="H100" s="42"/>
      <c r="I100" s="42"/>
      <c r="J100" s="42"/>
      <c r="K100" s="42"/>
      <c r="M100" s="42"/>
      <c r="Q100" s="42"/>
    </row>
    <row r="101" spans="5:17" x14ac:dyDescent="0.3">
      <c r="H101" s="42"/>
      <c r="I101" s="42"/>
      <c r="J101" s="42"/>
      <c r="K101" s="42"/>
      <c r="M101" s="42"/>
      <c r="Q101" s="42"/>
    </row>
    <row r="102" spans="5:17" x14ac:dyDescent="0.3">
      <c r="H102" s="42"/>
      <c r="I102" s="42"/>
      <c r="J102" s="42"/>
      <c r="K102" s="42"/>
      <c r="M102" s="42"/>
      <c r="Q102" s="42"/>
    </row>
    <row r="103" spans="5:17" x14ac:dyDescent="0.3">
      <c r="H103" s="42"/>
      <c r="I103" s="42"/>
      <c r="J103" s="42"/>
      <c r="K103" s="42"/>
      <c r="M103" s="42"/>
      <c r="Q103" s="42"/>
    </row>
    <row r="104" spans="5:17" x14ac:dyDescent="0.3">
      <c r="H104" s="42"/>
      <c r="I104" s="42"/>
      <c r="J104" s="42"/>
      <c r="K104" s="42"/>
      <c r="M104" s="42"/>
      <c r="Q104" s="42"/>
    </row>
    <row r="105" spans="5:17" x14ac:dyDescent="0.3">
      <c r="H105" s="34"/>
      <c r="I105" s="34"/>
      <c r="J105" s="34"/>
      <c r="K105" s="34"/>
      <c r="M105" s="34"/>
      <c r="Q105" s="34"/>
    </row>
    <row r="106" spans="5:17" x14ac:dyDescent="0.3">
      <c r="H106" s="34"/>
      <c r="I106" s="34"/>
      <c r="J106" s="34"/>
      <c r="K106" s="34"/>
      <c r="M106" s="34"/>
      <c r="Q106" s="34"/>
    </row>
    <row r="107" spans="5:17" x14ac:dyDescent="0.3">
      <c r="H107" s="41"/>
      <c r="I107" s="41"/>
      <c r="J107" s="41"/>
      <c r="K107" s="41"/>
      <c r="M107" s="41"/>
      <c r="Q107" s="41"/>
    </row>
    <row r="108" spans="5:17" x14ac:dyDescent="0.3">
      <c r="H108" s="42"/>
      <c r="I108" s="42"/>
      <c r="J108" s="42"/>
      <c r="K108" s="42"/>
      <c r="M108" s="42"/>
      <c r="Q108" s="42"/>
    </row>
    <row r="109" spans="5:17" x14ac:dyDescent="0.3">
      <c r="H109" s="42"/>
      <c r="I109" s="42"/>
      <c r="J109" s="42"/>
      <c r="K109" s="42"/>
      <c r="M109" s="42"/>
      <c r="Q109" s="42"/>
    </row>
    <row r="110" spans="5:17" x14ac:dyDescent="0.3">
      <c r="H110" s="42"/>
      <c r="I110" s="42"/>
      <c r="J110" s="42"/>
      <c r="K110" s="42"/>
      <c r="M110" s="42"/>
      <c r="Q110" s="42"/>
    </row>
    <row r="111" spans="5:17" x14ac:dyDescent="0.3">
      <c r="H111" s="42"/>
      <c r="I111" s="42"/>
      <c r="J111" s="42"/>
      <c r="K111" s="42"/>
      <c r="M111" s="42"/>
      <c r="Q111" s="42"/>
    </row>
    <row r="112" spans="5:17" x14ac:dyDescent="0.3">
      <c r="H112" s="42"/>
      <c r="I112" s="42"/>
      <c r="J112" s="42"/>
      <c r="K112" s="42"/>
      <c r="M112" s="42"/>
      <c r="Q112" s="42"/>
    </row>
    <row r="113" spans="8:17" x14ac:dyDescent="0.3">
      <c r="H113" s="42"/>
      <c r="I113" s="42"/>
      <c r="J113" s="42"/>
      <c r="K113" s="42"/>
      <c r="M113" s="42"/>
      <c r="Q113" s="42"/>
    </row>
    <row r="114" spans="8:17" x14ac:dyDescent="0.3">
      <c r="H114" s="42"/>
      <c r="I114" s="42"/>
      <c r="J114" s="42"/>
      <c r="K114" s="42"/>
      <c r="M114" s="42"/>
      <c r="Q114" s="42"/>
    </row>
    <row r="115" spans="8:17" x14ac:dyDescent="0.3">
      <c r="H115" s="42"/>
      <c r="I115" s="42"/>
      <c r="J115" s="42"/>
      <c r="K115" s="42"/>
      <c r="M115" s="42"/>
      <c r="Q115" s="42"/>
    </row>
    <row r="116" spans="8:17" x14ac:dyDescent="0.3">
      <c r="H116" s="42"/>
      <c r="I116" s="42"/>
      <c r="J116" s="42"/>
      <c r="K116" s="42"/>
      <c r="M116" s="42"/>
      <c r="Q116" s="42"/>
    </row>
    <row r="117" spans="8:17" x14ac:dyDescent="0.3">
      <c r="H117" s="42"/>
      <c r="I117" s="42"/>
      <c r="J117" s="42"/>
      <c r="K117" s="42"/>
      <c r="M117" s="42"/>
      <c r="Q117" s="42"/>
    </row>
    <row r="118" spans="8:17" x14ac:dyDescent="0.3">
      <c r="H118" s="42"/>
      <c r="I118" s="42"/>
      <c r="J118" s="42"/>
      <c r="K118" s="42"/>
      <c r="L118" s="16"/>
      <c r="M118" s="42"/>
      <c r="Q118" s="42"/>
    </row>
    <row r="119" spans="8:17" x14ac:dyDescent="0.3">
      <c r="H119" s="42"/>
      <c r="I119" s="42"/>
      <c r="J119" s="42"/>
      <c r="K119" s="42"/>
      <c r="L119" s="16"/>
      <c r="M119" s="42"/>
      <c r="Q119" s="42"/>
    </row>
    <row r="120" spans="8:17" x14ac:dyDescent="0.3">
      <c r="H120" s="16"/>
      <c r="I120" s="16"/>
      <c r="J120" s="16"/>
      <c r="K120" s="16"/>
      <c r="L120" s="16"/>
      <c r="M120" s="16"/>
      <c r="Q120" s="16"/>
    </row>
    <row r="121" spans="8:17" x14ac:dyDescent="0.3">
      <c r="L121" s="16"/>
    </row>
  </sheetData>
  <mergeCells count="5">
    <mergeCell ref="F4:H5"/>
    <mergeCell ref="Y4:AB5"/>
    <mergeCell ref="Z7:AA7"/>
    <mergeCell ref="N4:Q5"/>
    <mergeCell ref="J4:K5"/>
  </mergeCells>
  <pageMargins left="0.75" right="0.75" top="1" bottom="1" header="0.5" footer="0.5"/>
  <pageSetup scale="69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pageSetUpPr fitToPage="1"/>
  </sheetPr>
  <dimension ref="A1:S39"/>
  <sheetViews>
    <sheetView view="pageBreakPreview" zoomScale="75" zoomScaleNormal="75" zoomScaleSheetLayoutView="75" workbookViewId="0">
      <selection activeCell="N20" sqref="N20"/>
    </sheetView>
  </sheetViews>
  <sheetFormatPr defaultColWidth="9.109375" defaultRowHeight="15.6" x14ac:dyDescent="0.3"/>
  <cols>
    <col min="1" max="1" width="36" style="2" customWidth="1"/>
    <col min="2" max="2" width="23.5546875" style="61" customWidth="1"/>
    <col min="3" max="3" width="15" style="2" bestFit="1" customWidth="1"/>
    <col min="4" max="4" width="17.109375" style="2" customWidth="1"/>
    <col min="5" max="5" width="16.5546875" style="2" customWidth="1"/>
    <col min="6" max="6" width="13.6640625" style="2" customWidth="1"/>
    <col min="7" max="7" width="12.5546875" style="2" bestFit="1" customWidth="1"/>
    <col min="8" max="8" width="1.44140625" style="2" customWidth="1"/>
    <col min="9" max="9" width="16.33203125" style="2" customWidth="1"/>
    <col min="10" max="10" width="15.88671875" style="2" customWidth="1"/>
    <col min="11" max="11" width="15.6640625" style="2" customWidth="1"/>
    <col min="12" max="12" width="4.5546875" style="2" customWidth="1"/>
    <col min="13" max="13" width="20" style="2" customWidth="1"/>
    <col min="14" max="14" width="18.109375" style="2" bestFit="1" customWidth="1"/>
    <col min="15" max="15" width="15.109375" style="2" customWidth="1"/>
    <col min="16" max="16" width="18.44140625" style="2" customWidth="1"/>
    <col min="17" max="17" width="9.109375" style="2"/>
    <col min="18" max="18" width="10.6640625" style="2" customWidth="1"/>
    <col min="19" max="16384" width="9.109375" style="2"/>
  </cols>
  <sheetData>
    <row r="1" spans="1:19" ht="17.399999999999999" x14ac:dyDescent="0.3">
      <c r="A1" s="70" t="str">
        <f>List!A1</f>
        <v>Licking Valley R.E.C.C.</v>
      </c>
      <c r="B1" s="82"/>
    </row>
    <row r="2" spans="1:19" x14ac:dyDescent="0.3">
      <c r="A2" s="1" t="s">
        <v>83</v>
      </c>
    </row>
    <row r="5" spans="1:19" ht="57" customHeight="1" x14ac:dyDescent="0.3">
      <c r="A5" s="25" t="s">
        <v>11</v>
      </c>
      <c r="B5" s="71" t="s">
        <v>36</v>
      </c>
      <c r="C5" s="26" t="s">
        <v>7</v>
      </c>
      <c r="D5" s="26" t="s">
        <v>14</v>
      </c>
      <c r="E5" s="26" t="s">
        <v>18</v>
      </c>
      <c r="F5" s="26" t="s">
        <v>10</v>
      </c>
      <c r="G5" s="26" t="s">
        <v>15</v>
      </c>
      <c r="H5" s="26"/>
      <c r="I5" s="26" t="s">
        <v>91</v>
      </c>
    </row>
    <row r="6" spans="1:19" x14ac:dyDescent="0.3">
      <c r="A6" s="24"/>
      <c r="B6" s="74"/>
    </row>
    <row r="7" spans="1:19" s="24" customFormat="1" x14ac:dyDescent="0.3">
      <c r="A7" s="24" t="str">
        <f>List!B6</f>
        <v>Residential</v>
      </c>
      <c r="B7" s="74" t="str">
        <f>List!C6</f>
        <v>A</v>
      </c>
      <c r="C7" s="76">
        <f>A!D15</f>
        <v>186684568</v>
      </c>
      <c r="D7" s="77">
        <f>A!G24</f>
        <v>20532781.580000002</v>
      </c>
      <c r="E7" s="78">
        <f>A!G22</f>
        <v>20988317.938437998</v>
      </c>
      <c r="F7" s="78">
        <f t="shared" ref="F7:F11" si="0">E7-D7</f>
        <v>455536.35843799636</v>
      </c>
      <c r="G7" s="79">
        <f t="shared" ref="G7:G11" si="1">F7/D7</f>
        <v>2.2185808418753769E-2</v>
      </c>
      <c r="H7" s="79"/>
      <c r="I7" s="78">
        <f>A!J26</f>
        <v>-300562.1544799991</v>
      </c>
      <c r="J7" s="2"/>
      <c r="K7" s="13"/>
      <c r="M7" s="18"/>
      <c r="N7" s="2"/>
      <c r="O7" s="2"/>
      <c r="P7" s="2"/>
      <c r="Q7" s="2"/>
      <c r="R7" s="2"/>
      <c r="S7" s="2"/>
    </row>
    <row r="8" spans="1:19" s="24" customFormat="1" x14ac:dyDescent="0.3">
      <c r="A8" s="24" t="str">
        <f>List!B7</f>
        <v>Small Commercial</v>
      </c>
      <c r="B8" s="74" t="str">
        <f>List!C7</f>
        <v>B</v>
      </c>
      <c r="C8" s="76">
        <f>B!D16</f>
        <v>9952200</v>
      </c>
      <c r="D8" s="77">
        <f>B!G26</f>
        <v>1148085.9000000001</v>
      </c>
      <c r="E8" s="78">
        <f>B!G24</f>
        <v>1161001.3770000001</v>
      </c>
      <c r="F8" s="78">
        <f t="shared" si="0"/>
        <v>12915.476999999955</v>
      </c>
      <c r="G8" s="79">
        <f t="shared" si="1"/>
        <v>1.1249573747051465E-2</v>
      </c>
      <c r="H8" s="79"/>
      <c r="I8" s="47">
        <f>B!J28</f>
        <v>-16023.041999999899</v>
      </c>
      <c r="J8" s="2"/>
      <c r="K8" s="13"/>
      <c r="M8" s="18"/>
      <c r="N8" s="2"/>
      <c r="O8" s="2"/>
      <c r="P8" s="2"/>
      <c r="Q8" s="2"/>
      <c r="R8" s="2"/>
      <c r="S8" s="2"/>
    </row>
    <row r="9" spans="1:19" s="24" customFormat="1" x14ac:dyDescent="0.3">
      <c r="A9" s="24" t="str">
        <f>List!B8</f>
        <v>Large Commercial</v>
      </c>
      <c r="B9" s="74" t="str">
        <f>List!C8</f>
        <v>LP</v>
      </c>
      <c r="C9" s="76">
        <f>LP!D16+LP!D17</f>
        <v>31925800</v>
      </c>
      <c r="D9" s="77">
        <f>LP!G29</f>
        <v>3401546.75</v>
      </c>
      <c r="E9" s="78">
        <f>LP!G27</f>
        <v>3411263.7786000003</v>
      </c>
      <c r="F9" s="78">
        <f t="shared" si="0"/>
        <v>9717.0286000003107</v>
      </c>
      <c r="G9" s="79">
        <f t="shared" si="1"/>
        <v>2.8566500225229332E-3</v>
      </c>
      <c r="H9" s="79"/>
      <c r="I9" s="47">
        <f>LP!J31</f>
        <v>-51400.538000000175</v>
      </c>
      <c r="J9" s="2"/>
      <c r="K9" s="13"/>
      <c r="M9" s="18"/>
      <c r="N9" s="2"/>
      <c r="O9" s="2"/>
      <c r="P9" s="2"/>
      <c r="Q9" s="2"/>
      <c r="R9" s="2"/>
      <c r="S9" s="2"/>
    </row>
    <row r="10" spans="1:19" s="24" customFormat="1" x14ac:dyDescent="0.3">
      <c r="A10" s="24" t="str">
        <f>List!B9</f>
        <v>Large Comm Rate</v>
      </c>
      <c r="B10" s="74" t="str">
        <f>List!C9</f>
        <v>LPR</v>
      </c>
      <c r="C10" s="80">
        <f>LPR!D16</f>
        <v>11088688</v>
      </c>
      <c r="D10" s="164">
        <f>LPR!G29</f>
        <v>792309.75</v>
      </c>
      <c r="E10" s="55">
        <f>LPR!G27</f>
        <v>792797.35161199991</v>
      </c>
      <c r="F10" s="55">
        <f t="shared" si="0"/>
        <v>487.60161199991126</v>
      </c>
      <c r="G10" s="79">
        <f t="shared" si="1"/>
        <v>6.1541791199705832E-4</v>
      </c>
      <c r="H10" s="79"/>
      <c r="I10" s="49">
        <f>LPR!J31</f>
        <v>-17852.78767999995</v>
      </c>
      <c r="J10" s="2"/>
      <c r="K10" s="13"/>
      <c r="M10" s="18"/>
      <c r="N10" s="2"/>
      <c r="O10" s="2"/>
      <c r="P10" s="2"/>
      <c r="Q10" s="2"/>
      <c r="R10" s="2"/>
      <c r="S10" s="2"/>
    </row>
    <row r="11" spans="1:19" s="24" customFormat="1" x14ac:dyDescent="0.3">
      <c r="A11" s="24" t="str">
        <f>List!B10</f>
        <v>Lighting</v>
      </c>
      <c r="B11" s="74" t="str">
        <f>List!C10</f>
        <v>SL</v>
      </c>
      <c r="C11" s="80">
        <f>SL!D23</f>
        <v>164141</v>
      </c>
      <c r="D11" s="164">
        <f>SL!H31</f>
        <v>1054587.6199999996</v>
      </c>
      <c r="E11" s="55">
        <f>SL!H29</f>
        <v>1027725.4799999999</v>
      </c>
      <c r="F11" s="55">
        <f t="shared" si="0"/>
        <v>-26862.139999999781</v>
      </c>
      <c r="G11" s="79">
        <f t="shared" si="1"/>
        <v>-2.5471700492747856E-2</v>
      </c>
      <c r="H11" s="79"/>
      <c r="I11" s="49">
        <f>SL!K33</f>
        <v>-7676.520000000135</v>
      </c>
      <c r="J11" s="2"/>
      <c r="K11" s="13"/>
      <c r="M11" s="18"/>
      <c r="N11" s="2"/>
      <c r="O11" s="2"/>
      <c r="P11" s="2"/>
      <c r="Q11" s="2"/>
      <c r="R11" s="2"/>
      <c r="S11" s="2"/>
    </row>
    <row r="12" spans="1:19" s="24" customFormat="1" hidden="1" x14ac:dyDescent="0.3">
      <c r="A12" s="24">
        <f>List!B14</f>
        <v>0</v>
      </c>
      <c r="B12" s="74">
        <f>List!C14</f>
        <v>0</v>
      </c>
      <c r="C12" s="80">
        <v>0</v>
      </c>
      <c r="D12" s="164">
        <v>0</v>
      </c>
      <c r="E12" s="55">
        <v>0</v>
      </c>
      <c r="F12" s="55">
        <v>0</v>
      </c>
      <c r="G12" s="79">
        <v>0</v>
      </c>
      <c r="H12" s="79"/>
      <c r="I12" s="49">
        <v>0</v>
      </c>
      <c r="J12" s="2"/>
      <c r="K12" s="2"/>
      <c r="M12" s="2"/>
      <c r="N12" s="2"/>
      <c r="O12" s="2"/>
      <c r="P12" s="2"/>
      <c r="Q12" s="2"/>
      <c r="R12" s="2"/>
      <c r="S12" s="2"/>
    </row>
    <row r="13" spans="1:19" s="24" customFormat="1" hidden="1" x14ac:dyDescent="0.3">
      <c r="A13" s="24">
        <f>List!B15</f>
        <v>0</v>
      </c>
      <c r="B13" s="74">
        <f>List!C15</f>
        <v>0</v>
      </c>
      <c r="C13" s="80">
        <v>0</v>
      </c>
      <c r="D13" s="164">
        <v>0</v>
      </c>
      <c r="E13" s="55">
        <v>0</v>
      </c>
      <c r="F13" s="55">
        <v>0</v>
      </c>
      <c r="G13" s="79">
        <v>0</v>
      </c>
      <c r="H13" s="79"/>
      <c r="I13" s="49">
        <v>0</v>
      </c>
      <c r="J13" s="2"/>
      <c r="K13" s="2"/>
      <c r="M13" s="2"/>
      <c r="N13" s="2"/>
      <c r="O13" s="2"/>
      <c r="P13" s="2"/>
      <c r="Q13" s="2"/>
      <c r="R13" s="2"/>
      <c r="S13" s="2"/>
    </row>
    <row r="14" spans="1:19" s="24" customFormat="1" ht="16.2" thickBot="1" x14ac:dyDescent="0.35">
      <c r="B14" s="74"/>
      <c r="C14" s="58">
        <f>SUM(C7:C11)</f>
        <v>239815397</v>
      </c>
      <c r="D14" s="58">
        <f t="shared" ref="D14:I14" si="2">SUM(D7:D11)</f>
        <v>26929311.600000001</v>
      </c>
      <c r="E14" s="58">
        <f t="shared" si="2"/>
        <v>27381105.925650001</v>
      </c>
      <c r="F14" s="58">
        <f t="shared" si="2"/>
        <v>451794.32564999675</v>
      </c>
      <c r="G14" s="356">
        <f t="shared" ref="G14" si="3">F14/D14</f>
        <v>1.6777046972489142E-2</v>
      </c>
      <c r="H14" s="58">
        <f t="shared" si="2"/>
        <v>0</v>
      </c>
      <c r="I14" s="58">
        <f t="shared" si="2"/>
        <v>-393515.04215999926</v>
      </c>
      <c r="J14" s="2"/>
      <c r="K14" s="2"/>
      <c r="M14" s="2"/>
      <c r="N14" s="2"/>
      <c r="O14" s="2"/>
      <c r="P14" s="2"/>
      <c r="Q14" s="2"/>
      <c r="R14" s="2"/>
      <c r="S14" s="2"/>
    </row>
    <row r="15" spans="1:19" ht="16.2" thickTop="1" x14ac:dyDescent="0.3">
      <c r="E15" s="10"/>
      <c r="I15" s="10"/>
    </row>
    <row r="16" spans="1:19" ht="15.75" customHeight="1" x14ac:dyDescent="0.3">
      <c r="B16" s="61" t="s">
        <v>20</v>
      </c>
      <c r="C16" s="47">
        <f>C14</f>
        <v>239815397</v>
      </c>
      <c r="D16" s="13">
        <f>D14</f>
        <v>26929311.600000001</v>
      </c>
      <c r="E16" s="13">
        <f>E14</f>
        <v>27381105.925650001</v>
      </c>
      <c r="G16" s="393"/>
      <c r="I16" s="44"/>
    </row>
    <row r="17" spans="1:13" ht="15.75" customHeight="1" x14ac:dyDescent="0.3">
      <c r="B17" s="61" t="s">
        <v>56</v>
      </c>
      <c r="C17" s="309">
        <v>239815897</v>
      </c>
      <c r="D17" s="35">
        <v>26901103</v>
      </c>
      <c r="E17" s="35">
        <f>D17</f>
        <v>26901103</v>
      </c>
      <c r="G17" s="22"/>
      <c r="H17" s="17"/>
      <c r="I17" s="66"/>
    </row>
    <row r="18" spans="1:13" ht="15.75" customHeight="1" x14ac:dyDescent="0.3">
      <c r="B18" s="61" t="s">
        <v>10</v>
      </c>
      <c r="C18" s="13">
        <f>C17-C16</f>
        <v>500</v>
      </c>
      <c r="D18" s="13">
        <f>D17-D16</f>
        <v>-28208.60000000149</v>
      </c>
      <c r="E18" s="13">
        <f>E17-E16</f>
        <v>-480002.92565000057</v>
      </c>
      <c r="F18" s="17"/>
      <c r="I18" s="67"/>
    </row>
    <row r="19" spans="1:13" ht="15.75" customHeight="1" x14ac:dyDescent="0.3">
      <c r="B19" s="61" t="s">
        <v>10</v>
      </c>
      <c r="C19" s="22">
        <f>C18/C17</f>
        <v>2.0849326765022589E-6</v>
      </c>
      <c r="D19" s="22">
        <f>D18/D17</f>
        <v>-1.0486038434930156E-3</v>
      </c>
      <c r="E19" s="22">
        <f>E18/E17</f>
        <v>-1.7843243291920059E-2</v>
      </c>
      <c r="F19" s="65"/>
      <c r="G19" s="22"/>
      <c r="H19" s="22"/>
      <c r="I19" s="28"/>
      <c r="M19" s="13"/>
    </row>
    <row r="20" spans="1:13" ht="15.75" customHeight="1" x14ac:dyDescent="0.3">
      <c r="C20" s="17"/>
      <c r="D20" s="17"/>
      <c r="F20" s="17"/>
    </row>
    <row r="21" spans="1:13" x14ac:dyDescent="0.3">
      <c r="A21" s="40"/>
      <c r="C21" s="47"/>
      <c r="D21" s="47"/>
      <c r="E21" s="75"/>
      <c r="F21" s="16"/>
      <c r="G21" s="16"/>
      <c r="H21" s="16"/>
      <c r="I21" s="16"/>
      <c r="J21" s="16"/>
    </row>
    <row r="22" spans="1:13" x14ac:dyDescent="0.3">
      <c r="A22" s="32"/>
      <c r="B22" s="3"/>
      <c r="C22" s="125"/>
      <c r="D22" s="136"/>
      <c r="E22" s="63"/>
      <c r="F22" s="63"/>
      <c r="G22" s="63"/>
      <c r="H22" s="63"/>
      <c r="I22" s="63"/>
      <c r="J22" s="63"/>
    </row>
    <row r="23" spans="1:13" x14ac:dyDescent="0.3">
      <c r="C23" s="72"/>
      <c r="D23" s="72"/>
      <c r="E23" s="72"/>
      <c r="F23" s="72"/>
      <c r="G23" s="72"/>
      <c r="H23" s="72"/>
      <c r="I23" s="72"/>
      <c r="J23" s="16"/>
    </row>
    <row r="24" spans="1:13" x14ac:dyDescent="0.3">
      <c r="A24" s="64"/>
      <c r="B24" s="68"/>
      <c r="C24" s="37"/>
      <c r="D24" s="39"/>
      <c r="E24" s="20"/>
      <c r="F24" s="38"/>
      <c r="G24" s="38"/>
      <c r="H24" s="38"/>
      <c r="I24" s="20"/>
      <c r="J24" s="38"/>
    </row>
    <row r="25" spans="1:13" x14ac:dyDescent="0.3">
      <c r="A25" s="64"/>
      <c r="B25" s="68"/>
      <c r="C25" s="37"/>
      <c r="D25" s="31"/>
      <c r="E25" s="49"/>
      <c r="F25" s="55"/>
      <c r="G25" s="51"/>
      <c r="H25" s="51"/>
      <c r="I25" s="49"/>
      <c r="J25" s="55"/>
    </row>
    <row r="26" spans="1:13" x14ac:dyDescent="0.3">
      <c r="A26" s="64"/>
      <c r="B26" s="68"/>
      <c r="C26" s="37"/>
      <c r="D26" s="39"/>
      <c r="E26" s="20"/>
      <c r="F26" s="49"/>
      <c r="G26" s="49"/>
      <c r="H26" s="49"/>
      <c r="I26" s="20"/>
      <c r="J26" s="55"/>
    </row>
    <row r="27" spans="1:13" x14ac:dyDescent="0.3">
      <c r="A27" s="64"/>
      <c r="B27" s="68"/>
      <c r="C27" s="37"/>
      <c r="D27" s="31"/>
      <c r="E27" s="49"/>
      <c r="F27" s="49"/>
      <c r="G27" s="49"/>
      <c r="H27" s="49"/>
      <c r="I27" s="49"/>
      <c r="J27" s="55"/>
    </row>
    <row r="28" spans="1:13" x14ac:dyDescent="0.3">
      <c r="A28" s="64"/>
      <c r="B28" s="68"/>
      <c r="C28" s="37"/>
      <c r="D28" s="39"/>
      <c r="E28" s="20"/>
      <c r="F28" s="49"/>
      <c r="G28" s="49"/>
      <c r="H28" s="49"/>
      <c r="I28" s="20"/>
      <c r="J28" s="55"/>
    </row>
    <row r="29" spans="1:13" x14ac:dyDescent="0.3">
      <c r="A29" s="64"/>
      <c r="B29" s="68"/>
      <c r="C29" s="37"/>
      <c r="D29" s="31"/>
      <c r="E29" s="49"/>
      <c r="F29" s="49"/>
      <c r="G29" s="49"/>
      <c r="H29" s="49"/>
      <c r="I29" s="49"/>
      <c r="J29" s="55"/>
    </row>
    <row r="30" spans="1:13" x14ac:dyDescent="0.3">
      <c r="A30" s="64"/>
      <c r="B30" s="68"/>
      <c r="C30" s="39"/>
      <c r="D30" s="39"/>
      <c r="E30" s="20"/>
      <c r="F30" s="49"/>
      <c r="G30" s="49"/>
      <c r="H30" s="49"/>
      <c r="I30" s="20"/>
      <c r="J30" s="55"/>
    </row>
    <row r="31" spans="1:13" x14ac:dyDescent="0.3">
      <c r="A31" s="41"/>
      <c r="B31" s="56"/>
      <c r="C31" s="28"/>
      <c r="D31" s="33"/>
      <c r="E31" s="30"/>
      <c r="F31" s="34"/>
      <c r="G31" s="34"/>
      <c r="H31" s="34"/>
      <c r="I31" s="30"/>
      <c r="J31" s="15"/>
    </row>
    <row r="32" spans="1:13" x14ac:dyDescent="0.3">
      <c r="A32" s="40"/>
      <c r="C32" s="7"/>
      <c r="D32" s="39"/>
      <c r="E32" s="20"/>
      <c r="F32" s="13"/>
      <c r="G32" s="13"/>
      <c r="H32" s="13"/>
      <c r="I32" s="20"/>
    </row>
    <row r="33" spans="1:9" x14ac:dyDescent="0.3">
      <c r="C33" s="7"/>
      <c r="E33" s="23"/>
      <c r="F33" s="18"/>
      <c r="I33" s="54"/>
    </row>
    <row r="34" spans="1:9" x14ac:dyDescent="0.3">
      <c r="C34" s="7"/>
      <c r="F34" s="7"/>
      <c r="G34" s="7"/>
      <c r="H34" s="7"/>
    </row>
    <row r="36" spans="1:9" x14ac:dyDescent="0.3">
      <c r="G36" s="22"/>
      <c r="H36" s="22"/>
    </row>
    <row r="38" spans="1:9" x14ac:dyDescent="0.3">
      <c r="A38" s="40"/>
      <c r="C38" s="52"/>
    </row>
    <row r="39" spans="1:9" x14ac:dyDescent="0.3">
      <c r="A39" s="40"/>
    </row>
  </sheetData>
  <phoneticPr fontId="0" type="noConversion"/>
  <pageMargins left="0.75" right="0.35" top="1" bottom="1" header="0.5" footer="0.5"/>
  <pageSetup scale="84" orientation="landscape" r:id="rId1"/>
  <headerFooter alignWithMargins="0">
    <oddFooter>&amp;RExhibit JW-9
Page &amp;P of &amp;N</oddFooter>
  </headerFooter>
  <ignoredErrors>
    <ignoredError sqref="G1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pageSetUpPr fitToPage="1"/>
  </sheetPr>
  <dimension ref="A1:K41"/>
  <sheetViews>
    <sheetView topLeftCell="A25" zoomScaleNormal="100" workbookViewId="0">
      <selection activeCell="N20" sqref="N20"/>
    </sheetView>
  </sheetViews>
  <sheetFormatPr defaultColWidth="9.109375" defaultRowHeight="13.2" x14ac:dyDescent="0.25"/>
  <cols>
    <col min="1" max="1" width="3.44140625" style="168" customWidth="1"/>
    <col min="2" max="2" width="23.5546875" style="167" customWidth="1"/>
    <col min="3" max="4" width="9.109375" style="168"/>
    <col min="5" max="5" width="10.33203125" style="168" bestFit="1" customWidth="1"/>
    <col min="6" max="6" width="9.109375" style="168"/>
    <col min="7" max="7" width="10.5546875" style="168" customWidth="1"/>
    <col min="8" max="8" width="10.33203125" style="168" bestFit="1" customWidth="1"/>
    <col min="9" max="9" width="9.109375" style="168"/>
    <col min="10" max="10" width="8.33203125" style="168" bestFit="1" customWidth="1"/>
    <col min="11" max="11" width="7.6640625" style="168" customWidth="1"/>
    <col min="12" max="16384" width="9.109375" style="168"/>
  </cols>
  <sheetData>
    <row r="1" spans="1:11" ht="17.399999999999999" x14ac:dyDescent="0.3">
      <c r="A1" s="166" t="str">
        <f>'Present and Proposed Rates'!A1</f>
        <v>Licking Valley R.E.C.C.</v>
      </c>
    </row>
    <row r="2" spans="1:11" ht="20.399999999999999" x14ac:dyDescent="0.3">
      <c r="A2" s="87" t="s">
        <v>111</v>
      </c>
      <c r="H2" s="169"/>
    </row>
    <row r="3" spans="1:11" ht="17.399999999999999" x14ac:dyDescent="0.3">
      <c r="A3" s="166" t="s">
        <v>80</v>
      </c>
    </row>
    <row r="4" spans="1:11" ht="13.8" thickBot="1" x14ac:dyDescent="0.3"/>
    <row r="5" spans="1:11" ht="21" customHeight="1" thickTop="1" x14ac:dyDescent="0.25">
      <c r="B5" s="170"/>
      <c r="C5" s="171" t="s">
        <v>55</v>
      </c>
      <c r="D5" s="412" t="s">
        <v>77</v>
      </c>
      <c r="E5" s="412"/>
      <c r="F5" s="413"/>
      <c r="G5" s="414" t="s">
        <v>78</v>
      </c>
      <c r="H5" s="412"/>
      <c r="I5" s="413"/>
      <c r="J5" s="415" t="s">
        <v>28</v>
      </c>
      <c r="K5" s="416"/>
    </row>
    <row r="6" spans="1:11" ht="23.25" customHeight="1" x14ac:dyDescent="0.25">
      <c r="B6" s="172" t="s">
        <v>74</v>
      </c>
      <c r="C6" s="173" t="s">
        <v>7</v>
      </c>
      <c r="D6" s="174" t="s">
        <v>65</v>
      </c>
      <c r="E6" s="174" t="s">
        <v>75</v>
      </c>
      <c r="F6" s="174" t="s">
        <v>92</v>
      </c>
      <c r="G6" s="174" t="s">
        <v>76</v>
      </c>
      <c r="H6" s="174" t="s">
        <v>66</v>
      </c>
      <c r="I6" s="174" t="s">
        <v>92</v>
      </c>
      <c r="J6" s="175" t="s">
        <v>32</v>
      </c>
      <c r="K6" s="176" t="s">
        <v>33</v>
      </c>
    </row>
    <row r="7" spans="1:11" s="177" customFormat="1" ht="18" customHeight="1" thickBot="1" x14ac:dyDescent="0.3">
      <c r="B7" s="178"/>
      <c r="C7" s="179"/>
      <c r="D7" s="180">
        <f>'Present and Proposed Rates'!G11</f>
        <v>14</v>
      </c>
      <c r="E7" s="202">
        <f>'Present and Proposed Rates'!G12</f>
        <v>9.0392E-2</v>
      </c>
      <c r="F7" s="181"/>
      <c r="G7" s="180">
        <f>'Present and Proposed Rates'!H11</f>
        <v>17.09</v>
      </c>
      <c r="H7" s="202">
        <f>'Present and Proposed Rates'!H12</f>
        <v>9.0392E-2</v>
      </c>
      <c r="I7" s="179"/>
      <c r="J7" s="182"/>
      <c r="K7" s="183"/>
    </row>
    <row r="8" spans="1:11" ht="13.8" thickTop="1" x14ac:dyDescent="0.25">
      <c r="B8" s="184">
        <v>1</v>
      </c>
      <c r="C8" s="185">
        <v>0</v>
      </c>
      <c r="D8" s="186">
        <f>D$7</f>
        <v>14</v>
      </c>
      <c r="E8" s="187">
        <f>$E$7*C8</f>
        <v>0</v>
      </c>
      <c r="F8" s="188">
        <f>E8+D8</f>
        <v>14</v>
      </c>
      <c r="G8" s="189">
        <f>$G$7</f>
        <v>17.09</v>
      </c>
      <c r="H8" s="187">
        <f>$H$7*C8</f>
        <v>0</v>
      </c>
      <c r="I8" s="190">
        <f>G8+H8</f>
        <v>17.09</v>
      </c>
      <c r="J8" s="191">
        <f t="shared" ref="J8:J38" si="0">I8-F8</f>
        <v>3.09</v>
      </c>
      <c r="K8" s="192">
        <f t="shared" ref="K8:K38" si="1">J8/F8</f>
        <v>0.2207142857142857</v>
      </c>
    </row>
    <row r="9" spans="1:11" x14ac:dyDescent="0.25">
      <c r="B9" s="184">
        <v>2</v>
      </c>
      <c r="C9" s="185">
        <f t="shared" ref="C9:C38" si="2">C8+100</f>
        <v>100</v>
      </c>
      <c r="D9" s="186">
        <f t="shared" ref="D9:D12" si="3">D$7</f>
        <v>14</v>
      </c>
      <c r="E9" s="187">
        <f t="shared" ref="E9" si="4">$E$7*C9</f>
        <v>9.0391999999999992</v>
      </c>
      <c r="F9" s="188">
        <f t="shared" ref="F9" si="5">E9+D9</f>
        <v>23.039200000000001</v>
      </c>
      <c r="G9" s="189">
        <f t="shared" ref="G9:G12" si="6">$G$7</f>
        <v>17.09</v>
      </c>
      <c r="H9" s="187">
        <f t="shared" ref="H9" si="7">$H$7*C9</f>
        <v>9.0391999999999992</v>
      </c>
      <c r="I9" s="190">
        <f t="shared" ref="I9" si="8">G9+H9</f>
        <v>26.129199999999997</v>
      </c>
      <c r="J9" s="191">
        <f t="shared" si="0"/>
        <v>3.0899999999999963</v>
      </c>
      <c r="K9" s="192">
        <f t="shared" si="1"/>
        <v>0.13411924025139746</v>
      </c>
    </row>
    <row r="10" spans="1:11" x14ac:dyDescent="0.25">
      <c r="B10" s="184">
        <v>2</v>
      </c>
      <c r="C10" s="185">
        <f t="shared" si="2"/>
        <v>200</v>
      </c>
      <c r="D10" s="186">
        <f t="shared" si="3"/>
        <v>14</v>
      </c>
      <c r="E10" s="187">
        <f t="shared" ref="E10:E12" si="9">$E$7*C10</f>
        <v>18.078399999999998</v>
      </c>
      <c r="F10" s="188">
        <f t="shared" ref="F10:F12" si="10">E10+D10</f>
        <v>32.078400000000002</v>
      </c>
      <c r="G10" s="189">
        <f t="shared" si="6"/>
        <v>17.09</v>
      </c>
      <c r="H10" s="187">
        <f t="shared" ref="H10:H12" si="11">$H$7*C10</f>
        <v>18.078399999999998</v>
      </c>
      <c r="I10" s="190">
        <f t="shared" ref="I10:I12" si="12">G10+H10</f>
        <v>35.168399999999998</v>
      </c>
      <c r="J10" s="191">
        <f t="shared" ref="J10:J12" si="13">I10-F10</f>
        <v>3.0899999999999963</v>
      </c>
      <c r="K10" s="192">
        <f t="shared" ref="K10:K12" si="14">J10/F10</f>
        <v>9.6326500074816579E-2</v>
      </c>
    </row>
    <row r="11" spans="1:11" x14ac:dyDescent="0.25">
      <c r="B11" s="184">
        <v>3</v>
      </c>
      <c r="C11" s="185">
        <f t="shared" si="2"/>
        <v>300</v>
      </c>
      <c r="D11" s="186">
        <f t="shared" si="3"/>
        <v>14</v>
      </c>
      <c r="E11" s="187">
        <f t="shared" si="9"/>
        <v>27.117599999999999</v>
      </c>
      <c r="F11" s="188">
        <f t="shared" si="10"/>
        <v>41.117599999999996</v>
      </c>
      <c r="G11" s="189">
        <f t="shared" si="6"/>
        <v>17.09</v>
      </c>
      <c r="H11" s="187">
        <f t="shared" si="11"/>
        <v>27.117599999999999</v>
      </c>
      <c r="I11" s="190">
        <f t="shared" si="12"/>
        <v>44.207599999999999</v>
      </c>
      <c r="J11" s="191">
        <f t="shared" si="13"/>
        <v>3.0900000000000034</v>
      </c>
      <c r="K11" s="192">
        <f t="shared" si="14"/>
        <v>7.5150300601202494E-2</v>
      </c>
    </row>
    <row r="12" spans="1:11" x14ac:dyDescent="0.25">
      <c r="B12" s="184">
        <v>4</v>
      </c>
      <c r="C12" s="185">
        <f t="shared" si="2"/>
        <v>400</v>
      </c>
      <c r="D12" s="186">
        <f t="shared" si="3"/>
        <v>14</v>
      </c>
      <c r="E12" s="187">
        <f t="shared" si="9"/>
        <v>36.156799999999997</v>
      </c>
      <c r="F12" s="188">
        <f t="shared" si="10"/>
        <v>50.156799999999997</v>
      </c>
      <c r="G12" s="189">
        <f t="shared" si="6"/>
        <v>17.09</v>
      </c>
      <c r="H12" s="187">
        <f t="shared" si="11"/>
        <v>36.156799999999997</v>
      </c>
      <c r="I12" s="190">
        <f t="shared" si="12"/>
        <v>53.246799999999993</v>
      </c>
      <c r="J12" s="191">
        <f t="shared" si="13"/>
        <v>3.0899999999999963</v>
      </c>
      <c r="K12" s="192">
        <f t="shared" si="14"/>
        <v>6.1606801071838642E-2</v>
      </c>
    </row>
    <row r="13" spans="1:11" x14ac:dyDescent="0.25">
      <c r="B13" s="184">
        <v>2</v>
      </c>
      <c r="C13" s="185">
        <f t="shared" si="2"/>
        <v>500</v>
      </c>
      <c r="D13" s="186">
        <f t="shared" ref="D13:D39" si="15">D$7</f>
        <v>14</v>
      </c>
      <c r="E13" s="187">
        <f t="shared" ref="E13:E38" si="16">$E$7*C13</f>
        <v>45.195999999999998</v>
      </c>
      <c r="F13" s="188">
        <f t="shared" ref="F13:F38" si="17">E13+D13</f>
        <v>59.195999999999998</v>
      </c>
      <c r="G13" s="189">
        <f t="shared" ref="G13:G39" si="18">$G$7</f>
        <v>17.09</v>
      </c>
      <c r="H13" s="187">
        <f t="shared" ref="H13:H38" si="19">$H$7*C13</f>
        <v>45.195999999999998</v>
      </c>
      <c r="I13" s="190">
        <f t="shared" ref="I13:I38" si="20">G13+H13</f>
        <v>62.286000000000001</v>
      </c>
      <c r="J13" s="191">
        <f t="shared" si="0"/>
        <v>3.0900000000000034</v>
      </c>
      <c r="K13" s="192">
        <f t="shared" si="1"/>
        <v>5.2199472937360693E-2</v>
      </c>
    </row>
    <row r="14" spans="1:11" x14ac:dyDescent="0.25">
      <c r="B14" s="184">
        <v>3</v>
      </c>
      <c r="C14" s="185">
        <f t="shared" si="2"/>
        <v>600</v>
      </c>
      <c r="D14" s="186">
        <f t="shared" si="15"/>
        <v>14</v>
      </c>
      <c r="E14" s="187">
        <f t="shared" si="16"/>
        <v>54.235199999999999</v>
      </c>
      <c r="F14" s="188">
        <f t="shared" si="17"/>
        <v>68.235199999999992</v>
      </c>
      <c r="G14" s="189">
        <f t="shared" si="18"/>
        <v>17.09</v>
      </c>
      <c r="H14" s="187">
        <f t="shared" si="19"/>
        <v>54.235199999999999</v>
      </c>
      <c r="I14" s="190">
        <f t="shared" si="20"/>
        <v>71.325199999999995</v>
      </c>
      <c r="J14" s="191">
        <f t="shared" si="0"/>
        <v>3.0900000000000034</v>
      </c>
      <c r="K14" s="192">
        <f t="shared" si="1"/>
        <v>4.5284545220062429E-2</v>
      </c>
    </row>
    <row r="15" spans="1:11" x14ac:dyDescent="0.25">
      <c r="B15" s="184">
        <v>4</v>
      </c>
      <c r="C15" s="185">
        <f t="shared" si="2"/>
        <v>700</v>
      </c>
      <c r="D15" s="186">
        <f t="shared" si="15"/>
        <v>14</v>
      </c>
      <c r="E15" s="187">
        <f t="shared" si="16"/>
        <v>63.2744</v>
      </c>
      <c r="F15" s="188">
        <f t="shared" si="17"/>
        <v>77.2744</v>
      </c>
      <c r="G15" s="189">
        <f t="shared" si="18"/>
        <v>17.09</v>
      </c>
      <c r="H15" s="187">
        <f t="shared" si="19"/>
        <v>63.2744</v>
      </c>
      <c r="I15" s="190">
        <f t="shared" si="20"/>
        <v>80.364400000000003</v>
      </c>
      <c r="J15" s="191">
        <f t="shared" si="0"/>
        <v>3.0900000000000034</v>
      </c>
      <c r="K15" s="192">
        <f t="shared" si="1"/>
        <v>3.9987369685173919E-2</v>
      </c>
    </row>
    <row r="16" spans="1:11" x14ac:dyDescent="0.25">
      <c r="B16" s="184">
        <v>5</v>
      </c>
      <c r="C16" s="185">
        <f t="shared" si="2"/>
        <v>800</v>
      </c>
      <c r="D16" s="186">
        <f t="shared" si="15"/>
        <v>14</v>
      </c>
      <c r="E16" s="187">
        <f t="shared" si="16"/>
        <v>72.313599999999994</v>
      </c>
      <c r="F16" s="188">
        <f t="shared" si="17"/>
        <v>86.313599999999994</v>
      </c>
      <c r="G16" s="189">
        <f t="shared" si="18"/>
        <v>17.09</v>
      </c>
      <c r="H16" s="187">
        <f t="shared" si="19"/>
        <v>72.313599999999994</v>
      </c>
      <c r="I16" s="190">
        <f t="shared" si="20"/>
        <v>89.403599999999997</v>
      </c>
      <c r="J16" s="191">
        <f t="shared" si="0"/>
        <v>3.0900000000000034</v>
      </c>
      <c r="K16" s="192">
        <f t="shared" si="1"/>
        <v>3.5799688577466397E-2</v>
      </c>
    </row>
    <row r="17" spans="2:11" x14ac:dyDescent="0.25">
      <c r="B17" s="184">
        <v>6</v>
      </c>
      <c r="C17" s="185">
        <f t="shared" si="2"/>
        <v>900</v>
      </c>
      <c r="D17" s="186">
        <f t="shared" si="15"/>
        <v>14</v>
      </c>
      <c r="E17" s="187">
        <f t="shared" si="16"/>
        <v>81.352800000000002</v>
      </c>
      <c r="F17" s="188">
        <f t="shared" si="17"/>
        <v>95.352800000000002</v>
      </c>
      <c r="G17" s="189">
        <f t="shared" si="18"/>
        <v>17.09</v>
      </c>
      <c r="H17" s="187">
        <f t="shared" si="19"/>
        <v>81.352800000000002</v>
      </c>
      <c r="I17" s="190">
        <f t="shared" si="20"/>
        <v>98.442800000000005</v>
      </c>
      <c r="J17" s="191">
        <f t="shared" si="0"/>
        <v>3.0900000000000034</v>
      </c>
      <c r="K17" s="192">
        <f t="shared" si="1"/>
        <v>3.240597024943162E-2</v>
      </c>
    </row>
    <row r="18" spans="2:11" x14ac:dyDescent="0.25">
      <c r="B18" s="184">
        <v>7</v>
      </c>
      <c r="C18" s="185">
        <f t="shared" si="2"/>
        <v>1000</v>
      </c>
      <c r="D18" s="186">
        <f t="shared" si="15"/>
        <v>14</v>
      </c>
      <c r="E18" s="187">
        <f t="shared" si="16"/>
        <v>90.391999999999996</v>
      </c>
      <c r="F18" s="188">
        <f t="shared" si="17"/>
        <v>104.392</v>
      </c>
      <c r="G18" s="189">
        <f t="shared" si="18"/>
        <v>17.09</v>
      </c>
      <c r="H18" s="187">
        <f t="shared" si="19"/>
        <v>90.391999999999996</v>
      </c>
      <c r="I18" s="190">
        <f t="shared" si="20"/>
        <v>107.482</v>
      </c>
      <c r="J18" s="191">
        <f t="shared" si="0"/>
        <v>3.0900000000000034</v>
      </c>
      <c r="K18" s="192">
        <f t="shared" si="1"/>
        <v>2.9599969346310095E-2</v>
      </c>
    </row>
    <row r="19" spans="2:11" x14ac:dyDescent="0.25">
      <c r="B19" s="184">
        <v>8</v>
      </c>
      <c r="C19" s="185">
        <f t="shared" si="2"/>
        <v>1100</v>
      </c>
      <c r="D19" s="186">
        <f t="shared" si="15"/>
        <v>14</v>
      </c>
      <c r="E19" s="187">
        <f t="shared" si="16"/>
        <v>99.431200000000004</v>
      </c>
      <c r="F19" s="188">
        <f t="shared" si="17"/>
        <v>113.4312</v>
      </c>
      <c r="G19" s="189">
        <f t="shared" si="18"/>
        <v>17.09</v>
      </c>
      <c r="H19" s="187">
        <f t="shared" si="19"/>
        <v>99.431200000000004</v>
      </c>
      <c r="I19" s="190">
        <f t="shared" si="20"/>
        <v>116.52120000000001</v>
      </c>
      <c r="J19" s="191">
        <f t="shared" si="0"/>
        <v>3.0900000000000034</v>
      </c>
      <c r="K19" s="192">
        <f t="shared" si="1"/>
        <v>2.7241182320208227E-2</v>
      </c>
    </row>
    <row r="20" spans="2:11" x14ac:dyDescent="0.25">
      <c r="B20" s="184">
        <v>9</v>
      </c>
      <c r="C20" s="185">
        <f t="shared" si="2"/>
        <v>1200</v>
      </c>
      <c r="D20" s="186">
        <f t="shared" si="15"/>
        <v>14</v>
      </c>
      <c r="E20" s="187">
        <f t="shared" si="16"/>
        <v>108.4704</v>
      </c>
      <c r="F20" s="188">
        <f t="shared" si="17"/>
        <v>122.4704</v>
      </c>
      <c r="G20" s="189">
        <f t="shared" si="18"/>
        <v>17.09</v>
      </c>
      <c r="H20" s="187">
        <f t="shared" si="19"/>
        <v>108.4704</v>
      </c>
      <c r="I20" s="190">
        <f t="shared" si="20"/>
        <v>125.5604</v>
      </c>
      <c r="J20" s="191">
        <f t="shared" si="0"/>
        <v>3.0900000000000034</v>
      </c>
      <c r="K20" s="192">
        <f t="shared" si="1"/>
        <v>2.5230586329431468E-2</v>
      </c>
    </row>
    <row r="21" spans="2:11" x14ac:dyDescent="0.25">
      <c r="B21" s="184">
        <v>10</v>
      </c>
      <c r="C21" s="185">
        <f t="shared" si="2"/>
        <v>1300</v>
      </c>
      <c r="D21" s="186">
        <f t="shared" si="15"/>
        <v>14</v>
      </c>
      <c r="E21" s="187">
        <f t="shared" si="16"/>
        <v>117.50960000000001</v>
      </c>
      <c r="F21" s="188">
        <f t="shared" si="17"/>
        <v>131.50960000000001</v>
      </c>
      <c r="G21" s="189">
        <f t="shared" si="18"/>
        <v>17.09</v>
      </c>
      <c r="H21" s="187">
        <f t="shared" si="19"/>
        <v>117.50960000000001</v>
      </c>
      <c r="I21" s="190">
        <f t="shared" si="20"/>
        <v>134.59960000000001</v>
      </c>
      <c r="J21" s="191">
        <f t="shared" si="0"/>
        <v>3.0900000000000034</v>
      </c>
      <c r="K21" s="192">
        <f t="shared" si="1"/>
        <v>2.3496383533977771E-2</v>
      </c>
    </row>
    <row r="22" spans="2:11" x14ac:dyDescent="0.25">
      <c r="B22" s="184">
        <v>11</v>
      </c>
      <c r="C22" s="185">
        <f t="shared" si="2"/>
        <v>1400</v>
      </c>
      <c r="D22" s="186">
        <f t="shared" si="15"/>
        <v>14</v>
      </c>
      <c r="E22" s="187">
        <f t="shared" si="16"/>
        <v>126.5488</v>
      </c>
      <c r="F22" s="188">
        <f t="shared" si="17"/>
        <v>140.5488</v>
      </c>
      <c r="G22" s="189">
        <f t="shared" si="18"/>
        <v>17.09</v>
      </c>
      <c r="H22" s="187">
        <f t="shared" si="19"/>
        <v>126.5488</v>
      </c>
      <c r="I22" s="190">
        <f t="shared" si="20"/>
        <v>143.6388</v>
      </c>
      <c r="J22" s="191">
        <f t="shared" si="0"/>
        <v>3.0900000000000034</v>
      </c>
      <c r="K22" s="192">
        <f t="shared" si="1"/>
        <v>2.1985246405518962E-2</v>
      </c>
    </row>
    <row r="23" spans="2:11" x14ac:dyDescent="0.25">
      <c r="B23" s="184">
        <v>12</v>
      </c>
      <c r="C23" s="185">
        <f t="shared" si="2"/>
        <v>1500</v>
      </c>
      <c r="D23" s="186">
        <f t="shared" si="15"/>
        <v>14</v>
      </c>
      <c r="E23" s="187">
        <f t="shared" si="16"/>
        <v>135.58799999999999</v>
      </c>
      <c r="F23" s="188">
        <f t="shared" si="17"/>
        <v>149.58799999999999</v>
      </c>
      <c r="G23" s="189">
        <f t="shared" si="18"/>
        <v>17.09</v>
      </c>
      <c r="H23" s="187">
        <f t="shared" si="19"/>
        <v>135.58799999999999</v>
      </c>
      <c r="I23" s="190">
        <f t="shared" si="20"/>
        <v>152.678</v>
      </c>
      <c r="J23" s="191">
        <f t="shared" si="0"/>
        <v>3.0900000000000034</v>
      </c>
      <c r="K23" s="192">
        <f t="shared" si="1"/>
        <v>2.0656737171430888E-2</v>
      </c>
    </row>
    <row r="24" spans="2:11" x14ac:dyDescent="0.25">
      <c r="B24" s="184">
        <v>13</v>
      </c>
      <c r="C24" s="185">
        <f t="shared" si="2"/>
        <v>1600</v>
      </c>
      <c r="D24" s="186">
        <f t="shared" si="15"/>
        <v>14</v>
      </c>
      <c r="E24" s="187">
        <f t="shared" si="16"/>
        <v>144.62719999999999</v>
      </c>
      <c r="F24" s="188">
        <f t="shared" si="17"/>
        <v>158.62719999999999</v>
      </c>
      <c r="G24" s="189">
        <f t="shared" si="18"/>
        <v>17.09</v>
      </c>
      <c r="H24" s="187">
        <f t="shared" si="19"/>
        <v>144.62719999999999</v>
      </c>
      <c r="I24" s="190">
        <f t="shared" si="20"/>
        <v>161.71719999999999</v>
      </c>
      <c r="J24" s="191">
        <f t="shared" si="0"/>
        <v>3.0900000000000034</v>
      </c>
      <c r="K24" s="192">
        <f t="shared" si="1"/>
        <v>1.9479635270621957E-2</v>
      </c>
    </row>
    <row r="25" spans="2:11" x14ac:dyDescent="0.25">
      <c r="B25" s="184">
        <v>14</v>
      </c>
      <c r="C25" s="185">
        <f t="shared" si="2"/>
        <v>1700</v>
      </c>
      <c r="D25" s="186">
        <f t="shared" si="15"/>
        <v>14</v>
      </c>
      <c r="E25" s="187">
        <f t="shared" si="16"/>
        <v>153.66640000000001</v>
      </c>
      <c r="F25" s="188">
        <f t="shared" si="17"/>
        <v>167.66640000000001</v>
      </c>
      <c r="G25" s="189">
        <f t="shared" si="18"/>
        <v>17.09</v>
      </c>
      <c r="H25" s="187">
        <f t="shared" si="19"/>
        <v>153.66640000000001</v>
      </c>
      <c r="I25" s="190">
        <f t="shared" si="20"/>
        <v>170.75640000000001</v>
      </c>
      <c r="J25" s="191">
        <f t="shared" si="0"/>
        <v>3.0900000000000034</v>
      </c>
      <c r="K25" s="192">
        <f t="shared" si="1"/>
        <v>1.8429452770501443E-2</v>
      </c>
    </row>
    <row r="26" spans="2:11" x14ac:dyDescent="0.25">
      <c r="B26" s="184">
        <v>15</v>
      </c>
      <c r="C26" s="185">
        <f t="shared" si="2"/>
        <v>1800</v>
      </c>
      <c r="D26" s="186">
        <f t="shared" si="15"/>
        <v>14</v>
      </c>
      <c r="E26" s="187">
        <f t="shared" si="16"/>
        <v>162.7056</v>
      </c>
      <c r="F26" s="188">
        <f t="shared" si="17"/>
        <v>176.7056</v>
      </c>
      <c r="G26" s="189">
        <f t="shared" si="18"/>
        <v>17.09</v>
      </c>
      <c r="H26" s="187">
        <f t="shared" si="19"/>
        <v>162.7056</v>
      </c>
      <c r="I26" s="190">
        <f t="shared" si="20"/>
        <v>179.79560000000001</v>
      </c>
      <c r="J26" s="191">
        <f t="shared" si="0"/>
        <v>3.0900000000000034</v>
      </c>
      <c r="K26" s="192">
        <f t="shared" si="1"/>
        <v>1.7486712362256789E-2</v>
      </c>
    </row>
    <row r="27" spans="2:11" x14ac:dyDescent="0.25">
      <c r="B27" s="184">
        <v>16</v>
      </c>
      <c r="C27" s="185">
        <f t="shared" si="2"/>
        <v>1900</v>
      </c>
      <c r="D27" s="186">
        <f t="shared" si="15"/>
        <v>14</v>
      </c>
      <c r="E27" s="187">
        <f t="shared" si="16"/>
        <v>171.7448</v>
      </c>
      <c r="F27" s="188">
        <f t="shared" si="17"/>
        <v>185.7448</v>
      </c>
      <c r="G27" s="189">
        <f t="shared" si="18"/>
        <v>17.09</v>
      </c>
      <c r="H27" s="187">
        <f t="shared" si="19"/>
        <v>171.7448</v>
      </c>
      <c r="I27" s="190">
        <f t="shared" si="20"/>
        <v>188.8348</v>
      </c>
      <c r="J27" s="191">
        <f t="shared" si="0"/>
        <v>3.0900000000000034</v>
      </c>
      <c r="K27" s="192">
        <f t="shared" si="1"/>
        <v>1.6635728160357671E-2</v>
      </c>
    </row>
    <row r="28" spans="2:11" x14ac:dyDescent="0.25">
      <c r="B28" s="184">
        <v>17</v>
      </c>
      <c r="C28" s="185">
        <f t="shared" si="2"/>
        <v>2000</v>
      </c>
      <c r="D28" s="186">
        <f t="shared" si="15"/>
        <v>14</v>
      </c>
      <c r="E28" s="187">
        <f t="shared" si="16"/>
        <v>180.78399999999999</v>
      </c>
      <c r="F28" s="188">
        <f t="shared" si="17"/>
        <v>194.78399999999999</v>
      </c>
      <c r="G28" s="189">
        <f t="shared" si="18"/>
        <v>17.09</v>
      </c>
      <c r="H28" s="187">
        <f t="shared" si="19"/>
        <v>180.78399999999999</v>
      </c>
      <c r="I28" s="190">
        <f t="shared" si="20"/>
        <v>197.874</v>
      </c>
      <c r="J28" s="191">
        <f t="shared" si="0"/>
        <v>3.0900000000000034</v>
      </c>
      <c r="K28" s="192">
        <f t="shared" si="1"/>
        <v>1.5863725973385923E-2</v>
      </c>
    </row>
    <row r="29" spans="2:11" x14ac:dyDescent="0.25">
      <c r="B29" s="184">
        <v>18</v>
      </c>
      <c r="C29" s="185">
        <f t="shared" si="2"/>
        <v>2100</v>
      </c>
      <c r="D29" s="186">
        <f t="shared" si="15"/>
        <v>14</v>
      </c>
      <c r="E29" s="187">
        <f t="shared" si="16"/>
        <v>189.82320000000001</v>
      </c>
      <c r="F29" s="188">
        <f t="shared" si="17"/>
        <v>203.82320000000001</v>
      </c>
      <c r="G29" s="189">
        <f t="shared" si="18"/>
        <v>17.09</v>
      </c>
      <c r="H29" s="187">
        <f t="shared" si="19"/>
        <v>189.82320000000001</v>
      </c>
      <c r="I29" s="190">
        <f t="shared" si="20"/>
        <v>206.91320000000002</v>
      </c>
      <c r="J29" s="191">
        <f t="shared" si="0"/>
        <v>3.0900000000000034</v>
      </c>
      <c r="K29" s="192">
        <f t="shared" si="1"/>
        <v>1.516019766150273E-2</v>
      </c>
    </row>
    <row r="30" spans="2:11" x14ac:dyDescent="0.25">
      <c r="B30" s="184">
        <v>19</v>
      </c>
      <c r="C30" s="185">
        <f t="shared" si="2"/>
        <v>2200</v>
      </c>
      <c r="D30" s="186">
        <f t="shared" si="15"/>
        <v>14</v>
      </c>
      <c r="E30" s="187">
        <f t="shared" si="16"/>
        <v>198.86240000000001</v>
      </c>
      <c r="F30" s="188">
        <f t="shared" si="17"/>
        <v>212.86240000000001</v>
      </c>
      <c r="G30" s="189">
        <f t="shared" si="18"/>
        <v>17.09</v>
      </c>
      <c r="H30" s="187">
        <f t="shared" si="19"/>
        <v>198.86240000000001</v>
      </c>
      <c r="I30" s="190">
        <f t="shared" si="20"/>
        <v>215.95240000000001</v>
      </c>
      <c r="J30" s="191">
        <f t="shared" si="0"/>
        <v>3.0900000000000034</v>
      </c>
      <c r="K30" s="192">
        <f t="shared" si="1"/>
        <v>1.4516419997143711E-2</v>
      </c>
    </row>
    <row r="31" spans="2:11" x14ac:dyDescent="0.25">
      <c r="B31" s="184">
        <v>20</v>
      </c>
      <c r="C31" s="185">
        <f t="shared" si="2"/>
        <v>2300</v>
      </c>
      <c r="D31" s="186">
        <f t="shared" si="15"/>
        <v>14</v>
      </c>
      <c r="E31" s="187">
        <f t="shared" si="16"/>
        <v>207.9016</v>
      </c>
      <c r="F31" s="188">
        <f t="shared" si="17"/>
        <v>221.9016</v>
      </c>
      <c r="G31" s="189">
        <f t="shared" si="18"/>
        <v>17.09</v>
      </c>
      <c r="H31" s="187">
        <f t="shared" si="19"/>
        <v>207.9016</v>
      </c>
      <c r="I31" s="190">
        <f t="shared" si="20"/>
        <v>224.99160000000001</v>
      </c>
      <c r="J31" s="191">
        <f t="shared" si="0"/>
        <v>3.0900000000000034</v>
      </c>
      <c r="K31" s="192">
        <f t="shared" si="1"/>
        <v>1.3925091121470072E-2</v>
      </c>
    </row>
    <row r="32" spans="2:11" x14ac:dyDescent="0.25">
      <c r="B32" s="184">
        <v>21</v>
      </c>
      <c r="C32" s="185">
        <f t="shared" si="2"/>
        <v>2400</v>
      </c>
      <c r="D32" s="186">
        <f t="shared" si="15"/>
        <v>14</v>
      </c>
      <c r="E32" s="187">
        <f t="shared" si="16"/>
        <v>216.9408</v>
      </c>
      <c r="F32" s="188">
        <f t="shared" si="17"/>
        <v>230.9408</v>
      </c>
      <c r="G32" s="189">
        <f t="shared" si="18"/>
        <v>17.09</v>
      </c>
      <c r="H32" s="187">
        <f t="shared" si="19"/>
        <v>216.9408</v>
      </c>
      <c r="I32" s="190">
        <f t="shared" si="20"/>
        <v>234.0308</v>
      </c>
      <c r="J32" s="191">
        <f t="shared" si="0"/>
        <v>3.0900000000000034</v>
      </c>
      <c r="K32" s="192">
        <f t="shared" si="1"/>
        <v>1.3380052377059417E-2</v>
      </c>
    </row>
    <row r="33" spans="2:11" x14ac:dyDescent="0.25">
      <c r="B33" s="184">
        <v>22</v>
      </c>
      <c r="C33" s="185">
        <f t="shared" si="2"/>
        <v>2500</v>
      </c>
      <c r="D33" s="186">
        <f t="shared" si="15"/>
        <v>14</v>
      </c>
      <c r="E33" s="187">
        <f t="shared" si="16"/>
        <v>225.98</v>
      </c>
      <c r="F33" s="188">
        <f t="shared" si="17"/>
        <v>239.98</v>
      </c>
      <c r="G33" s="189">
        <f t="shared" si="18"/>
        <v>17.09</v>
      </c>
      <c r="H33" s="187">
        <f t="shared" si="19"/>
        <v>225.98</v>
      </c>
      <c r="I33" s="190">
        <f t="shared" si="20"/>
        <v>243.07</v>
      </c>
      <c r="J33" s="191">
        <f t="shared" si="0"/>
        <v>3.0900000000000034</v>
      </c>
      <c r="K33" s="192">
        <f t="shared" si="1"/>
        <v>1.2876073006083856E-2</v>
      </c>
    </row>
    <row r="34" spans="2:11" x14ac:dyDescent="0.25">
      <c r="B34" s="184">
        <v>23</v>
      </c>
      <c r="C34" s="185">
        <f t="shared" si="2"/>
        <v>2600</v>
      </c>
      <c r="D34" s="186">
        <f t="shared" si="15"/>
        <v>14</v>
      </c>
      <c r="E34" s="187">
        <f t="shared" si="16"/>
        <v>235.01920000000001</v>
      </c>
      <c r="F34" s="188">
        <f t="shared" si="17"/>
        <v>249.01920000000001</v>
      </c>
      <c r="G34" s="189">
        <f t="shared" si="18"/>
        <v>17.09</v>
      </c>
      <c r="H34" s="187">
        <f t="shared" si="19"/>
        <v>235.01920000000001</v>
      </c>
      <c r="I34" s="190">
        <f t="shared" si="20"/>
        <v>252.10920000000002</v>
      </c>
      <c r="J34" s="191">
        <f t="shared" si="0"/>
        <v>3.0900000000000034</v>
      </c>
      <c r="K34" s="192">
        <f t="shared" si="1"/>
        <v>1.2408681740203178E-2</v>
      </c>
    </row>
    <row r="35" spans="2:11" x14ac:dyDescent="0.25">
      <c r="B35" s="184">
        <v>24</v>
      </c>
      <c r="C35" s="185">
        <f t="shared" si="2"/>
        <v>2700</v>
      </c>
      <c r="D35" s="186">
        <f t="shared" si="15"/>
        <v>14</v>
      </c>
      <c r="E35" s="187">
        <f t="shared" si="16"/>
        <v>244.05840000000001</v>
      </c>
      <c r="F35" s="188">
        <f t="shared" si="17"/>
        <v>258.05840000000001</v>
      </c>
      <c r="G35" s="189">
        <f t="shared" si="18"/>
        <v>17.09</v>
      </c>
      <c r="H35" s="187">
        <f t="shared" si="19"/>
        <v>244.05840000000001</v>
      </c>
      <c r="I35" s="190">
        <f t="shared" si="20"/>
        <v>261.14839999999998</v>
      </c>
      <c r="J35" s="191">
        <f t="shared" si="0"/>
        <v>3.089999999999975</v>
      </c>
      <c r="K35" s="192">
        <f t="shared" si="1"/>
        <v>1.1974033784600598E-2</v>
      </c>
    </row>
    <row r="36" spans="2:11" x14ac:dyDescent="0.25">
      <c r="B36" s="184">
        <v>25</v>
      </c>
      <c r="C36" s="185">
        <f t="shared" si="2"/>
        <v>2800</v>
      </c>
      <c r="D36" s="186">
        <f t="shared" si="15"/>
        <v>14</v>
      </c>
      <c r="E36" s="187">
        <f t="shared" si="16"/>
        <v>253.0976</v>
      </c>
      <c r="F36" s="188">
        <f t="shared" si="17"/>
        <v>267.0976</v>
      </c>
      <c r="G36" s="189">
        <f t="shared" si="18"/>
        <v>17.09</v>
      </c>
      <c r="H36" s="187">
        <f t="shared" si="19"/>
        <v>253.0976</v>
      </c>
      <c r="I36" s="190">
        <f t="shared" si="20"/>
        <v>270.18759999999997</v>
      </c>
      <c r="J36" s="191">
        <f t="shared" si="0"/>
        <v>3.089999999999975</v>
      </c>
      <c r="K36" s="192">
        <f t="shared" si="1"/>
        <v>1.1568804811424645E-2</v>
      </c>
    </row>
    <row r="37" spans="2:11" x14ac:dyDescent="0.25">
      <c r="B37" s="184">
        <v>26</v>
      </c>
      <c r="C37" s="185">
        <f t="shared" si="2"/>
        <v>2900</v>
      </c>
      <c r="D37" s="186">
        <f t="shared" si="15"/>
        <v>14</v>
      </c>
      <c r="E37" s="187">
        <f t="shared" si="16"/>
        <v>262.13679999999999</v>
      </c>
      <c r="F37" s="188">
        <f t="shared" si="17"/>
        <v>276.13679999999999</v>
      </c>
      <c r="G37" s="189">
        <f t="shared" si="18"/>
        <v>17.09</v>
      </c>
      <c r="H37" s="187">
        <f t="shared" si="19"/>
        <v>262.13679999999999</v>
      </c>
      <c r="I37" s="190">
        <f t="shared" si="20"/>
        <v>279.22679999999997</v>
      </c>
      <c r="J37" s="191">
        <f t="shared" si="0"/>
        <v>3.089999999999975</v>
      </c>
      <c r="K37" s="192">
        <f t="shared" si="1"/>
        <v>1.1190105773659921E-2</v>
      </c>
    </row>
    <row r="38" spans="2:11" ht="13.8" thickBot="1" x14ac:dyDescent="0.3">
      <c r="B38" s="193">
        <v>27</v>
      </c>
      <c r="C38" s="201">
        <f t="shared" si="2"/>
        <v>3000</v>
      </c>
      <c r="D38" s="194">
        <f t="shared" si="15"/>
        <v>14</v>
      </c>
      <c r="E38" s="195">
        <f t="shared" si="16"/>
        <v>271.17599999999999</v>
      </c>
      <c r="F38" s="196">
        <f t="shared" si="17"/>
        <v>285.17599999999999</v>
      </c>
      <c r="G38" s="197">
        <f t="shared" si="18"/>
        <v>17.09</v>
      </c>
      <c r="H38" s="195">
        <f t="shared" si="19"/>
        <v>271.17599999999999</v>
      </c>
      <c r="I38" s="198">
        <f t="shared" si="20"/>
        <v>288.26599999999996</v>
      </c>
      <c r="J38" s="199">
        <f t="shared" si="0"/>
        <v>3.089999999999975</v>
      </c>
      <c r="K38" s="200">
        <f t="shared" si="1"/>
        <v>1.0835413919824862E-2</v>
      </c>
    </row>
    <row r="39" spans="2:11" s="223" customFormat="1" ht="21.75" customHeight="1" thickTop="1" thickBot="1" x14ac:dyDescent="0.3">
      <c r="B39" s="224" t="s">
        <v>85</v>
      </c>
      <c r="C39" s="225">
        <f>A!D29</f>
        <v>968.59243117600056</v>
      </c>
      <c r="D39" s="226">
        <f t="shared" si="15"/>
        <v>14</v>
      </c>
      <c r="E39" s="227">
        <f t="shared" ref="E39" si="21">$E$7*C39</f>
        <v>87.55300703886104</v>
      </c>
      <c r="F39" s="228">
        <f t="shared" ref="F39" si="22">E39+D39</f>
        <v>101.55300703886104</v>
      </c>
      <c r="G39" s="229">
        <f t="shared" si="18"/>
        <v>17.09</v>
      </c>
      <c r="H39" s="227">
        <f t="shared" ref="H39" si="23">$H$7*C39</f>
        <v>87.55300703886104</v>
      </c>
      <c r="I39" s="230">
        <f t="shared" ref="I39" si="24">G39+H39</f>
        <v>104.64300703886104</v>
      </c>
      <c r="J39" s="231">
        <f t="shared" ref="J39" si="25">I39-F39</f>
        <v>3.0900000000000034</v>
      </c>
      <c r="K39" s="232">
        <f t="shared" ref="K39" si="26">J39/F39</f>
        <v>3.0427459413560849E-2</v>
      </c>
    </row>
    <row r="40" spans="2:11" ht="13.8" thickTop="1" x14ac:dyDescent="0.25"/>
    <row r="41" spans="2:11" x14ac:dyDescent="0.25">
      <c r="B41" s="310" t="s">
        <v>110</v>
      </c>
    </row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79" fitToHeight="2" orientation="portrait" r:id="rId1"/>
  <headerFooter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C9242-120A-4E8C-BC45-1DDB04B5A021}">
  <sheetPr>
    <tabColor theme="9" tint="-0.249977111117893"/>
  </sheetPr>
  <dimension ref="A1:H19"/>
  <sheetViews>
    <sheetView workbookViewId="0">
      <selection activeCell="G20" sqref="G20"/>
    </sheetView>
  </sheetViews>
  <sheetFormatPr defaultColWidth="9.109375" defaultRowHeight="13.2" x14ac:dyDescent="0.25"/>
  <cols>
    <col min="1" max="1" width="3.44140625" style="379" customWidth="1"/>
    <col min="2" max="2" width="27" style="379" bestFit="1" customWidth="1"/>
    <col min="3" max="3" width="9.109375" style="379"/>
    <col min="4" max="4" width="14.109375" style="379" bestFit="1" customWidth="1"/>
    <col min="5" max="5" width="12.109375" style="379" customWidth="1"/>
    <col min="6" max="6" width="11.88671875" style="379" customWidth="1"/>
    <col min="7" max="16384" width="9.109375" style="379"/>
  </cols>
  <sheetData>
    <row r="1" spans="1:8" x14ac:dyDescent="0.25">
      <c r="A1" s="378" t="str">
        <f>'Present and Proposed Rates'!A1</f>
        <v>Licking Valley R.E.C.C.</v>
      </c>
      <c r="D1" s="378" t="s">
        <v>199</v>
      </c>
    </row>
    <row r="3" spans="1:8" x14ac:dyDescent="0.25">
      <c r="B3" s="378" t="s">
        <v>200</v>
      </c>
    </row>
    <row r="5" spans="1:8" x14ac:dyDescent="0.25">
      <c r="B5" s="379" t="s">
        <v>201</v>
      </c>
      <c r="D5" s="380">
        <f>'Present and Proposed Rates'!O40</f>
        <v>596421</v>
      </c>
    </row>
    <row r="6" spans="1:8" x14ac:dyDescent="0.25">
      <c r="B6" s="379" t="s">
        <v>202</v>
      </c>
      <c r="D6" s="381">
        <v>2.2499999999999999E-2</v>
      </c>
    </row>
    <row r="7" spans="1:8" x14ac:dyDescent="0.25">
      <c r="B7" s="379" t="s">
        <v>203</v>
      </c>
      <c r="D7" s="382">
        <f>'Present and Proposed Rates'!O38</f>
        <v>595560.42000000179</v>
      </c>
      <c r="E7" s="379" t="s">
        <v>204</v>
      </c>
    </row>
    <row r="8" spans="1:8" x14ac:dyDescent="0.25">
      <c r="B8" s="379" t="s">
        <v>205</v>
      </c>
      <c r="D8" s="383">
        <f>'Present and Proposed Rates'!P38</f>
        <v>2.2067935688336794E-2</v>
      </c>
      <c r="H8" s="379" t="s">
        <v>214</v>
      </c>
    </row>
    <row r="9" spans="1:8" x14ac:dyDescent="0.25">
      <c r="D9" s="391"/>
    </row>
    <row r="10" spans="1:8" x14ac:dyDescent="0.25">
      <c r="B10" s="379" t="s">
        <v>210</v>
      </c>
      <c r="D10" s="392">
        <v>1095880.3543868186</v>
      </c>
      <c r="H10" s="379" t="s">
        <v>212</v>
      </c>
    </row>
    <row r="11" spans="1:8" x14ac:dyDescent="0.25">
      <c r="B11" s="379" t="s">
        <v>211</v>
      </c>
      <c r="D11" s="392">
        <f>D10-D7</f>
        <v>500319.93438681681</v>
      </c>
      <c r="H11" s="379" t="s">
        <v>213</v>
      </c>
    </row>
    <row r="13" spans="1:8" x14ac:dyDescent="0.25">
      <c r="B13" s="384" t="s">
        <v>206</v>
      </c>
      <c r="D13" s="385" t="s">
        <v>89</v>
      </c>
      <c r="E13" s="385" t="s">
        <v>27</v>
      </c>
      <c r="F13" s="385" t="s">
        <v>207</v>
      </c>
    </row>
    <row r="14" spans="1:8" x14ac:dyDescent="0.25">
      <c r="B14" s="379" t="s">
        <v>8</v>
      </c>
      <c r="D14" s="386">
        <f>'Present and Proposed Rates'!G11</f>
        <v>14</v>
      </c>
      <c r="E14" s="386">
        <f>'Present and Proposed Rates'!H11</f>
        <v>17.09</v>
      </c>
      <c r="F14" s="386">
        <f>E14-D14</f>
        <v>3.09</v>
      </c>
    </row>
    <row r="15" spans="1:8" x14ac:dyDescent="0.25">
      <c r="B15" s="379" t="s">
        <v>6</v>
      </c>
      <c r="D15" s="387">
        <f>'Present and Proposed Rates'!G12</f>
        <v>9.0392E-2</v>
      </c>
      <c r="E15" s="387">
        <f>'Present and Proposed Rates'!H12</f>
        <v>9.0392E-2</v>
      </c>
      <c r="F15" s="386">
        <f>E15-D15</f>
        <v>0</v>
      </c>
    </row>
    <row r="16" spans="1:8" x14ac:dyDescent="0.25">
      <c r="B16" s="379" t="s">
        <v>208</v>
      </c>
      <c r="F16" s="390">
        <f>'Present and Proposed Rates'!Q11</f>
        <v>3.0900000000000092</v>
      </c>
    </row>
    <row r="17" spans="2:6" x14ac:dyDescent="0.25">
      <c r="B17" s="379" t="s">
        <v>209</v>
      </c>
      <c r="F17" s="389">
        <f>'Present and Proposed Rates'!P11</f>
        <v>2.8788063152882921E-2</v>
      </c>
    </row>
    <row r="19" spans="2:6" x14ac:dyDescent="0.25">
      <c r="E19" s="388"/>
      <c r="F19" s="3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Present and Proposed Rates</vt:lpstr>
      <vt:lpstr>A</vt:lpstr>
      <vt:lpstr>B</vt:lpstr>
      <vt:lpstr>LP</vt:lpstr>
      <vt:lpstr>LPR</vt:lpstr>
      <vt:lpstr>SL</vt:lpstr>
      <vt:lpstr>Act-vs-Calc</vt:lpstr>
      <vt:lpstr>ResIncr</vt:lpstr>
      <vt:lpstr>Summary</vt:lpstr>
      <vt:lpstr>Notice-Abbrev</vt:lpstr>
      <vt:lpstr>Notice-Full</vt:lpstr>
      <vt:lpstr>List</vt:lpstr>
      <vt:lpstr>Billings</vt:lpstr>
      <vt:lpstr>A!Print_Area</vt:lpstr>
      <vt:lpstr>'Act-vs-Calc'!Print_Area</vt:lpstr>
      <vt:lpstr>B!Print_Area</vt:lpstr>
      <vt:lpstr>List!Print_Area</vt:lpstr>
      <vt:lpstr>LP!Print_Area</vt:lpstr>
      <vt:lpstr>LPR!Print_Area</vt:lpstr>
      <vt:lpstr>'Notice-Abbrev'!Print_Area</vt:lpstr>
      <vt:lpstr>'Notice-Full'!Print_Area</vt:lpstr>
      <vt:lpstr>'Present and Proposed Rates'!Print_Area</vt:lpstr>
      <vt:lpstr>ResIncr!Print_Area</vt:lpstr>
      <vt:lpstr>SL!Print_Area</vt:lpstr>
      <vt:lpstr>Summary!Print_Area</vt:lpstr>
      <vt:lpstr>ResIncr!Print_Titles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2020-12-09T18:03:07Z</cp:lastPrinted>
  <dcterms:created xsi:type="dcterms:W3CDTF">2000-07-10T18:54:31Z</dcterms:created>
  <dcterms:modified xsi:type="dcterms:W3CDTF">2020-12-09T19:58:51Z</dcterms:modified>
</cp:coreProperties>
</file>